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Materiál Žádanky" sheetId="420" r:id="rId8"/>
    <sheet name="MŽ Detail" sheetId="403" r:id="rId9"/>
    <sheet name="Osobní náklady" sheetId="431" r:id="rId10"/>
    <sheet name="ON Data" sheetId="432" state="hidden" r:id="rId11"/>
    <sheet name="ZV Vykáz.-A" sheetId="344" r:id="rId12"/>
    <sheet name="ZV Vykáz.-A Lékaři" sheetId="429" r:id="rId13"/>
    <sheet name="ZV Vykáz.-A Detail" sheetId="345" r:id="rId14"/>
    <sheet name="ZV Vykáz.-A Det.Lék." sheetId="430" r:id="rId15"/>
    <sheet name="ZV Vykáz.-H" sheetId="410" r:id="rId16"/>
    <sheet name="ZV Vykáz.-H Detail" sheetId="377" r:id="rId17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4" hidden="1">'Man Tab'!$A$5:$A$31</definedName>
    <definedName name="_xlnm._FilterDatabase" localSheetId="7" hidden="1">'Materiál Žádanky'!$A$4:$I$4</definedName>
    <definedName name="_xlnm._FilterDatabase" localSheetId="8" hidden="1">'MŽ Detail'!$A$4:$K$4</definedName>
    <definedName name="_xlnm._FilterDatabase" localSheetId="14" hidden="1">'ZV Vykáz.-A Det.Lék.'!$A$5:$S$5</definedName>
    <definedName name="_xlnm._FilterDatabase" localSheetId="13" hidden="1">'ZV Vykáz.-A Detail'!$A$5:$R$5</definedName>
    <definedName name="_xlnm._FilterDatabase" localSheetId="12" hidden="1">'ZV Vykáz.-A Lékaři'!$A$4:$A$5</definedName>
    <definedName name="_xlnm._FilterDatabase" localSheetId="16" hidden="1">'ZV Vykáz.-H Detail'!$A$5:$Q$5</definedName>
    <definedName name="doměsíce">'HI Graf'!$C$11</definedName>
    <definedName name="Obdobi" localSheetId="10">'ON Data'!$B$3:$B$16</definedName>
    <definedName name="Obdobi" localSheetId="9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D9" i="431"/>
  <c r="D13" i="431"/>
  <c r="E9" i="431"/>
  <c r="E13" i="431"/>
  <c r="F9" i="431"/>
  <c r="F13" i="431"/>
  <c r="G9" i="431"/>
  <c r="H9" i="431"/>
  <c r="H13" i="431"/>
  <c r="I9" i="431"/>
  <c r="J13" i="431"/>
  <c r="K13" i="431"/>
  <c r="M13" i="431"/>
  <c r="N13" i="431"/>
  <c r="P9" i="431"/>
  <c r="Q13" i="431"/>
  <c r="D10" i="431"/>
  <c r="E10" i="431"/>
  <c r="F14" i="431"/>
  <c r="H10" i="431"/>
  <c r="I14" i="431"/>
  <c r="K10" i="431"/>
  <c r="L14" i="431"/>
  <c r="N10" i="431"/>
  <c r="O14" i="431"/>
  <c r="Q10" i="431"/>
  <c r="C11" i="431"/>
  <c r="C15" i="431"/>
  <c r="D11" i="431"/>
  <c r="D15" i="431"/>
  <c r="E11" i="431"/>
  <c r="E15" i="431"/>
  <c r="F11" i="431"/>
  <c r="F15" i="431"/>
  <c r="G11" i="431"/>
  <c r="G15" i="431"/>
  <c r="H11" i="431"/>
  <c r="H15" i="431"/>
  <c r="I11" i="431"/>
  <c r="I15" i="431"/>
  <c r="J11" i="431"/>
  <c r="J15" i="431"/>
  <c r="K11" i="431"/>
  <c r="K15" i="431"/>
  <c r="L11" i="431"/>
  <c r="L15" i="431"/>
  <c r="M11" i="431"/>
  <c r="M15" i="431"/>
  <c r="N11" i="431"/>
  <c r="N15" i="431"/>
  <c r="O11" i="431"/>
  <c r="O15" i="431"/>
  <c r="P11" i="431"/>
  <c r="P15" i="431"/>
  <c r="Q11" i="431"/>
  <c r="Q15" i="431"/>
  <c r="I13" i="431"/>
  <c r="L9" i="431"/>
  <c r="M9" i="431"/>
  <c r="O9" i="431"/>
  <c r="P13" i="431"/>
  <c r="C14" i="431"/>
  <c r="E14" i="431"/>
  <c r="G10" i="431"/>
  <c r="I10" i="431"/>
  <c r="J14" i="431"/>
  <c r="K14" i="431"/>
  <c r="M10" i="431"/>
  <c r="N14" i="431"/>
  <c r="P10" i="431"/>
  <c r="C12" i="431"/>
  <c r="C16" i="431"/>
  <c r="D12" i="431"/>
  <c r="D16" i="431"/>
  <c r="E12" i="431"/>
  <c r="E16" i="431"/>
  <c r="F12" i="431"/>
  <c r="F16" i="431"/>
  <c r="G12" i="431"/>
  <c r="G16" i="431"/>
  <c r="H12" i="431"/>
  <c r="H16" i="431"/>
  <c r="I12" i="431"/>
  <c r="I16" i="431"/>
  <c r="J12" i="431"/>
  <c r="J16" i="431"/>
  <c r="K12" i="431"/>
  <c r="K16" i="431"/>
  <c r="L12" i="431"/>
  <c r="L16" i="431"/>
  <c r="M12" i="431"/>
  <c r="M16" i="431"/>
  <c r="N12" i="431"/>
  <c r="N16" i="431"/>
  <c r="O12" i="431"/>
  <c r="O16" i="431"/>
  <c r="P12" i="431"/>
  <c r="P16" i="431"/>
  <c r="Q12" i="431"/>
  <c r="Q16" i="431"/>
  <c r="G13" i="431"/>
  <c r="J9" i="431"/>
  <c r="K9" i="431"/>
  <c r="L13" i="431"/>
  <c r="N9" i="431"/>
  <c r="O13" i="431"/>
  <c r="Q9" i="431"/>
  <c r="C10" i="431"/>
  <c r="D14" i="431"/>
  <c r="F10" i="431"/>
  <c r="G14" i="431"/>
  <c r="H14" i="431"/>
  <c r="J10" i="431"/>
  <c r="L10" i="431"/>
  <c r="M14" i="431"/>
  <c r="O10" i="431"/>
  <c r="P14" i="431"/>
  <c r="Q14" i="431"/>
  <c r="O8" i="431"/>
  <c r="I8" i="431"/>
  <c r="M8" i="431"/>
  <c r="Q8" i="431"/>
  <c r="K8" i="431"/>
  <c r="G8" i="431"/>
  <c r="H8" i="431"/>
  <c r="D8" i="431"/>
  <c r="C8" i="431"/>
  <c r="E8" i="431"/>
  <c r="P8" i="431"/>
  <c r="F8" i="431"/>
  <c r="N8" i="431"/>
  <c r="J8" i="431"/>
  <c r="L8" i="431"/>
  <c r="R14" i="431" l="1"/>
  <c r="S14" i="431"/>
  <c r="R9" i="431"/>
  <c r="S9" i="431"/>
  <c r="R16" i="431"/>
  <c r="S16" i="431"/>
  <c r="R12" i="431"/>
  <c r="S12" i="431"/>
  <c r="R15" i="431"/>
  <c r="S15" i="431"/>
  <c r="R11" i="431"/>
  <c r="S11" i="431"/>
  <c r="R10" i="431"/>
  <c r="S10" i="431"/>
  <c r="S13" i="431"/>
  <c r="R13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18" i="414" l="1"/>
  <c r="E18" i="414" s="1"/>
  <c r="D17" i="414"/>
  <c r="A20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6" i="414" s="1"/>
  <c r="C11" i="339"/>
  <c r="E17" i="414"/>
  <c r="A18" i="414"/>
  <c r="A17" i="414"/>
  <c r="A16" i="414"/>
  <c r="A7" i="414" l="1"/>
  <c r="A18" i="383" l="1"/>
  <c r="G3" i="429"/>
  <c r="F3" i="429"/>
  <c r="E3" i="429"/>
  <c r="D3" i="429"/>
  <c r="C3" i="429"/>
  <c r="B3" i="429"/>
  <c r="C11" i="340" l="1"/>
  <c r="A12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0" i="414" l="1"/>
  <c r="A15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19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19" i="414"/>
  <c r="A11" i="414"/>
  <c r="A12" i="414"/>
  <c r="A4" i="414"/>
  <c r="A6" i="339" l="1"/>
  <c r="A5" i="339"/>
  <c r="C15" i="414"/>
  <c r="D4" i="414"/>
  <c r="D15" i="414"/>
  <c r="C12" i="414"/>
  <c r="D12" i="414"/>
  <c r="C11" i="414" l="1"/>
  <c r="C7" i="414"/>
  <c r="E19" i="414" l="1"/>
  <c r="E16" i="414"/>
  <c r="E11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E12" i="339" l="1"/>
  <c r="C12" i="339"/>
  <c r="F12" i="339" s="1"/>
  <c r="B12" i="339"/>
  <c r="J12" i="339" s="1"/>
  <c r="O3" i="377"/>
  <c r="N3" i="377"/>
  <c r="K3" i="377"/>
  <c r="J3" i="377"/>
  <c r="G3" i="377"/>
  <c r="F3" i="377"/>
  <c r="P3" i="345"/>
  <c r="O3" i="345"/>
  <c r="R3" i="345" s="1"/>
  <c r="L3" i="345"/>
  <c r="Q3" i="345" s="1"/>
  <c r="K3" i="345"/>
  <c r="H3" i="345"/>
  <c r="G3" i="345"/>
  <c r="D20" i="414"/>
  <c r="C20" i="414"/>
  <c r="P3" i="377" l="1"/>
  <c r="Q3" i="377"/>
  <c r="I12" i="339"/>
  <c r="I13" i="339" s="1"/>
  <c r="F13" i="339"/>
  <c r="E13" i="339"/>
  <c r="E15" i="339" s="1"/>
  <c r="H12" i="339"/>
  <c r="G12" i="339"/>
  <c r="A4" i="383"/>
  <c r="A22" i="383"/>
  <c r="A21" i="383"/>
  <c r="A19" i="383"/>
  <c r="A17" i="383"/>
  <c r="A14" i="383"/>
  <c r="A13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4" i="414"/>
  <c r="C4" i="414"/>
  <c r="J13" i="339" l="1"/>
  <c r="B15" i="339"/>
  <c r="H13" i="339"/>
  <c r="F15" i="339"/>
  <c r="E12" i="414"/>
  <c r="E4" i="414"/>
  <c r="C6" i="340"/>
  <c r="D6" i="340" s="1"/>
  <c r="B4" i="340"/>
  <c r="G13" i="339"/>
  <c r="B13" i="340" l="1"/>
  <c r="B12" i="340"/>
  <c r="G15" i="339"/>
  <c r="H15" i="339"/>
  <c r="C4" i="340"/>
  <c r="E15" i="414"/>
  <c r="E20" i="414"/>
  <c r="D4" i="340"/>
  <c r="E6" i="340"/>
  <c r="C14" i="414"/>
  <c r="E14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<sst xmlns="http://schemas.openxmlformats.org/spreadsheetml/2006/main" count="2297" uniqueCount="806">
  <si>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</si>
  <si>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</si>
  <si>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</si>
  <si>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</si>
  <si>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</si>
  <si>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</si>
  <si>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</si>
  <si>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</si>
  <si>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Název</t>
  </si>
  <si>
    <t>Mn.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</si>
  <si>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</si>
  <si>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</si>
  <si>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</si>
  <si>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</si>
  <si>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</si>
  <si>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</si>
  <si>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</si>
  <si>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</si>
  <si>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</si>
  <si>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</si>
  <si>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</si>
  <si>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</si>
  <si>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</si>
  <si>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</si>
  <si>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</si>
  <si>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</si>
  <si>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</si>
  <si>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</si>
  <si>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</si>
  <si>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</si>
  <si>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</si>
  <si>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</si>
  <si>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</si>
  <si>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</si>
  <si>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</si>
  <si>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</si>
  <si>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</si>
  <si>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</si>
  <si>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</si>
  <si>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</si>
  <si>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</si>
  <si>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</si>
  <si>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</si>
  <si>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</si>
  <si>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</si>
  <si>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</si>
  <si>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</si>
  <si>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</si>
  <si>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</si>
  <si>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</si>
  <si>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</si>
  <si>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</si>
  <si>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</si>
  <si>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</si>
  <si>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</si>
  <si>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</si>
  <si>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</si>
  <si>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</si>
  <si>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</si>
  <si>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</si>
  <si>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</si>
  <si>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</si>
  <si>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</si>
  <si>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</si>
  <si>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</si>
  <si>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</si>
  <si>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</si>
  <si>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</si>
  <si>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</si>
  <si>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</si>
  <si>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</si>
  <si>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</si>
  <si>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</si>
  <si>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</si>
  <si>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</si>
  <si>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</si>
  <si>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</si>
  <si>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</si>
  <si>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</si>
  <si>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</si>
  <si>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</si>
  <si>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</si>
  <si>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</si>
  <si>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</si>
  <si>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</si>
  <si>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</si>
  <si>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</si>
  <si>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</si>
  <si>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</si>
  <si>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</si>
  <si>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</si>
  <si>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</si>
  <si>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</si>
  <si>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</si>
  <si>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</si>
  <si>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</si>
  <si>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</si>
  <si>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</si>
  <si>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</si>
  <si>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</si>
  <si>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</si>
  <si>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</si>
  <si>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</si>
  <si>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</si>
  <si>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</si>
  <si>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</si>
  <si>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</si>
  <si>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</si>
  <si>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</si>
  <si>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</si>
  <si>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</si>
  <si>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</si>
  <si>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</si>
  <si>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</si>
  <si>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</si>
  <si>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</si>
  <si>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</si>
  <si>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</si>
  <si>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</si>
  <si>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</si>
  <si>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</si>
  <si>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</si>
  <si>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</si>
  <si>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</si>
  <si>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</si>
  <si>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</si>
  <si>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</si>
  <si>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</si>
  <si>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</si>
  <si>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</si>
  <si>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</si>
  <si>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</si>
  <si>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</si>
  <si>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</si>
  <si>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</si>
  <si>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</si>
  <si>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</si>
  <si>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</si>
  <si>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</si>
  <si>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</si>
  <si>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</si>
  <si>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</si>
  <si>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</si>
  <si>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</si>
  <si>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</si>
  <si>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</si>
  <si>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</si>
  <si>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</si>
  <si>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</si>
  <si>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</si>
  <si>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</si>
  <si>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</si>
  <si>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</si>
  <si>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</si>
  <si>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</si>
  <si>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</si>
  <si>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</si>
  <si>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</si>
  <si>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</si>
  <si>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</si>
  <si>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</si>
  <si>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</si>
  <si>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</si>
  <si>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</si>
  <si>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</si>
  <si>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</si>
  <si>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</si>
  <si>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</si>
  <si>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</si>
  <si>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</si>
  <si>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</si>
  <si>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</si>
  <si>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</si>
  <si>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</si>
  <si>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</si>
  <si>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</si>
  <si>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</si>
  <si>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</si>
  <si>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</si>
  <si>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</si>
  <si>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</si>
  <si>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</si>
  <si>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</si>
  <si>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</si>
  <si>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</si>
  <si>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</si>
  <si>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</si>
  <si>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</si>
  <si>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</si>
  <si>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</si>
  <si>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</si>
  <si>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</si>
  <si>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</si>
  <si>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</si>
  <si>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</si>
  <si>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</si>
  <si>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</si>
  <si>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</si>
  <si>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</si>
  <si>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</si>
  <si>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</si>
  <si>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</si>
  <si>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</si>
  <si>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</si>
  <si>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</si>
  <si>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</si>
  <si>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</si>
  <si>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</si>
  <si>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</si>
  <si>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</si>
  <si>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</si>
  <si>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</si>
  <si>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</si>
  <si>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</si>
  <si>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</si>
  <si>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</si>
  <si>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</si>
  <si>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</si>
  <si>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Lékárna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</si>
  <si>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</si>
  <si>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</si>
  <si>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</si>
  <si>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</si>
  <si>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</si>
  <si>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50100     Převod HČ - materiál</t>
  </si>
  <si>
    <t>50100000     převod HČ -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</si>
  <si>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</si>
  <si>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</si>
  <si>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</si>
  <si>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</si>
  <si>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50113300     léky - slevy (přeúčt. na 64910001)</t>
  </si>
  <si>
    <t>--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</si>
  <si>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</si>
  <si>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</si>
  <si>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</si>
  <si>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</si>
  <si>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</si>
  <si>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</si>
  <si>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50115065     ZPr - vpichovací materiál (Z530)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</si>
  <si>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</si>
  <si>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</si>
  <si>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</si>
  <si>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</si>
  <si>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</si>
  <si>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</si>
  <si>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</si>
  <si>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</si>
  <si>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</si>
  <si>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</si>
  <si>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38,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</si>
  <si>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</si>
  <si>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</si>
  <si>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</si>
  <si>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</si>
  <si>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</si>
  <si>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</si>
  <si>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</si>
  <si>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</si>
  <si>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</si>
  <si>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</si>
  <si>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</si>
  <si>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50118009     ND - ostatní technika (UTZ)</t>
  </si>
  <si>
    <t>50119     DDHM a textil</t>
  </si>
  <si>
    <t>50119002     prádlo pacientů (sk.T12)</t>
  </si>
  <si>
    <t>50119077     OOPP a prádlo pro zaměstnance (sk.T14)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</si>
  <si>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</si>
  <si>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</si>
  <si>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</si>
  <si>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</si>
  <si>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</si>
  <si>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</si>
  <si>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50180001     věcné dary</t>
  </si>
  <si>
    <t>50187     Převod VČ - všeob.mat.</t>
  </si>
  <si>
    <t>50187501     VČ - všeob. materiál</t>
  </si>
  <si>
    <t>50187502     VČ - drogistické zboží</t>
  </si>
  <si>
    <t>50187503     VĆ - desinf.prostř.LEK</t>
  </si>
  <si>
    <t>50187504     VČ - kancelářské potřeby</t>
  </si>
  <si>
    <t>50188     Převod VČ - náhradní díly</t>
  </si>
  <si>
    <t>50188501     VČ - náhradní díly</t>
  </si>
  <si>
    <t>50189     Převod VČ - DDHM,textil</t>
  </si>
  <si>
    <t>50189577     VČ - OOPP</t>
  </si>
  <si>
    <t>50200     Převod HČ - energie</t>
  </si>
  <si>
    <t>50200000     převod HČ - energie</t>
  </si>
  <si>
    <t>50210     Spotřeba energie</t>
  </si>
  <si>
    <t>50210071     elektřina</t>
  </si>
  <si>
    <t>50210072     vodné, stočné</t>
  </si>
  <si>
    <t>50210073     pára</t>
  </si>
  <si>
    <t>50210075     plyn</t>
  </si>
  <si>
    <t>50290     Převod VČ - energie</t>
  </si>
  <si>
    <t>50290571     VČ - elektřina</t>
  </si>
  <si>
    <t>50290572     VČ - vodné, stočné</t>
  </si>
  <si>
    <t>50290573     VČ - pára</t>
  </si>
  <si>
    <t>50495     Prodané zb. LEK</t>
  </si>
  <si>
    <t>50495360     nákl. na prodej - ostatní, dopl.pacientů</t>
  </si>
  <si>
    <t>50495361     nákl. na prodej - deriváty zdrav.zař.a ostatním org.</t>
  </si>
  <si>
    <t>50495363     nákl. na prodej - ostatním organizacím</t>
  </si>
  <si>
    <t>50495364     nákl. na prodej - recepty VZP</t>
  </si>
  <si>
    <t>50495365     nákl. na prodej - recepty ZP</t>
  </si>
  <si>
    <t>50495366     nákl. na prodej - PZT</t>
  </si>
  <si>
    <t>50495367     nákl. na prodej - poukazy VZP</t>
  </si>
  <si>
    <t>50495368     nákl. na prodej - poukazy ZP</t>
  </si>
  <si>
    <t>50495370     nákl. na prodej - zdravotnickým zařízením</t>
  </si>
  <si>
    <t>50495371     nákl. na prodej - enter.a parent.výživa - ostatním organizacím</t>
  </si>
  <si>
    <t>50495374     nákl. na prodej - enter.a parent.výživa -zdravotnickým zařízením</t>
  </si>
  <si>
    <t>50495376     nákl. na prodej center - VZP</t>
  </si>
  <si>
    <t>50495377     nákl. na prodej center - ZP</t>
  </si>
  <si>
    <t>50495382     nákl. na prodej PZT FONI - VZP</t>
  </si>
  <si>
    <t>50495383     nákl. na prodej PZT FONI - ZP</t>
  </si>
  <si>
    <t>50495384     nákl. na prodej PZT FONI - doplatky pacientů</t>
  </si>
  <si>
    <t>50495560     nákl. na prodej - neléčiva</t>
  </si>
  <si>
    <t>507     Aktivace oběžného majetku</t>
  </si>
  <si>
    <t>50700     Aktivace oběžného majetku</t>
  </si>
  <si>
    <t>50700000     HČ - aktivace oběžného majetku</t>
  </si>
  <si>
    <t>50711     Aktivace oběžného majetku - LEK</t>
  </si>
  <si>
    <t>50711001     elaborace LEK (destil.voda)</t>
  </si>
  <si>
    <t>50711002     taxalaborum LEK při výrobě</t>
  </si>
  <si>
    <t>50711003     parenterální výživa</t>
  </si>
  <si>
    <t>50790     VČ - aktivace oběžného majetku</t>
  </si>
  <si>
    <t>50790511     VČ - aktivace oběžného majetku</t>
  </si>
  <si>
    <t>51     Služby</t>
  </si>
  <si>
    <t>51100     Převod HČ - opravy a udrž.</t>
  </si>
  <si>
    <t>51100000     propočet hlavní činnosti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</si>
  <si>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</si>
  <si>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</si>
  <si>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</si>
  <si>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</si>
  <si>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</si>
  <si>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</si>
  <si>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51102032     opravy zdravotnické techniky - UTZ</t>
  </si>
  <si>
    <t>51102033     opravy ostatní techniky - UTZ</t>
  </si>
  <si>
    <t>51102034     opravy ostatní techniky - ELSYS</t>
  </si>
  <si>
    <t>51190     Převod VČ - opravy a udrž.</t>
  </si>
  <si>
    <t>51190502     VČ - opravy techniky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</si>
  <si>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</si>
  <si>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</si>
  <si>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</si>
  <si>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</si>
  <si>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</si>
  <si>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51800     Převod HČ - ostatní služby</t>
  </si>
  <si>
    <t>51800000     převod HČ - ostatní služby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</si>
  <si>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</si>
  <si>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</si>
  <si>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</si>
  <si>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</si>
  <si>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</si>
  <si>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</si>
  <si>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</si>
  <si>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</si>
  <si>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</si>
  <si>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</si>
  <si>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</si>
  <si>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</si>
  <si>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</si>
  <si>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</si>
  <si>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</si>
  <si>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</si>
  <si>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</si>
  <si>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51874     Ostatní služby</t>
  </si>
  <si>
    <t>51874010     ostatní služby - zdravotní</t>
  </si>
  <si>
    <t>51874011     zkoušky kvality</t>
  </si>
  <si>
    <t>51874015     organ.rozvoj (certif., akred.)</t>
  </si>
  <si>
    <t>51874018     propagace, reklama, tisk (TM)</t>
  </si>
  <si>
    <t>51890     Převod VČ - ostatní služby</t>
  </si>
  <si>
    <t>51890502     VČ - spoje a telekomunikace</t>
  </si>
  <si>
    <t>51890506     VČ - úklid</t>
  </si>
  <si>
    <t>51890508     VĆ - revize</t>
  </si>
  <si>
    <t>51890574     VČ - ostatní služby</t>
  </si>
  <si>
    <t>521     Mzdové náklady</t>
  </si>
  <si>
    <t>52100     Převod HČ - mzdové náklady</t>
  </si>
  <si>
    <t>52100000     převod HČ - mzdy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</si>
  <si>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</si>
  <si>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</si>
  <si>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</si>
  <si>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</si>
  <si>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</si>
  <si>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</si>
  <si>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</si>
  <si>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</si>
  <si>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52190     Převod VČ - mzdové náklady</t>
  </si>
  <si>
    <t>52190511     VČ - mzdové náklady</t>
  </si>
  <si>
    <t>52190528     VČ - náhr.mzdy po dobu dočas.prac.neschop.</t>
  </si>
  <si>
    <t>524     Zákonné sociální pojištění</t>
  </si>
  <si>
    <t>52400     Převod HČ - zákonné pojištění</t>
  </si>
  <si>
    <t>52400000     převod HČ - zákon. poj.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</si>
  <si>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</si>
  <si>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</si>
  <si>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</si>
  <si>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</si>
  <si>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52490     Převod VČ - zákonné pojištění</t>
  </si>
  <si>
    <t>52490501     VČ - zdravotní pojištění</t>
  </si>
  <si>
    <t>52490502     VČ - sociální pojištění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</si>
  <si>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</si>
  <si>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</si>
  <si>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</si>
  <si>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</si>
  <si>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52700     Převod HČ - zák.sociál.nákl.</t>
  </si>
  <si>
    <t>52700000     převod HČ - zák.sociál.nákl.</t>
  </si>
  <si>
    <t>52710     Zákonné sociální náklady</t>
  </si>
  <si>
    <t>52710001     FKSP - jednotný příděl</t>
  </si>
  <si>
    <t>52790     Převod VČ - zák.sociál.nákl.</t>
  </si>
  <si>
    <t>52790510     VČ - zák.sociál.nákl.(FKSP)</t>
  </si>
  <si>
    <t>54     Jiné provozní náklady</t>
  </si>
  <si>
    <t>549     Ostatní náklady z činnosti</t>
  </si>
  <si>
    <t>54900     Převod HČ - ostatní náklady</t>
  </si>
  <si>
    <t>54900000     převod HČ - ostatní náklady z činnosti</t>
  </si>
  <si>
    <t>54901     Technické zhodnocení budov</t>
  </si>
  <si>
    <t>54901025     TZ budov - OSB</t>
  </si>
  <si>
    <t>54910     Ostatní náklady z činnosti</t>
  </si>
  <si>
    <t>54910003     práce výrobní povahy(výroba klíčů,tabulek)</t>
  </si>
  <si>
    <t>54910004     vyřazení expirovaných léků</t>
  </si>
  <si>
    <t>54910006     rozdíly z inventarizace</t>
  </si>
  <si>
    <t>54910009     školení, kongresové poplatky tuzemské - ost.zdrav.pracov.</t>
  </si>
  <si>
    <t>54910010     školení - nezdrav.pracov.</t>
  </si>
  <si>
    <t>54910017     přecenění léků pod nákupní cenu (lékárna)</t>
  </si>
  <si>
    <t>54990     Převod VČ - ostatní nákl.z činnosti</t>
  </si>
  <si>
    <t>54990510     VČ - ostatní náklady</t>
  </si>
  <si>
    <t>55     Odpisy, rezervy, komplexní náklady příštích období  a opravné položky provozních nákladů</t>
  </si>
  <si>
    <t>551     Odpisy DM</t>
  </si>
  <si>
    <t>55100     Převod HČ - odpisy DM</t>
  </si>
  <si>
    <t>55100000     převod HČ -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</si>
  <si>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</si>
  <si>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</si>
  <si>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</si>
  <si>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</si>
  <si>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</si>
  <si>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55110015     odpisy DHM - ostatní z dotací</t>
  </si>
  <si>
    <t>55190     Převod VČ - odpisy DM</t>
  </si>
  <si>
    <t>55190510     převod VČ - odpisy DM</t>
  </si>
  <si>
    <t>558     Náklady z drobného dlouhodobého majetku</t>
  </si>
  <si>
    <t>55800     Náklady z drobného dlouhodobého majetku</t>
  </si>
  <si>
    <t>55800000     převod HČ -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</si>
  <si>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</si>
  <si>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</si>
  <si>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</si>
  <si>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</si>
  <si>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</si>
  <si>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</si>
  <si>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55804     DDHM - výpočetní technika</t>
  </si>
  <si>
    <t>55804081     DDHM - výpočetní technika (finanční dary)</t>
  </si>
  <si>
    <t>55805     DDHM - inventář</t>
  </si>
  <si>
    <t>55805002     DDHM - nábytek (sk.V_31)</t>
  </si>
  <si>
    <t>55828     DDNM software</t>
  </si>
  <si>
    <t>55828001     DDNM - software (sk.P_38)</t>
  </si>
  <si>
    <t>55828081     DDNM software (finanční dary)</t>
  </si>
  <si>
    <t>55890     Převod VČ - náklady z drobného dlouhodobého majetku</t>
  </si>
  <si>
    <t>55890501     VČ - DDHM</t>
  </si>
  <si>
    <t>56     Finanční náklady</t>
  </si>
  <si>
    <t>563     Kurzové ztráty</t>
  </si>
  <si>
    <t>56300     Převod HČ - kurzové ztráty</t>
  </si>
  <si>
    <t>56300000     převod HČ - kurzové ztráty</t>
  </si>
  <si>
    <t>56301     Kurzové ztráty</t>
  </si>
  <si>
    <t>56301000     kurzové ztráty</t>
  </si>
  <si>
    <t>56390     Převod VŠ - kurzové ztáty</t>
  </si>
  <si>
    <t>56390510     převod VČ -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</si>
  <si>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</si>
  <si>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</si>
  <si>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</si>
  <si>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</si>
  <si>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60210354     zdr.služby - cizinci</t>
  </si>
  <si>
    <t>60210359     zdr.služby - tuzemci (plastika atd. ...)</t>
  </si>
  <si>
    <t>60227     Zdr. služby - výkony ředění cytos.  LEK</t>
  </si>
  <si>
    <t>60227100     výkony ředění cytostat. - VZP</t>
  </si>
  <si>
    <t>60227200     výkony ředění cytostat. - ZP</t>
  </si>
  <si>
    <t>60227300     dispenzační poplatek lékárny</t>
  </si>
  <si>
    <t>60228     Zdr. výkony - VZP sledov.položky    OZPI</t>
  </si>
  <si>
    <t>60228190     výkony pojištěncům EHS</t>
  </si>
  <si>
    <t>60229     Zdr. výkony - ZP sled.položky  OZPI</t>
  </si>
  <si>
    <t>60229202     výkony pojišť.EHS, výkony za cizinci (mimo EHS)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</si>
  <si>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</si>
  <si>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</si>
  <si>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</si>
  <si>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</si>
  <si>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</si>
  <si>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</si>
  <si>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60246401     tržby ZP za zdrav.péči - dorovnání min.let</t>
  </si>
  <si>
    <t>604     Výnosy z prodaného zboží</t>
  </si>
  <si>
    <t>60450     Výnosy z prodaného zboží LEK</t>
  </si>
  <si>
    <t>60450360     prodej - doplatky pacientů</t>
  </si>
  <si>
    <t>60450361     prodej derivátů zdrav.zařízením a ostatním organizacím</t>
  </si>
  <si>
    <t>60450363     prodej ostatním org.</t>
  </si>
  <si>
    <t>60450364     recepty pro VZP</t>
  </si>
  <si>
    <t>60450365     recepty pro ZP</t>
  </si>
  <si>
    <t>60450366     prodej ZPr za hotové - výdejna PZT</t>
  </si>
  <si>
    <t>60450367     poukazy pro VZP</t>
  </si>
  <si>
    <t>60450368     poukazy pro ZP</t>
  </si>
  <si>
    <t>60450370     prodej léků zdravotnickým zařízením</t>
  </si>
  <si>
    <t>60450371     prodej - enter.a parent.výživa - ostatním organizacím</t>
  </si>
  <si>
    <t>60450374     prodej - enter.a parent.výživa - zdravotnickým zařízením</t>
  </si>
  <si>
    <t>60450376     prodej center - recepty VZP</t>
  </si>
  <si>
    <t>60450377     prodej center - ZP</t>
  </si>
  <si>
    <t>60450382     prodej PZT FONI - VZP</t>
  </si>
  <si>
    <t>60450383     prodej PZT FONI - ZP</t>
  </si>
  <si>
    <t>60450384     prodej PZT FONI - doplatky pacientů</t>
  </si>
  <si>
    <t>60450560     prodej neléčiv</t>
  </si>
  <si>
    <t>64     Jiné provozní výnosy</t>
  </si>
  <si>
    <t>641     Smluvní pokuty a úroky z prodlení</t>
  </si>
  <si>
    <t>64100     Smluvní pokuty a úroky z prodlení</t>
  </si>
  <si>
    <t>64100044     penále z prodl. - LEK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</si>
  <si>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</si>
  <si>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</si>
  <si>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</si>
  <si>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</si>
  <si>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</si>
  <si>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</si>
  <si>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</si>
  <si>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</si>
  <si>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</si>
  <si>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</si>
  <si>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64908007     ostatní výnosy</t>
  </si>
  <si>
    <t>64908009     smlouva o účelově vázané úplatě</t>
  </si>
  <si>
    <t>64910     Bonusy</t>
  </si>
  <si>
    <t>64910001     bonusy finanční - za léky (pro kliniky)</t>
  </si>
  <si>
    <t>64924     Ostatní služby - mimo zdrav.výkony  FAKTURACE</t>
  </si>
  <si>
    <t>64924447     ostatní provoz.sl. - hl.činnost (LPS)</t>
  </si>
  <si>
    <t>64924449     ostatní provoz.sl.-hl.čin.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</si>
  <si>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</si>
  <si>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</si>
  <si>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</si>
  <si>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</si>
  <si>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</si>
  <si>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</si>
  <si>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</si>
  <si>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</si>
  <si>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</si>
  <si>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</si>
  <si>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</si>
  <si>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</si>
  <si>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</si>
  <si>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79900     Převod HČ - VPN</t>
  </si>
  <si>
    <t>79900000     převod HČ - VPN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</si>
  <si>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</si>
  <si>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</si>
  <si>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</si>
  <si>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</si>
  <si>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</si>
  <si>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</si>
  <si>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</si>
  <si>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</si>
  <si>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79905     Distribuce prádle (stř.9412)</t>
  </si>
  <si>
    <t>79905001     režie - distribuce prádle (stř.9412)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</si>
  <si>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</si>
  <si>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</si>
  <si>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</si>
  <si>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</si>
  <si>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</si>
  <si>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</si>
  <si>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</si>
  <si>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</si>
  <si>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79990     VĆ - ZVIT technická údržba</t>
  </si>
  <si>
    <t>79990502     VČ - ZVIT technická údržba</t>
  </si>
  <si>
    <t>79990510     VČ - informatika</t>
  </si>
  <si>
    <t>79990550     VČ - správní režie</t>
  </si>
  <si>
    <t>8     Účtová třída 8 - Vnitropodnikové účetnictví - výnosy</t>
  </si>
  <si>
    <t>89     Vnitropodnikové výnosy</t>
  </si>
  <si>
    <t>899     Vnitropodnikové výnosy</t>
  </si>
  <si>
    <t>89901     VPN - lékárna</t>
  </si>
  <si>
    <t>89901001     ředění cytostatik</t>
  </si>
  <si>
    <t>89901002     výdej HVLP</t>
  </si>
  <si>
    <t>89910     VPV - informační technologie</t>
  </si>
  <si>
    <t>89910002     výkony IT - variabilní výnosy (stř.9086)</t>
  </si>
  <si>
    <t>89920     VPV - mezistřediskové převody</t>
  </si>
  <si>
    <t>89920000     mezistřediskové převody</t>
  </si>
  <si>
    <t>89920004     převody - klinické studie</t>
  </si>
  <si>
    <t>48</t>
  </si>
  <si>
    <t>LEK: Lékárna</t>
  </si>
  <si>
    <t/>
  </si>
  <si>
    <t>50113001 - léky - paušál (LEK)</t>
  </si>
  <si>
    <t>LEK: Lékárna Celkem</t>
  </si>
  <si>
    <t>SumaKL</t>
  </si>
  <si>
    <t>4802</t>
  </si>
  <si>
    <t>LEK: lékárna -výdejna Z (hlavní lékárna)</t>
  </si>
  <si>
    <t>LEK: lékárna -výdejna Z (hlavní lékárna) Celkem</t>
  </si>
  <si>
    <t>SumaNS</t>
  </si>
  <si>
    <t>mezeraNS</t>
  </si>
  <si>
    <t>4806</t>
  </si>
  <si>
    <t>LEK: lékárna - výdej HVLP</t>
  </si>
  <si>
    <t>LEK: lékárna - výdej HVLP Celkem</t>
  </si>
  <si>
    <t>4841</t>
  </si>
  <si>
    <t>LEK: lékárna - oddělení ředění cytostatik</t>
  </si>
  <si>
    <t>LEK: lékárna - oddělení ředění cytostatik Celkem</t>
  </si>
  <si>
    <t>4842</t>
  </si>
  <si>
    <t>LEK: lékárna - oddělení přípravy sterilních léčiv</t>
  </si>
  <si>
    <t>LEK: lékárna - oddělení přípravy sterilních léčiv Celkem</t>
  </si>
  <si>
    <t>4843</t>
  </si>
  <si>
    <t>LEK: lékárna - oddělení přípravy léčiv</t>
  </si>
  <si>
    <t>LEK: lékárna - oddělení přípravy léčiv Celkem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</si>
  <si>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</si>
  <si>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</si>
  <si>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</si>
  <si>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</si>
  <si>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</si>
  <si>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</si>
  <si>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</si>
  <si>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4804</t>
  </si>
  <si>
    <t>LEK: lékárna - výdejna A (monoblok)</t>
  </si>
  <si>
    <t>LEK: lékárna - výdejna A (monoblok) Celkem</t>
  </si>
  <si>
    <t>4844</t>
  </si>
  <si>
    <t>LEK: lékárna - oddělení diagnostik</t>
  </si>
  <si>
    <t>LEK: lékárna - oddělení diagnostik Celkem</t>
  </si>
  <si>
    <t>50115060</t>
  </si>
  <si>
    <t>ZPr - ostatní (Z503)</t>
  </si>
  <si>
    <t>ZP199</t>
  </si>
  <si>
    <t>Nádoba na kontaminovaný odpad 30 l PP s víkem 335 x 400 x 318 mm 4430</t>
  </si>
  <si>
    <t>50115050</t>
  </si>
  <si>
    <t>obvazový materiál (Z502)</t>
  </si>
  <si>
    <t>ZC854</t>
  </si>
  <si>
    <t>Kompresa NT 7,5 x 7,5 cm/2 ks sterilní 26510</t>
  </si>
  <si>
    <t>ZA583</t>
  </si>
  <si>
    <t>Čtverečky desinfekční Webcol 3,5 x 3,5 cm 70% á 4000 ks 6818-1</t>
  </si>
  <si>
    <t>ZB404</t>
  </si>
  <si>
    <t>Náplast cosmos 8 cm x 1 m 5403353</t>
  </si>
  <si>
    <t>ZA450</t>
  </si>
  <si>
    <t>Náplast omniplast 1,25 cm x 9,1 m 9004520</t>
  </si>
  <si>
    <t>ZA444</t>
  </si>
  <si>
    <t>Tampon nesterilní stáčený 20 x 19 cm bez RTG nití bal. á 100 ks 1320300404</t>
  </si>
  <si>
    <t>ZQ569</t>
  </si>
  <si>
    <t>Vata buničitá dělená cellin 2 role / 500 ks 40 x 50 mm 1230206310</t>
  </si>
  <si>
    <t>ZK504</t>
  </si>
  <si>
    <t>Filtr mini spike červený 4550340</t>
  </si>
  <si>
    <t>ZA737</t>
  </si>
  <si>
    <t>Filtr mini spike modrý 4550234</t>
  </si>
  <si>
    <t>ZK335</t>
  </si>
  <si>
    <t>Filtr sterifix 0,2um infúzní 4099303</t>
  </si>
  <si>
    <t>ZF159</t>
  </si>
  <si>
    <t>Nádoba na kontaminovaný odpad 1 l 15-0002</t>
  </si>
  <si>
    <t>ZK506</t>
  </si>
  <si>
    <t>Pumpa infuzní elastometrická Infusor LV 1,5 7 denní á. 12 ks 240 ml 2C2087K</t>
  </si>
  <si>
    <t>ZK505</t>
  </si>
  <si>
    <t>Pumpa infuzní elastometrická Infusor LV 2 5 denní á 12 ks 240 ml 2C2008K</t>
  </si>
  <si>
    <t>ZC986</t>
  </si>
  <si>
    <t>Pumpa infuzní elastometrická Infusor LV 5 2 denní á 12 ks 240 ml 2C2009K</t>
  </si>
  <si>
    <t>ZA789</t>
  </si>
  <si>
    <t>Stříkačka injekční 2-dílná 2 ml L Inject Solo 4606027V</t>
  </si>
  <si>
    <t>ZA746</t>
  </si>
  <si>
    <t>Stříkačka injekční 3-dílná 1 ml L tuberculin Omnifix Solo 9161406V</t>
  </si>
  <si>
    <t>ZA754</t>
  </si>
  <si>
    <t>Stříkačka injekční 3-dílná 10 ml LL Omnifix Solo se závitem 4617100V</t>
  </si>
  <si>
    <t>ZB384</t>
  </si>
  <si>
    <t>Stříkačka injekční 3-dílná 20 ml LL Omnifix Solo se závitem bal. á 100 ks 4617207V</t>
  </si>
  <si>
    <t>ZB615</t>
  </si>
  <si>
    <t>Stříkačka injekční 3-dílná 3 ml LL Omnifix Solo se závitem bal. á 100 ks 4617022V</t>
  </si>
  <si>
    <t>ZB796</t>
  </si>
  <si>
    <t>Stříkačka injekční 3-dílná 30 ml LL Omnifix Solo bal. á 100 ks 4617304F</t>
  </si>
  <si>
    <t>ZE308</t>
  </si>
  <si>
    <t>Stříkačka injekční 3-dílná 5 ml LL Omnifix Solo se závitem 4617053V</t>
  </si>
  <si>
    <t>ZH491</t>
  </si>
  <si>
    <t>Stříkačka injekční 3-dílná 50 - 60 ml LL MRG00711</t>
  </si>
  <si>
    <t>ZA749</t>
  </si>
  <si>
    <t>Stříkačka injekční 3-dílná 50 ml LL Omnifix Solo 4617509F</t>
  </si>
  <si>
    <t>ZB801</t>
  </si>
  <si>
    <t>Transofix krátký trn á 50 ks 4090500</t>
  </si>
  <si>
    <t>ZN271</t>
  </si>
  <si>
    <t>Vak pro parenterální výživu TPN EVA 125 ml bal á 50 ks E1301OD</t>
  </si>
  <si>
    <t>ZK799</t>
  </si>
  <si>
    <t>Zátka combi červená 4495101</t>
  </si>
  <si>
    <t>ZK798</t>
  </si>
  <si>
    <t>Zátka combi modrá 4495152</t>
  </si>
  <si>
    <t>50115063</t>
  </si>
  <si>
    <t>ZPr - vaky, sety (Z528)</t>
  </si>
  <si>
    <t>ZQ649</t>
  </si>
  <si>
    <t>Set infuzní  Spike (DEHP free) s filtrem 0,2 um, délka 2,2 m k mobilní pumpě Mini Rythmic PN+ bal. á 20 ks KE1EE192X</t>
  </si>
  <si>
    <t>ZK502</t>
  </si>
  <si>
    <t>Set infuzní infusomat 8700095SP</t>
  </si>
  <si>
    <t>ZA716</t>
  </si>
  <si>
    <t>Set infuzní intrafix air bez PVC 180 cm 4063002</t>
  </si>
  <si>
    <t>ZA714</t>
  </si>
  <si>
    <t>Set infuzní intrafix černý k apl.cytostatik 180 cm á 100 ks 4060563</t>
  </si>
  <si>
    <t>ZA715</t>
  </si>
  <si>
    <t>Set infuzní intrafix primeline classic 150 cm 4062957</t>
  </si>
  <si>
    <t>50115065</t>
  </si>
  <si>
    <t>ZPr - vpichovací materiál (Z530)</t>
  </si>
  <si>
    <t>ZB436</t>
  </si>
  <si>
    <t>Jehla eco flac mix, bal. 250 ks, 16401</t>
  </si>
  <si>
    <t>ZB556</t>
  </si>
  <si>
    <t>Jehla injekční 1,2 x 40 mm růžová 4665120</t>
  </si>
  <si>
    <t>ZQ955</t>
  </si>
  <si>
    <t>Jehla injekční 16G 1,65 x 40 mm, bílá BD Microlance bal. á 100 ks 300637</t>
  </si>
  <si>
    <t>50115067</t>
  </si>
  <si>
    <t>ZPr - rukavice (Z532)</t>
  </si>
  <si>
    <t>ZO934</t>
  </si>
  <si>
    <t>Rukavice operační latex bez pudru sterilní sempermed derma PF vel. 6,5 39472</t>
  </si>
  <si>
    <t>ZO935</t>
  </si>
  <si>
    <t>Rukavice operační latex bez pudru sterilní sempermed derma PF vel. 7,0 39473</t>
  </si>
  <si>
    <t>ZP019</t>
  </si>
  <si>
    <t>Rukavice operační latex bez pudru sterilní sempermed derma PF vel. 7,5 39474</t>
  </si>
  <si>
    <t>ZK499</t>
  </si>
  <si>
    <t>Rukavice operační latex s polyuretanem a silikonem sterilní ansell gammex PFXP chemo cytostatické vel. 6,5 bal. á 50 párů 330054065</t>
  </si>
  <si>
    <t>ZK500</t>
  </si>
  <si>
    <t>Rukavice operační latex s polyuretanem a silikonem sterilní ansell gammex PFXP chemo cytostatické vel. 7,0 bal. á 50 párů 330054070</t>
  </si>
  <si>
    <t>ZP948</t>
  </si>
  <si>
    <t>Rukavice vyšetřovací nitril basic bez pudru modré L bal. á 200 ks 44752</t>
  </si>
  <si>
    <t>ZP947</t>
  </si>
  <si>
    <t>Rukavice vyšetřovací nitril basic bez pudru modré M bal. á 200 ks 44751</t>
  </si>
  <si>
    <t>ZP946</t>
  </si>
  <si>
    <t>Rukavice vyšetřovací nitril basic bez pudru modré S bal. á 200 ks 44750</t>
  </si>
  <si>
    <t>ZP949</t>
  </si>
  <si>
    <t>Rukavice vyšetřovací nitril basic bez pudru modré XL bal. á 170 ks 44753</t>
  </si>
  <si>
    <t>50115040</t>
  </si>
  <si>
    <t>laboratorní materiál (Z505)</t>
  </si>
  <si>
    <t>ZR147</t>
  </si>
  <si>
    <t>Láhev odsávací (válcovitý tvar) se skleněnou olivkou, objem 5000 ml, průměr dna 185 ml, průměr hrdla 80 mm, výška 360 mm VTRB632412022956</t>
  </si>
  <si>
    <t>ZE159</t>
  </si>
  <si>
    <t>Nádoba na kontaminovaný odpad 2 l 15-0003</t>
  </si>
  <si>
    <t>ZF192</t>
  </si>
  <si>
    <t>Nádoba na kontaminovaný odpad 4 l 15-0004</t>
  </si>
  <si>
    <t>ZN277</t>
  </si>
  <si>
    <t>Set hadicový EXACTA mikroobjemový s ovzdušněním bal. á 25 ks H938175</t>
  </si>
  <si>
    <t>ZN278</t>
  </si>
  <si>
    <t>Set hadicový EXACTA pro stříkačku bal. á 25 ks H938176</t>
  </si>
  <si>
    <t>ZN279</t>
  </si>
  <si>
    <t>Set hadicový EXACTA valve EM2400 základní s ventily bal. á 10 ks H938724E</t>
  </si>
  <si>
    <t>ZN276</t>
  </si>
  <si>
    <t>Set hadicový EXACTA vysokoobjemový s ovzdušněním bal. á 25 ks H938174</t>
  </si>
  <si>
    <t>ZA787</t>
  </si>
  <si>
    <t>Stříkačka injekční 2-dílná 10 ml L Inject Solo 4606108V</t>
  </si>
  <si>
    <t>ZD835</t>
  </si>
  <si>
    <t>Stříkačka injekční 3-dílná 1 ml LL plastipak bal. á 100 ks 309628</t>
  </si>
  <si>
    <t>ZB657</t>
  </si>
  <si>
    <t>Vak na skladování trombocytů transfer 600 ml 814-0611 (814-0631)</t>
  </si>
  <si>
    <t>ZP592</t>
  </si>
  <si>
    <t>Vak pro parenterální víživu TPN EVA 1000 ml bal á 40 ks E1310OD</t>
  </si>
  <si>
    <t>ZN273</t>
  </si>
  <si>
    <t>Vak pro parenterální víživu TPN EVA 2000 ml bal á 35 ks E1320OD</t>
  </si>
  <si>
    <t>ZN270</t>
  </si>
  <si>
    <t>Vak pro parenterální víživu TPN EVA 250 ml bal á 50 ks E1302OD</t>
  </si>
  <si>
    <t>ZN272</t>
  </si>
  <si>
    <t>Vak pro parenterální víživu TPN EVA 500 ml bal á 50 ks E1305OD</t>
  </si>
  <si>
    <t>ZN041</t>
  </si>
  <si>
    <t>Rukavice operační latex bez pudru sterilní  PF ansell gammex vel. 6,5 330048065</t>
  </si>
  <si>
    <t>ZN126</t>
  </si>
  <si>
    <t>Rukavice operační latex bez pudru sterilní  PF ansell gammex vel. 7,0 330048070</t>
  </si>
  <si>
    <t>ZN125</t>
  </si>
  <si>
    <t>Rukavice operační latex bez pudru sterilní  PF ansell gammex vel.7,5 330048075</t>
  </si>
  <si>
    <t>50115020</t>
  </si>
  <si>
    <t>laboratorní diagnostika-LEK (Z501)</t>
  </si>
  <si>
    <t>DE167</t>
  </si>
  <si>
    <t>2,6DICHLOROQUINONE4CHLOROIMIDE</t>
  </si>
  <si>
    <t>DB257</t>
  </si>
  <si>
    <t>CHLOROFORM P.A. - stab. methanolem</t>
  </si>
  <si>
    <t>DG145</t>
  </si>
  <si>
    <t>kyselina CHLOROVODÍKOVÁ 35% P.A.</t>
  </si>
  <si>
    <t>DG146</t>
  </si>
  <si>
    <t>kyselina OCTOVA 99,8%  P.A. - ledova</t>
  </si>
  <si>
    <t>DD137</t>
  </si>
  <si>
    <t>NORM.HYDROXID SODNÝ N/10</t>
  </si>
  <si>
    <t>DI434</t>
  </si>
  <si>
    <t>Oxidising biocide HYDREX 4203</t>
  </si>
  <si>
    <t>DG213</t>
  </si>
  <si>
    <t>PUFR FOSFAT.PH7,100 ML</t>
  </si>
  <si>
    <t>ZE837</t>
  </si>
  <si>
    <t>Pipeta pasteurova 3 ml nesterilní bal. á 500 ks 331690270550</t>
  </si>
  <si>
    <t>DH989</t>
  </si>
  <si>
    <t>Portagerm Pylori</t>
  </si>
  <si>
    <t>ZC037</t>
  </si>
  <si>
    <t>Kádinka vysoká sklo 1000 ml (213-1068) VTRB632417012940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</si>
  <si>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</si>
  <si>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</si>
  <si>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</si>
  <si>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</si>
  <si>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</si>
  <si>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</si>
  <si>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</si>
  <si>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</si>
  <si>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ON Data</t>
  </si>
  <si>
    <t>lékaři pod odborným dozorem</t>
  </si>
  <si>
    <t>farmaceuti</t>
  </si>
  <si>
    <t>všeobecné sestry bez dohl.</t>
  </si>
  <si>
    <t>farmaceutičtí asistenti</t>
  </si>
  <si>
    <t>sanitáři</t>
  </si>
  <si>
    <t>THP</t>
  </si>
  <si>
    <t>Specializovaná ambulantní péče</t>
  </si>
  <si>
    <t xml:space="preserve">006 - </t>
  </si>
  <si>
    <t>Zdravotní výkony vykázané na pracovišti v rámci ambulantní péče *</t>
  </si>
  <si>
    <t>4807</t>
  </si>
  <si>
    <t>beze jména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</si>
  <si>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</si>
  <si>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</si>
  <si>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</si>
  <si>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</si>
  <si>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006</t>
  </si>
  <si>
    <t>V</t>
  </si>
  <si>
    <t>05751</t>
  </si>
  <si>
    <t>KOMPLEXNÍ ZHODNOCENÍ MÍRY RIZIKOVOSTI PACIENTA KLI</t>
  </si>
  <si>
    <t>05753</t>
  </si>
  <si>
    <t>STANOVENÍ PLÁNU RACIONALIZACE FARMAKOTERAPIE PACIE</t>
  </si>
  <si>
    <t>05755</t>
  </si>
  <si>
    <t xml:space="preserve">OVĚŘENÍ ÚČINNOSTI STANOVENÉHO PLÁNU RACIONALIZACE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</si>
  <si>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</si>
  <si>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</si>
  <si>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02 - 2IK-GER: II. Interní klinika gastroenter. a geria.</t>
  </si>
  <si>
    <t>04 - 1CHIR: I. Chirurgická klinika</t>
  </si>
  <si>
    <t>07 - KARIM: Klinika anesteziologie,resuscit. a int.med.</t>
  </si>
  <si>
    <t>16 - PLIC: Klinika plicních nemocí a tuber.</t>
  </si>
  <si>
    <t>21 - ONK: Onkologická klinika</t>
  </si>
  <si>
    <t>30 - GER: Oddělení geriatrie</t>
  </si>
  <si>
    <t>32 - HOK: Hemato-onkologická klinika</t>
  </si>
  <si>
    <t>59 - IPCHO: Oddělení int. péče chirurg. oborů</t>
  </si>
  <si>
    <t>02</t>
  </si>
  <si>
    <t>04</t>
  </si>
  <si>
    <t>07</t>
  </si>
  <si>
    <t>16</t>
  </si>
  <si>
    <t>21</t>
  </si>
  <si>
    <t>30</t>
  </si>
  <si>
    <t>32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</si>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</sst>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97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84">
    <xf numFmtId="0" fontId="0" fillId="0" borderId="0" xfId="0"/>
    <xf numFmtId="0" fontId="27" fillId="2" borderId="17" xfId="80" applyFont="1" applyFill="1" applyBorder="1"/>
    <xf numFmtId="0" fontId="28" fillId="2" borderId="18" xfId="80" applyFont="1" applyFill="1" applyBorder="1"/>
    <xf numFmtId="3" fontId="28" fillId="2" borderId="19" xfId="80" applyNumberFormat="1" applyFont="1" applyFill="1" applyBorder="1"/>
    <xf numFmtId="0" fontId="28" fillId="4" borderId="18" xfId="80" applyFont="1" applyFill="1" applyBorder="1"/>
    <xf numFmtId="3" fontId="28" fillId="4" borderId="19" xfId="80" applyNumberFormat="1" applyFont="1" applyFill="1" applyBorder="1"/>
    <xf numFmtId="171" fontId="28" fillId="3" borderId="19" xfId="80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0" applyNumberFormat="1" applyFont="1" applyFill="1" applyBorder="1"/>
    <xf numFmtId="3" fontId="27" fillId="5" borderId="8" xfId="80" applyNumberFormat="1" applyFont="1" applyFill="1" applyBorder="1"/>
    <xf numFmtId="3" fontId="27" fillId="5" borderId="12" xfId="80" applyNumberFormat="1" applyFont="1" applyFill="1" applyBorder="1"/>
    <xf numFmtId="0" fontId="27" fillId="5" borderId="0" xfId="80" applyFont="1" applyFill="1"/>
    <xf numFmtId="10" fontId="27" fillId="5" borderId="0" xfId="80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0" applyNumberFormat="1" applyFont="1" applyFill="1" applyBorder="1"/>
    <xf numFmtId="3" fontId="27" fillId="5" borderId="29" xfId="80" applyNumberFormat="1" applyFont="1" applyFill="1" applyBorder="1"/>
    <xf numFmtId="3" fontId="27" fillId="5" borderId="25" xfId="80" applyNumberFormat="1" applyFont="1" applyFill="1" applyBorder="1"/>
    <xf numFmtId="3" fontId="27" fillId="5" borderId="9" xfId="80" applyNumberFormat="1" applyFont="1" applyFill="1" applyBorder="1"/>
    <xf numFmtId="3" fontId="27" fillId="5" borderId="10" xfId="80" applyNumberFormat="1" applyFont="1" applyFill="1" applyBorder="1"/>
    <xf numFmtId="3" fontId="27" fillId="5" borderId="13" xfId="80" applyNumberFormat="1" applyFont="1" applyFill="1" applyBorder="1"/>
    <xf numFmtId="3" fontId="27" fillId="5" borderId="14" xfId="80" applyNumberFormat="1" applyFont="1" applyFill="1" applyBorder="1"/>
    <xf numFmtId="3" fontId="28" fillId="2" borderId="27" xfId="80" applyNumberFormat="1" applyFont="1" applyFill="1" applyBorder="1"/>
    <xf numFmtId="3" fontId="28" fillId="2" borderId="20" xfId="80" applyNumberFormat="1" applyFont="1" applyFill="1" applyBorder="1"/>
    <xf numFmtId="3" fontId="28" fillId="4" borderId="27" xfId="80" applyNumberFormat="1" applyFont="1" applyFill="1" applyBorder="1"/>
    <xf numFmtId="3" fontId="28" fillId="4" borderId="20" xfId="80" applyNumberFormat="1" applyFont="1" applyFill="1" applyBorder="1"/>
    <xf numFmtId="171" fontId="28" fillId="3" borderId="27" xfId="80" applyNumberFormat="1" applyFont="1" applyFill="1" applyBorder="1"/>
    <xf numFmtId="171" fontId="28" fillId="3" borderId="20" xfId="80" applyNumberFormat="1" applyFont="1" applyFill="1" applyBorder="1"/>
    <xf numFmtId="0" fontId="31" fillId="2" borderId="25" xfId="80" applyFont="1" applyFill="1" applyBorder="1" applyAlignment="1">
      <alignment horizontal="center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8" fillId="0" borderId="36" xfId="81" applyFont="1" applyFill="1" applyBorder="1" applyAlignment="1"/>
    <xf numFmtId="0" fontId="29" fillId="0" borderId="0" xfId="49" applyFont="1" applyFill="1"/>
    <xf numFmtId="164" fontId="3" fillId="0" borderId="57" xfId="53" applyNumberFormat="1" applyFont="1" applyFill="1" applyBorder="1"/>
    <xf numFmtId="9" fontId="3" fillId="0" borderId="57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2" xfId="0" applyFont="1" applyFill="1" applyBorder="1" applyAlignment="1"/>
    <xf numFmtId="0" fontId="3" fillId="2" borderId="55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4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31" fillId="2" borderId="44" xfId="0" applyFont="1" applyFill="1" applyBorder="1" applyAlignment="1">
      <alignment horizontal="center"/>
    </xf>
    <xf numFmtId="3" fontId="3" fillId="0" borderId="56" xfId="53" applyNumberFormat="1" applyFont="1" applyFill="1" applyBorder="1"/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0" fontId="31" fillId="2" borderId="44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0" xfId="74" applyFont="1" applyFill="1" applyBorder="1" applyAlignment="1">
      <alignment horizontal="center"/>
    </xf>
    <xf numFmtId="0" fontId="27" fillId="5" borderId="36" xfId="80" applyFont="1" applyFill="1" applyBorder="1"/>
    <xf numFmtId="0" fontId="31" fillId="2" borderId="23" xfId="80" applyFont="1" applyFill="1" applyBorder="1" applyAlignment="1">
      <alignment horizontal="center"/>
    </xf>
    <xf numFmtId="0" fontId="31" fillId="2" borderId="22" xfId="80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0" applyNumberFormat="1" applyFont="1" applyFill="1" applyBorder="1"/>
    <xf numFmtId="9" fontId="28" fillId="4" borderId="20" xfId="80" applyNumberFormat="1" applyFont="1" applyFill="1" applyBorder="1"/>
    <xf numFmtId="9" fontId="28" fillId="3" borderId="20" xfId="80" applyNumberFormat="1" applyFont="1" applyFill="1" applyBorder="1"/>
    <xf numFmtId="0" fontId="31" fillId="2" borderId="21" xfId="80" applyFont="1" applyFill="1" applyBorder="1" applyAlignment="1">
      <alignment horizontal="center"/>
    </xf>
    <xf numFmtId="0" fontId="32" fillId="0" borderId="0" xfId="0" applyFont="1" applyFill="1"/>
    <xf numFmtId="0" fontId="32" fillId="0" borderId="44" xfId="0" applyFont="1" applyFill="1" applyBorder="1" applyAlignment="1"/>
    <xf numFmtId="0" fontId="32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50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7" xfId="0" applyNumberFormat="1" applyFont="1" applyFill="1" applyBorder="1"/>
    <xf numFmtId="3" fontId="39" fillId="2" borderId="48" xfId="0" applyNumberFormat="1" applyFont="1" applyFill="1" applyBorder="1"/>
    <xf numFmtId="9" fontId="39" fillId="2" borderId="51" xfId="0" applyNumberFormat="1" applyFont="1" applyFill="1" applyBorder="1"/>
    <xf numFmtId="0" fontId="50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9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50" fillId="4" borderId="49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4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0" applyFont="1" applyFill="1"/>
    <xf numFmtId="0" fontId="51" fillId="0" borderId="36" xfId="80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6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4" xfId="0" applyNumberFormat="1" applyFont="1" applyFill="1" applyBorder="1" applyAlignment="1"/>
    <xf numFmtId="9" fontId="32" fillId="0" borderId="44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0" fontId="31" fillId="2" borderId="83" xfId="74" applyFont="1" applyFill="1" applyBorder="1" applyAlignment="1">
      <alignment horizontal="center"/>
    </xf>
    <xf numFmtId="0" fontId="31" fillId="2" borderId="66" xfId="80" applyFont="1" applyFill="1" applyBorder="1" applyAlignment="1">
      <alignment horizontal="center"/>
    </xf>
    <xf numFmtId="0" fontId="31" fillId="2" borderId="67" xfId="80" applyFont="1" applyFill="1" applyBorder="1" applyAlignment="1">
      <alignment horizontal="center"/>
    </xf>
    <xf numFmtId="0" fontId="31" fillId="2" borderId="68" xfId="80" applyFont="1" applyFill="1" applyBorder="1" applyAlignment="1">
      <alignment horizontal="center"/>
    </xf>
    <xf numFmtId="0" fontId="31" fillId="2" borderId="69" xfId="80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9" fontId="32" fillId="0" borderId="73" xfId="0" applyNumberFormat="1" applyFont="1" applyBorder="1" applyAlignment="1"/>
    <xf numFmtId="0" fontId="25" fillId="2" borderId="34" xfId="1" applyFill="1" applyBorder="1" applyAlignment="1">
      <alignment horizontal="left" indent="4"/>
    </xf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49" fontId="37" fillId="2" borderId="73" xfId="0" quotePrefix="1" applyNumberFormat="1" applyFont="1" applyFill="1" applyBorder="1" applyAlignment="1">
      <alignment horizontal="center" vertical="center"/>
    </xf>
    <xf numFmtId="0" fontId="25" fillId="4" borderId="71" xfId="1" applyFill="1" applyBorder="1" applyAlignment="1">
      <alignment horizontal="left" indent="4"/>
    </xf>
    <xf numFmtId="0" fontId="25" fillId="4" borderId="34" xfId="1" applyFill="1" applyBorder="1" applyAlignment="1">
      <alignment horizontal="left" indent="2"/>
    </xf>
    <xf numFmtId="0" fontId="32" fillId="0" borderId="72" xfId="0" applyFont="1" applyBorder="1"/>
    <xf numFmtId="0" fontId="31" fillId="2" borderId="62" xfId="0" applyFont="1" applyFill="1" applyBorder="1" applyAlignment="1">
      <alignment horizontal="center" vertical="top" wrapText="1"/>
    </xf>
    <xf numFmtId="0" fontId="25" fillId="6" borderId="4" xfId="1" applyFill="1" applyBorder="1"/>
    <xf numFmtId="0" fontId="31" fillId="2" borderId="38" xfId="80" applyFont="1" applyFill="1" applyBorder="1" applyAlignment="1">
      <alignment horizontal="center"/>
    </xf>
    <xf numFmtId="0" fontId="31" fillId="2" borderId="39" xfId="80" applyFont="1" applyFill="1" applyBorder="1" applyAlignment="1">
      <alignment horizontal="center"/>
    </xf>
    <xf numFmtId="0" fontId="31" fillId="2" borderId="24" xfId="74" applyFont="1" applyFill="1" applyBorder="1" applyAlignment="1">
      <alignment horizontal="center"/>
    </xf>
    <xf numFmtId="0" fontId="6" fillId="0" borderId="3" xfId="78" applyFont="1" applyFill="1" applyBorder="1" applyAlignment="1"/>
    <xf numFmtId="3" fontId="39" fillId="0" borderId="20" xfId="0" applyNumberFormat="1" applyFont="1" applyFill="1" applyBorder="1" applyAlignment="1"/>
    <xf numFmtId="0" fontId="39" fillId="2" borderId="18" xfId="0" applyFont="1" applyFill="1" applyBorder="1" applyAlignment="1">
      <alignment horizontal="right"/>
    </xf>
    <xf numFmtId="9" fontId="0" fillId="0" borderId="0" xfId="0" applyNumberFormat="1"/>
    <xf numFmtId="168" fontId="0" fillId="0" borderId="0" xfId="0" applyNumberFormat="1"/>
    <xf numFmtId="0" fontId="48" fillId="0" borderId="0" xfId="0" applyFont="1" applyFill="1" applyAlignment="1">
      <alignment horizontal="left" indent="2"/>
    </xf>
    <xf numFmtId="176" fontId="39" fillId="0" borderId="15" xfId="0" applyNumberFormat="1" applyFont="1" applyBorder="1" applyAlignment="1">
      <alignment vertical="center"/>
    </xf>
    <xf numFmtId="173" fontId="39" fillId="0" borderId="31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5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5" fillId="0" borderId="16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4" xfId="0" applyNumberFormat="1" applyFont="1" applyBorder="1" applyAlignment="1">
      <alignment horizontal="right" vertical="center"/>
    </xf>
    <xf numFmtId="9" fontId="39" fillId="0" borderId="88" xfId="0" applyNumberFormat="1" applyFont="1" applyBorder="1" applyAlignment="1">
      <alignment horizontal="right" vertical="center"/>
    </xf>
    <xf numFmtId="173" fontId="39" fillId="0" borderId="88" xfId="0" applyNumberFormat="1" applyFont="1" applyBorder="1" applyAlignment="1">
      <alignment horizontal="right" vertical="center"/>
    </xf>
    <xf numFmtId="173" fontId="39" fillId="0" borderId="60" xfId="0" applyNumberFormat="1" applyFont="1" applyBorder="1" applyAlignment="1">
      <alignment horizontal="right" vertical="center"/>
    </xf>
    <xf numFmtId="173" fontId="39" fillId="0" borderId="62" xfId="0" applyNumberFormat="1" applyFont="1" applyBorder="1" applyAlignment="1">
      <alignment vertical="center"/>
    </xf>
    <xf numFmtId="173" fontId="39" fillId="0" borderId="89" xfId="0" applyNumberFormat="1" applyFont="1" applyBorder="1" applyAlignment="1">
      <alignment vertical="center"/>
    </xf>
    <xf numFmtId="173" fontId="39" fillId="0" borderId="88" xfId="0" applyNumberFormat="1" applyFont="1" applyBorder="1" applyAlignment="1">
      <alignment vertical="center"/>
    </xf>
    <xf numFmtId="173" fontId="39" fillId="0" borderId="60" xfId="0" applyNumberFormat="1" applyFont="1" applyBorder="1" applyAlignment="1">
      <alignment vertical="center"/>
    </xf>
    <xf numFmtId="173" fontId="39" fillId="0" borderId="90" xfId="0" applyNumberFormat="1" applyFont="1" applyBorder="1" applyAlignment="1">
      <alignment vertical="center"/>
    </xf>
    <xf numFmtId="174" fontId="39" fillId="0" borderId="91" xfId="0" applyNumberFormat="1" applyFont="1" applyBorder="1" applyAlignment="1">
      <alignment vertical="center"/>
    </xf>
    <xf numFmtId="174" fontId="39" fillId="0" borderId="88" xfId="0" applyNumberFormat="1" applyFont="1" applyBorder="1" applyAlignment="1">
      <alignment vertical="center"/>
    </xf>
    <xf numFmtId="174" fontId="39" fillId="0" borderId="60" xfId="0" applyNumberFormat="1" applyFont="1" applyBorder="1" applyAlignment="1">
      <alignment vertical="center"/>
    </xf>
    <xf numFmtId="168" fontId="39" fillId="0" borderId="84" xfId="0" applyNumberFormat="1" applyFont="1" applyBorder="1" applyAlignment="1">
      <alignment vertical="center"/>
    </xf>
    <xf numFmtId="0" fontId="32" fillId="0" borderId="89" xfId="0" applyFont="1" applyBorder="1" applyAlignment="1">
      <alignment horizontal="center" vertical="center"/>
    </xf>
    <xf numFmtId="166" fontId="39" fillId="2" borderId="60" xfId="0" applyNumberFormat="1" applyFont="1" applyFill="1" applyBorder="1" applyAlignment="1">
      <alignment horizontal="center" vertical="center"/>
    </xf>
    <xf numFmtId="173" fontId="39" fillId="0" borderId="69" xfId="0" applyNumberFormat="1" applyFont="1" applyBorder="1" applyAlignment="1">
      <alignment horizontal="right" vertical="center"/>
    </xf>
    <xf numFmtId="175" fontId="39" fillId="0" borderId="68" xfId="0" applyNumberFormat="1" applyFont="1" applyBorder="1" applyAlignment="1">
      <alignment horizontal="right" vertical="center"/>
    </xf>
    <xf numFmtId="173" fontId="39" fillId="0" borderId="68" xfId="0" applyNumberFormat="1" applyFont="1" applyBorder="1" applyAlignment="1">
      <alignment horizontal="right" vertical="center"/>
    </xf>
    <xf numFmtId="173" fontId="39" fillId="0" borderId="69" xfId="0" applyNumberFormat="1" applyFont="1" applyBorder="1" applyAlignment="1">
      <alignment vertical="center"/>
    </xf>
    <xf numFmtId="173" fontId="39" fillId="0" borderId="68" xfId="0" applyNumberFormat="1" applyFont="1" applyBorder="1" applyAlignment="1">
      <alignment vertical="center"/>
    </xf>
    <xf numFmtId="173" fontId="39" fillId="0" borderId="67" xfId="0" applyNumberFormat="1" applyFont="1" applyBorder="1" applyAlignment="1">
      <alignment vertical="center"/>
    </xf>
    <xf numFmtId="176" fontId="39" fillId="0" borderId="67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5" fillId="9" borderId="73" xfId="0" quotePrefix="1" applyFont="1" applyFill="1" applyBorder="1" applyAlignment="1">
      <alignment horizontal="center" vertical="center" wrapText="1"/>
    </xf>
    <xf numFmtId="0" fontId="40" fillId="9" borderId="73" xfId="0" quotePrefix="1" applyFont="1" applyFill="1" applyBorder="1" applyAlignment="1">
      <alignment horizontal="center" vertical="center" wrapText="1"/>
    </xf>
    <xf numFmtId="0" fontId="40" fillId="9" borderId="72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97" xfId="0" applyNumberFormat="1" applyFont="1" applyFill="1" applyBorder="1"/>
    <xf numFmtId="3" fontId="0" fillId="7" borderId="61" xfId="0" applyNumberFormat="1" applyFont="1" applyFill="1" applyBorder="1"/>
    <xf numFmtId="0" fontId="0" fillId="0" borderId="98" xfId="0" applyNumberFormat="1" applyFont="1" applyBorder="1"/>
    <xf numFmtId="3" fontId="0" fillId="0" borderId="99" xfId="0" applyNumberFormat="1" applyFont="1" applyBorder="1"/>
    <xf numFmtId="0" fontId="0" fillId="7" borderId="98" xfId="0" applyNumberFormat="1" applyFont="1" applyFill="1" applyBorder="1"/>
    <xf numFmtId="3" fontId="0" fillId="7" borderId="99" xfId="0" applyNumberFormat="1" applyFont="1" applyFill="1" applyBorder="1"/>
    <xf numFmtId="0" fontId="53" fillId="8" borderId="98" xfId="0" applyNumberFormat="1" applyFont="1" applyFill="1" applyBorder="1"/>
    <xf numFmtId="3" fontId="53" fillId="8" borderId="99" xfId="0" applyNumberFormat="1" applyFont="1" applyFill="1" applyBorder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6" xfId="80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2" xfId="80" applyFont="1" applyFill="1" applyBorder="1" applyAlignment="1">
      <alignment horizontal="center"/>
    </xf>
    <xf numFmtId="0" fontId="31" fillId="2" borderId="43" xfId="80" applyFont="1" applyFill="1" applyBorder="1" applyAlignment="1">
      <alignment horizontal="center"/>
    </xf>
    <xf numFmtId="0" fontId="31" fillId="2" borderId="40" xfId="80" applyFont="1" applyFill="1" applyBorder="1" applyAlignment="1">
      <alignment horizontal="center"/>
    </xf>
    <xf numFmtId="0" fontId="31" fillId="2" borderId="59" xfId="80" applyFont="1" applyFill="1" applyBorder="1" applyAlignment="1">
      <alignment horizontal="center"/>
    </xf>
    <xf numFmtId="0" fontId="31" fillId="2" borderId="41" xfId="80" applyFont="1" applyFill="1" applyBorder="1" applyAlignment="1">
      <alignment horizontal="center"/>
    </xf>
    <xf numFmtId="0" fontId="31" fillId="2" borderId="83" xfId="80" applyFont="1" applyFill="1" applyBorder="1" applyAlignment="1">
      <alignment horizontal="center"/>
    </xf>
    <xf numFmtId="0" fontId="31" fillId="2" borderId="70" xfId="80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81" xfId="80" applyFont="1" applyFill="1" applyBorder="1" applyAlignment="1">
      <alignment horizontal="center"/>
    </xf>
    <xf numFmtId="0" fontId="31" fillId="2" borderId="82" xfId="80" applyFont="1" applyFill="1" applyBorder="1" applyAlignment="1">
      <alignment horizontal="center"/>
    </xf>
    <xf numFmtId="0" fontId="31" fillId="2" borderId="78" xfId="80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43" fillId="0" borderId="2" xfId="14" applyNumberFormat="1" applyFont="1" applyFill="1" applyBorder="1" applyAlignment="1"/>
    <xf numFmtId="166" fontId="39" fillId="2" borderId="67" xfId="0" applyNumberFormat="1" applyFont="1" applyFill="1" applyBorder="1" applyAlignment="1">
      <alignment horizontal="center" vertical="center"/>
    </xf>
    <xf numFmtId="0" fontId="32" fillId="0" borderId="92" xfId="0" applyFont="1" applyBorder="1" applyAlignment="1">
      <alignment horizontal="center" vertical="center"/>
    </xf>
    <xf numFmtId="0" fontId="55" fillId="4" borderId="85" xfId="0" applyFont="1" applyFill="1" applyBorder="1" applyAlignment="1">
      <alignment horizontal="center" vertical="center" wrapText="1"/>
    </xf>
    <xf numFmtId="0" fontId="55" fillId="4" borderId="93" xfId="0" applyFont="1" applyFill="1" applyBorder="1" applyAlignment="1">
      <alignment horizontal="center" vertical="center" wrapText="1"/>
    </xf>
    <xf numFmtId="0" fontId="55" fillId="4" borderId="76" xfId="0" applyFont="1" applyFill="1" applyBorder="1" applyAlignment="1">
      <alignment horizontal="center" vertical="center" wrapText="1"/>
    </xf>
    <xf numFmtId="0" fontId="55" fillId="4" borderId="86" xfId="0" applyFont="1" applyFill="1" applyBorder="1" applyAlignment="1">
      <alignment horizontal="center" vertical="center" wrapText="1"/>
    </xf>
    <xf numFmtId="0" fontId="55" fillId="4" borderId="77" xfId="0" applyFont="1" applyFill="1" applyBorder="1" applyAlignment="1">
      <alignment horizontal="center" vertical="center" wrapText="1"/>
    </xf>
    <xf numFmtId="0" fontId="55" fillId="4" borderId="87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5" fillId="2" borderId="85" xfId="0" applyNumberFormat="1" applyFont="1" applyFill="1" applyBorder="1" applyAlignment="1">
      <alignment horizontal="center" vertical="center" wrapText="1"/>
    </xf>
    <xf numFmtId="168" fontId="55" fillId="2" borderId="93" xfId="0" applyNumberFormat="1" applyFont="1" applyFill="1" applyBorder="1" applyAlignment="1">
      <alignment horizontal="center" vertical="center" wrapText="1"/>
    </xf>
    <xf numFmtId="0" fontId="55" fillId="2" borderId="76" xfId="0" applyFont="1" applyFill="1" applyBorder="1" applyAlignment="1">
      <alignment horizontal="center" vertical="center" wrapText="1"/>
    </xf>
    <xf numFmtId="0" fontId="55" fillId="2" borderId="86" xfId="0" applyFont="1" applyFill="1" applyBorder="1" applyAlignment="1">
      <alignment horizontal="center" vertical="center" wrapText="1"/>
    </xf>
    <xf numFmtId="0" fontId="55" fillId="2" borderId="77" xfId="0" applyFont="1" applyFill="1" applyBorder="1" applyAlignment="1">
      <alignment horizontal="center" vertical="center" wrapText="1"/>
    </xf>
    <xf numFmtId="0" fontId="55" fillId="2" borderId="87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5" fillId="4" borderId="76" xfId="0" applyNumberFormat="1" applyFont="1" applyFill="1" applyBorder="1" applyAlignment="1">
      <alignment horizontal="center" vertical="center"/>
    </xf>
    <xf numFmtId="3" fontId="55" fillId="4" borderId="86" xfId="0" applyNumberFormat="1" applyFont="1" applyFill="1" applyBorder="1" applyAlignment="1">
      <alignment horizontal="center" vertical="center"/>
    </xf>
    <xf numFmtId="9" fontId="55" fillId="4" borderId="76" xfId="0" applyNumberFormat="1" applyFont="1" applyFill="1" applyBorder="1" applyAlignment="1">
      <alignment horizontal="center" vertical="center"/>
    </xf>
    <xf numFmtId="9" fontId="55" fillId="4" borderId="86" xfId="0" applyNumberFormat="1" applyFont="1" applyFill="1" applyBorder="1" applyAlignment="1">
      <alignment horizontal="center" vertical="center"/>
    </xf>
    <xf numFmtId="3" fontId="55" fillId="4" borderId="77" xfId="0" applyNumberFormat="1" applyFont="1" applyFill="1" applyBorder="1" applyAlignment="1">
      <alignment horizontal="center" vertical="center" wrapText="1"/>
    </xf>
    <xf numFmtId="3" fontId="55" fillId="4" borderId="87" xfId="0" applyNumberFormat="1" applyFont="1" applyFill="1" applyBorder="1" applyAlignment="1">
      <alignment horizontal="center" vertical="center" wrapText="1"/>
    </xf>
    <xf numFmtId="0" fontId="39" fillId="2" borderId="94" xfId="0" applyFont="1" applyFill="1" applyBorder="1" applyAlignment="1">
      <alignment horizontal="center" vertical="center" wrapText="1"/>
    </xf>
    <xf numFmtId="0" fontId="39" fillId="2" borderId="79" xfId="0" applyFont="1" applyFill="1" applyBorder="1" applyAlignment="1">
      <alignment horizontal="center" vertical="center" wrapText="1"/>
    </xf>
    <xf numFmtId="0" fontId="55" fillId="9" borderId="96" xfId="0" applyFont="1" applyFill="1" applyBorder="1" applyAlignment="1">
      <alignment horizontal="center"/>
    </xf>
    <xf numFmtId="0" fontId="55" fillId="9" borderId="95" xfId="0" applyFont="1" applyFill="1" applyBorder="1" applyAlignment="1">
      <alignment horizontal="center"/>
    </xf>
    <xf numFmtId="0" fontId="55" fillId="9" borderId="75" xfId="0" applyFont="1" applyFill="1" applyBorder="1" applyAlignment="1">
      <alignment horizontal="center"/>
    </xf>
    <xf numFmtId="0" fontId="39" fillId="4" borderId="84" xfId="0" applyFont="1" applyFill="1" applyBorder="1" applyAlignment="1">
      <alignment horizontal="center" vertical="center" wrapText="1"/>
    </xf>
    <xf numFmtId="0" fontId="39" fillId="4" borderId="63" xfId="0" applyFont="1" applyFill="1" applyBorder="1" applyAlignment="1">
      <alignment horizontal="center" vertical="center" wrapText="1"/>
    </xf>
    <xf numFmtId="0" fontId="59" fillId="2" borderId="40" xfId="0" applyFont="1" applyFill="1" applyBorder="1" applyAlignment="1">
      <alignment horizontal="center"/>
    </xf>
    <xf numFmtId="0" fontId="59" fillId="2" borderId="81" xfId="0" applyFont="1" applyFill="1" applyBorder="1" applyAlignment="1">
      <alignment horizontal="center"/>
    </xf>
    <xf numFmtId="0" fontId="59" fillId="2" borderId="70" xfId="0" applyFont="1" applyFill="1" applyBorder="1" applyAlignment="1">
      <alignment horizontal="center"/>
    </xf>
    <xf numFmtId="0" fontId="59" fillId="4" borderId="24" xfId="0" applyFont="1" applyFill="1" applyBorder="1" applyAlignment="1">
      <alignment horizontal="center"/>
    </xf>
    <xf numFmtId="0" fontId="59" fillId="4" borderId="65" xfId="0" applyFont="1" applyFill="1" applyBorder="1" applyAlignment="1">
      <alignment horizontal="center"/>
    </xf>
    <xf numFmtId="0" fontId="59" fillId="4" borderId="66" xfId="0" applyFont="1" applyFill="1" applyBorder="1" applyAlignment="1">
      <alignment horizontal="center"/>
    </xf>
    <xf numFmtId="0" fontId="59" fillId="2" borderId="24" xfId="0" applyFont="1" applyFill="1" applyBorder="1" applyAlignment="1">
      <alignment horizontal="center"/>
    </xf>
    <xf numFmtId="0" fontId="59" fillId="2" borderId="65" xfId="0" applyFont="1" applyFill="1" applyBorder="1" applyAlignment="1">
      <alignment horizontal="center"/>
    </xf>
    <xf numFmtId="0" fontId="59" fillId="2" borderId="66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39" fillId="2" borderId="51" xfId="0" applyFont="1" applyFill="1" applyBorder="1" applyAlignment="1">
      <alignment vertical="center"/>
    </xf>
    <xf numFmtId="3" fontId="31" fillId="2" borderId="53" xfId="26" applyNumberFormat="1" applyFont="1" applyFill="1" applyBorder="1" applyAlignment="1">
      <alignment horizontal="center"/>
    </xf>
    <xf numFmtId="3" fontId="31" fillId="2" borderId="44" xfId="26" applyNumberFormat="1" applyFont="1" applyFill="1" applyBorder="1" applyAlignment="1">
      <alignment horizontal="center"/>
    </xf>
    <xf numFmtId="3" fontId="31" fillId="2" borderId="80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4" xfId="26" applyNumberFormat="1" applyFont="1" applyFill="1" applyBorder="1" applyAlignment="1">
      <alignment horizontal="center"/>
    </xf>
    <xf numFmtId="3" fontId="31" fillId="2" borderId="63" xfId="26" applyNumberFormat="1" applyFont="1" applyFill="1" applyBorder="1" applyAlignment="1">
      <alignment horizontal="center"/>
    </xf>
    <xf numFmtId="0" fontId="31" fillId="2" borderId="30" xfId="0" applyFont="1" applyFill="1" applyBorder="1" applyAlignment="1">
      <alignment horizontal="center" vertical="top" wrapText="1"/>
    </xf>
    <xf numFmtId="3" fontId="31" fillId="2" borderId="45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3" xfId="0" quotePrefix="1" applyFont="1" applyFill="1" applyBorder="1" applyAlignment="1">
      <alignment horizontal="center"/>
    </xf>
    <xf numFmtId="0" fontId="31" fillId="2" borderId="45" xfId="0" applyFont="1" applyFill="1" applyBorder="1" applyAlignment="1">
      <alignment horizontal="center"/>
    </xf>
    <xf numFmtId="9" fontId="44" fillId="2" borderId="45" xfId="0" applyNumberFormat="1" applyFont="1" applyFill="1" applyBorder="1" applyAlignment="1">
      <alignment horizontal="center" vertical="top"/>
    </xf>
    <xf numFmtId="0" fontId="31" fillId="2" borderId="62" xfId="0" applyNumberFormat="1" applyFont="1" applyFill="1" applyBorder="1" applyAlignment="1">
      <alignment horizontal="center" vertical="top"/>
    </xf>
    <xf numFmtId="0" fontId="31" fillId="2" borderId="62" xfId="0" applyFont="1" applyFill="1" applyBorder="1" applyAlignment="1">
      <alignment horizontal="center" vertical="top" wrapText="1"/>
    </xf>
    <xf numFmtId="0" fontId="31" fillId="2" borderId="53" xfId="0" quotePrefix="1" applyNumberFormat="1" applyFont="1" applyFill="1" applyBorder="1" applyAlignment="1">
      <alignment horizontal="center"/>
    </xf>
    <xf numFmtId="0" fontId="31" fillId="2" borderId="45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4" fillId="2" borderId="45" xfId="0" applyNumberFormat="1" applyFont="1" applyFill="1" applyBorder="1" applyAlignment="1">
      <alignment horizontal="center" vertical="top"/>
    </xf>
    <xf numFmtId="3" fontId="33" fillId="10" borderId="101" xfId="0" applyNumberFormat="1" applyFont="1" applyFill="1" applyBorder="1" applyAlignment="1">
      <alignment horizontal="right" vertical="top"/>
    </xf>
    <xf numFmtId="3" fontId="33" fillId="10" borderId="102" xfId="0" applyNumberFormat="1" applyFont="1" applyFill="1" applyBorder="1" applyAlignment="1">
      <alignment horizontal="right" vertical="top"/>
    </xf>
    <xf numFmtId="177" fontId="33" fillId="10" borderId="103" xfId="0" applyNumberFormat="1" applyFont="1" applyFill="1" applyBorder="1" applyAlignment="1">
      <alignment horizontal="right" vertical="top"/>
    </xf>
    <xf numFmtId="3" fontId="33" fillId="0" borderId="101" xfId="0" applyNumberFormat="1" applyFont="1" applyBorder="1" applyAlignment="1">
      <alignment horizontal="right" vertical="top"/>
    </xf>
    <xf numFmtId="177" fontId="33" fillId="10" borderId="104" xfId="0" applyNumberFormat="1" applyFont="1" applyFill="1" applyBorder="1" applyAlignment="1">
      <alignment horizontal="right" vertical="top"/>
    </xf>
    <xf numFmtId="3" fontId="35" fillId="10" borderId="106" xfId="0" applyNumberFormat="1" applyFont="1" applyFill="1" applyBorder="1" applyAlignment="1">
      <alignment horizontal="right" vertical="top"/>
    </xf>
    <xf numFmtId="3" fontId="35" fillId="10" borderId="107" xfId="0" applyNumberFormat="1" applyFont="1" applyFill="1" applyBorder="1" applyAlignment="1">
      <alignment horizontal="right" vertical="top"/>
    </xf>
    <xf numFmtId="0" fontId="35" fillId="10" borderId="108" xfId="0" applyFont="1" applyFill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0" fontId="35" fillId="10" borderId="109" xfId="0" applyFont="1" applyFill="1" applyBorder="1" applyAlignment="1">
      <alignment horizontal="right" vertical="top"/>
    </xf>
    <xf numFmtId="0" fontId="33" fillId="10" borderId="103" xfId="0" applyFont="1" applyFill="1" applyBorder="1" applyAlignment="1">
      <alignment horizontal="right" vertical="top"/>
    </xf>
    <xf numFmtId="0" fontId="33" fillId="10" borderId="104" xfId="0" applyFont="1" applyFill="1" applyBorder="1" applyAlignment="1">
      <alignment horizontal="right" vertical="top"/>
    </xf>
    <xf numFmtId="177" fontId="35" fillId="10" borderId="108" xfId="0" applyNumberFormat="1" applyFont="1" applyFill="1" applyBorder="1" applyAlignment="1">
      <alignment horizontal="right" vertical="top"/>
    </xf>
    <xf numFmtId="177" fontId="35" fillId="10" borderId="109" xfId="0" applyNumberFormat="1" applyFont="1" applyFill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3" fontId="35" fillId="0" borderId="111" xfId="0" applyNumberFormat="1" applyFont="1" applyBorder="1" applyAlignment="1">
      <alignment horizontal="right" vertical="top"/>
    </xf>
    <xf numFmtId="0" fontId="35" fillId="0" borderId="112" xfId="0" applyFont="1" applyBorder="1" applyAlignment="1">
      <alignment horizontal="right" vertical="top"/>
    </xf>
    <xf numFmtId="177" fontId="35" fillId="10" borderId="113" xfId="0" applyNumberFormat="1" applyFont="1" applyFill="1" applyBorder="1" applyAlignment="1">
      <alignment horizontal="right" vertical="top"/>
    </xf>
    <xf numFmtId="0" fontId="37" fillId="11" borderId="100" xfId="0" applyFont="1" applyFill="1" applyBorder="1" applyAlignment="1">
      <alignment vertical="top"/>
    </xf>
    <xf numFmtId="0" fontId="37" fillId="11" borderId="100" xfId="0" applyFont="1" applyFill="1" applyBorder="1" applyAlignment="1">
      <alignment vertical="top" indent="2"/>
    </xf>
    <xf numFmtId="0" fontId="37" fillId="11" borderId="100" xfId="0" applyFont="1" applyFill="1" applyBorder="1" applyAlignment="1">
      <alignment vertical="top" indent="4"/>
    </xf>
    <xf numFmtId="0" fontId="38" fillId="11" borderId="105" xfId="0" applyFont="1" applyFill="1" applyBorder="1" applyAlignment="1">
      <alignment vertical="top" indent="6"/>
    </xf>
    <xf numFmtId="0" fontId="37" fillId="11" borderId="100" xfId="0" applyFont="1" applyFill="1" applyBorder="1" applyAlignment="1">
      <alignment vertical="top" indent="8"/>
    </xf>
    <xf numFmtId="0" fontId="38" fillId="11" borderId="105" xfId="0" applyFont="1" applyFill="1" applyBorder="1" applyAlignment="1">
      <alignment vertical="top" indent="4"/>
    </xf>
    <xf numFmtId="0" fontId="37" fillId="11" borderId="100" xfId="0" applyFont="1" applyFill="1" applyBorder="1" applyAlignment="1">
      <alignment vertical="top" indent="6"/>
    </xf>
    <xf numFmtId="0" fontId="38" fillId="11" borderId="105" xfId="0" applyFont="1" applyFill="1" applyBorder="1" applyAlignment="1">
      <alignment vertical="top" indent="2"/>
    </xf>
    <xf numFmtId="0" fontId="32" fillId="11" borderId="100" xfId="0" applyFont="1" applyFill="1" applyBorder="1"/>
    <xf numFmtId="0" fontId="38" fillId="11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90" xfId="53" applyNumberFormat="1" applyFont="1" applyFill="1" applyBorder="1" applyAlignment="1">
      <alignment horizontal="left"/>
    </xf>
    <xf numFmtId="164" fontId="31" fillId="2" borderId="114" xfId="53" applyNumberFormat="1" applyFont="1" applyFill="1" applyBorder="1" applyAlignment="1">
      <alignment horizontal="left"/>
    </xf>
    <xf numFmtId="164" fontId="31" fillId="2" borderId="88" xfId="53" applyNumberFormat="1" applyFont="1" applyFill="1" applyBorder="1" applyAlignment="1">
      <alignment horizontal="left"/>
    </xf>
    <xf numFmtId="3" fontId="31" fillId="2" borderId="88" xfId="53" applyNumberFormat="1" applyFont="1" applyFill="1" applyBorder="1" applyAlignment="1">
      <alignment horizontal="left"/>
    </xf>
    <xf numFmtId="3" fontId="31" fillId="2" borderId="54" xfId="53" applyNumberFormat="1" applyFont="1" applyFill="1" applyBorder="1" applyAlignment="1">
      <alignment horizontal="left"/>
    </xf>
    <xf numFmtId="0" fontId="32" fillId="0" borderId="64" xfId="0" applyFont="1" applyFill="1" applyBorder="1"/>
    <xf numFmtId="0" fontId="32" fillId="0" borderId="65" xfId="0" applyFont="1" applyFill="1" applyBorder="1"/>
    <xf numFmtId="164" fontId="32" fillId="0" borderId="65" xfId="0" applyNumberFormat="1" applyFont="1" applyFill="1" applyBorder="1"/>
    <xf numFmtId="164" fontId="32" fillId="0" borderId="65" xfId="0" applyNumberFormat="1" applyFont="1" applyFill="1" applyBorder="1" applyAlignment="1">
      <alignment horizontal="right"/>
    </xf>
    <xf numFmtId="3" fontId="32" fillId="0" borderId="65" xfId="0" applyNumberFormat="1" applyFont="1" applyFill="1" applyBorder="1"/>
    <xf numFmtId="3" fontId="32" fillId="0" borderId="66" xfId="0" applyNumberFormat="1" applyFont="1" applyFill="1" applyBorder="1"/>
    <xf numFmtId="0" fontId="32" fillId="0" borderId="72" xfId="0" applyFont="1" applyFill="1" applyBorder="1"/>
    <xf numFmtId="0" fontId="32" fillId="0" borderId="73" xfId="0" applyFont="1" applyFill="1" applyBorder="1"/>
    <xf numFmtId="164" fontId="32" fillId="0" borderId="73" xfId="0" applyNumberFormat="1" applyFont="1" applyFill="1" applyBorder="1"/>
    <xf numFmtId="164" fontId="32" fillId="0" borderId="73" xfId="0" applyNumberFormat="1" applyFont="1" applyFill="1" applyBorder="1" applyAlignment="1">
      <alignment horizontal="right"/>
    </xf>
    <xf numFmtId="3" fontId="32" fillId="0" borderId="73" xfId="0" applyNumberFormat="1" applyFont="1" applyFill="1" applyBorder="1"/>
    <xf numFmtId="3" fontId="32" fillId="0" borderId="74" xfId="0" applyNumberFormat="1" applyFont="1" applyFill="1" applyBorder="1"/>
    <xf numFmtId="0" fontId="32" fillId="0" borderId="67" xfId="0" applyFont="1" applyFill="1" applyBorder="1"/>
    <xf numFmtId="0" fontId="32" fillId="0" borderId="68" xfId="0" applyFont="1" applyFill="1" applyBorder="1"/>
    <xf numFmtId="164" fontId="32" fillId="0" borderId="68" xfId="0" applyNumberFormat="1" applyFont="1" applyFill="1" applyBorder="1"/>
    <xf numFmtId="164" fontId="32" fillId="0" borderId="68" xfId="0" applyNumberFormat="1" applyFont="1" applyFill="1" applyBorder="1" applyAlignment="1">
      <alignment horizontal="right"/>
    </xf>
    <xf numFmtId="3" fontId="32" fillId="0" borderId="68" xfId="0" applyNumberFormat="1" applyFont="1" applyFill="1" applyBorder="1"/>
    <xf numFmtId="3" fontId="32" fillId="0" borderId="69" xfId="0" applyNumberFormat="1" applyFont="1" applyFill="1" applyBorder="1"/>
    <xf numFmtId="0" fontId="32" fillId="2" borderId="54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6" xfId="26" applyNumberFormat="1" applyFont="1" applyFill="1" applyBorder="1" applyAlignment="1">
      <alignment horizontal="right"/>
    </xf>
    <xf numFmtId="0" fontId="59" fillId="4" borderId="64" xfId="0" applyFont="1" applyFill="1" applyBorder="1" applyAlignment="1">
      <alignment horizontal="left"/>
    </xf>
    <xf numFmtId="169" fontId="59" fillId="4" borderId="65" xfId="0" applyNumberFormat="1" applyFont="1" applyFill="1" applyBorder="1"/>
    <xf numFmtId="9" fontId="59" fillId="4" borderId="65" xfId="0" applyNumberFormat="1" applyFont="1" applyFill="1" applyBorder="1"/>
    <xf numFmtId="9" fontId="59" fillId="4" borderId="66" xfId="0" applyNumberFormat="1" applyFont="1" applyFill="1" applyBorder="1"/>
    <xf numFmtId="169" fontId="0" fillId="0" borderId="68" xfId="0" applyNumberFormat="1" applyBorder="1"/>
    <xf numFmtId="9" fontId="0" fillId="0" borderId="68" xfId="0" applyNumberFormat="1" applyBorder="1"/>
    <xf numFmtId="9" fontId="0" fillId="0" borderId="69" xfId="0" applyNumberFormat="1" applyBorder="1"/>
    <xf numFmtId="0" fontId="59" fillId="0" borderId="67" xfId="0" applyFont="1" applyBorder="1" applyAlignment="1">
      <alignment horizontal="left" indent="1"/>
    </xf>
    <xf numFmtId="0" fontId="60" fillId="0" borderId="0" xfId="0" applyFont="1" applyFill="1"/>
    <xf numFmtId="0" fontId="61" fillId="0" borderId="0" xfId="0" applyFont="1" applyFill="1"/>
    <xf numFmtId="0" fontId="31" fillId="2" borderId="16" xfId="26" applyNumberFormat="1" applyFont="1" applyFill="1" applyBorder="1"/>
    <xf numFmtId="3" fontId="32" fillId="0" borderId="27" xfId="0" applyNumberFormat="1" applyFont="1" applyFill="1" applyBorder="1"/>
    <xf numFmtId="169" fontId="32" fillId="0" borderId="27" xfId="0" applyNumberFormat="1" applyFont="1" applyFill="1" applyBorder="1"/>
    <xf numFmtId="169" fontId="32" fillId="0" borderId="20" xfId="0" applyNumberFormat="1" applyFont="1" applyFill="1" applyBorder="1"/>
    <xf numFmtId="0" fontId="39" fillId="0" borderId="19" xfId="0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9" fontId="32" fillId="0" borderId="65" xfId="0" applyNumberFormat="1" applyFont="1" applyFill="1" applyBorder="1"/>
    <xf numFmtId="9" fontId="32" fillId="0" borderId="73" xfId="0" applyNumberFormat="1" applyFont="1" applyFill="1" applyBorder="1"/>
    <xf numFmtId="9" fontId="32" fillId="0" borderId="68" xfId="0" applyNumberFormat="1" applyFont="1" applyFill="1" applyBorder="1"/>
    <xf numFmtId="0" fontId="31" fillId="2" borderId="31" xfId="0" applyFont="1" applyFill="1" applyBorder="1" applyAlignment="1">
      <alignment horizontal="center" vertical="top" wrapText="1"/>
    </xf>
    <xf numFmtId="0" fontId="31" fillId="2" borderId="16" xfId="26" applyNumberFormat="1" applyFont="1" applyFill="1" applyBorder="1" applyAlignment="1">
      <alignment horizontal="right"/>
    </xf>
    <xf numFmtId="169" fontId="32" fillId="0" borderId="65" xfId="0" applyNumberFormat="1" applyFont="1" applyFill="1" applyBorder="1"/>
    <xf numFmtId="9" fontId="32" fillId="0" borderId="66" xfId="0" applyNumberFormat="1" applyFont="1" applyFill="1" applyBorder="1"/>
    <xf numFmtId="169" fontId="32" fillId="0" borderId="73" xfId="0" applyNumberFormat="1" applyFont="1" applyFill="1" applyBorder="1"/>
    <xf numFmtId="9" fontId="32" fillId="0" borderId="74" xfId="0" applyNumberFormat="1" applyFont="1" applyFill="1" applyBorder="1"/>
    <xf numFmtId="169" fontId="32" fillId="0" borderId="68" xfId="0" applyNumberFormat="1" applyFont="1" applyFill="1" applyBorder="1"/>
    <xf numFmtId="9" fontId="32" fillId="0" borderId="69" xfId="0" applyNumberFormat="1" applyFont="1" applyFill="1" applyBorder="1"/>
    <xf numFmtId="0" fontId="39" fillId="0" borderId="64" xfId="0" applyFont="1" applyFill="1" applyBorder="1"/>
    <xf numFmtId="0" fontId="39" fillId="0" borderId="72" xfId="0" applyFont="1" applyFill="1" applyBorder="1"/>
    <xf numFmtId="0" fontId="39" fillId="0" borderId="67" xfId="0" applyFont="1" applyFill="1" applyBorder="1"/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7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6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86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85"/>
      <tableStyleElement type="headerRow" dxfId="84"/>
      <tableStyleElement type="totalRow" dxfId="83"/>
      <tableStyleElement type="firstColumn" dxfId="82"/>
      <tableStyleElement type="lastColumn" dxfId="81"/>
      <tableStyleElement type="firstRowStripe" dxfId="80"/>
      <tableStyleElement type="firstColumnStripe" dxfId="79"/>
    </tableStyle>
    <tableStyle name="TableStyleMedium2 2" pivot="0" count="7">
      <tableStyleElement type="wholeTable" dxfId="78"/>
      <tableStyleElement type="headerRow" dxfId="77"/>
      <tableStyleElement type="totalRow" dxfId="76"/>
      <tableStyleElement type="firstColumn" dxfId="75"/>
      <tableStyleElement type="lastColumn" dxfId="74"/>
      <tableStyleElement type="firstRowStripe" dxfId="73"/>
      <tableStyleElement type="firstColumnStripe" dxfId="72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1.7147628321460069E-4</c:v>
                </c:pt>
                <c:pt idx="1">
                  <c:v>1.1856020943153111E-4</c:v>
                </c:pt>
                <c:pt idx="2">
                  <c:v>1.1589510429647158E-4</c:v>
                </c:pt>
                <c:pt idx="3">
                  <c:v>1.2426985580126624E-4</c:v>
                </c:pt>
                <c:pt idx="4">
                  <c:v>1.2200829825780593E-4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3669536"/>
        <c:axId val="-12366736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23670624"/>
        <c:axId val="-123668992"/>
      </c:scatterChart>
      <c:catAx>
        <c:axId val="-123669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23667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236673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23669536"/>
        <c:crosses val="autoZero"/>
        <c:crossBetween val="between"/>
      </c:valAx>
      <c:valAx>
        <c:axId val="-12367062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23668992"/>
        <c:crosses val="max"/>
        <c:crossBetween val="midCat"/>
      </c:valAx>
      <c:valAx>
        <c:axId val="-1236689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12367062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6" totalsRowShown="0" headerRowDxfId="71" tableBorderDxfId="70">
  <autoFilter ref="A7:S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69"/>
    <tableColumn id="2" name="popis" dataDxfId="68"/>
    <tableColumn id="3" name="01 uv_sk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5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5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5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5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5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52">
      <calculatedColumnFormula>IF(Tabulka[[#This Row],[15_vzpl]]=0,"",Tabulka[[#This Row],[14_vzsk]]/Tabulka[[#This Row],[15_vzpl]])</calculatedColumnFormula>
    </tableColumn>
    <tableColumn id="20" name="17_vzroz" dataDxfId="51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53" totalsRowShown="0">
  <autoFilter ref="C3:S53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2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4" bestFit="1" customWidth="1"/>
    <col min="2" max="2" width="102.21875" style="104" bestFit="1" customWidth="1"/>
    <col min="3" max="3" width="16.109375" style="42" hidden="1" customWidth="1"/>
    <col min="4" max="16384" width="8.88671875" style="104"/>
  </cols>
  <sheetData>
    <row r="1" spans="1:3" ht="18.600000000000001" customHeight="1" thickBot="1" x14ac:dyDescent="0.4">
      <c r="A1" s="283" t="s">
        <v>89</v>
      </c>
      <c r="B1" s="283"/>
    </row>
    <row r="2" spans="1:3" ht="14.4" customHeight="1" thickBot="1" x14ac:dyDescent="0.35">
      <c r="A2" s="199" t="s">
        <v>218</v>
      </c>
      <c r="B2" s="41"/>
    </row>
    <row r="3" spans="1:3" ht="14.4" customHeight="1" thickBot="1" x14ac:dyDescent="0.35">
      <c r="A3" s="279" t="s">
        <v>111</v>
      </c>
      <c r="B3" s="280"/>
    </row>
    <row r="4" spans="1:3" ht="14.4" customHeight="1" x14ac:dyDescent="0.3">
      <c r="A4" s="117" t="str">
        <f t="shared" ref="A4:A8" si="0">HYPERLINK("#'"&amp;C4&amp;"'!A1",C4)</f>
        <v>Motivace</v>
      </c>
      <c r="B4" s="64" t="s">
        <v>99</v>
      </c>
      <c r="C4" s="42" t="s">
        <v>100</v>
      </c>
    </row>
    <row r="5" spans="1:3" ht="14.4" customHeight="1" x14ac:dyDescent="0.3">
      <c r="A5" s="118" t="str">
        <f t="shared" si="0"/>
        <v>HI</v>
      </c>
      <c r="B5" s="65" t="s">
        <v>108</v>
      </c>
      <c r="C5" s="42" t="s">
        <v>92</v>
      </c>
    </row>
    <row r="6" spans="1:3" ht="14.4" customHeight="1" x14ac:dyDescent="0.3">
      <c r="A6" s="119" t="str">
        <f t="shared" si="0"/>
        <v>HI Graf</v>
      </c>
      <c r="B6" s="66" t="s">
        <v>85</v>
      </c>
      <c r="C6" s="42" t="s">
        <v>93</v>
      </c>
    </row>
    <row r="7" spans="1:3" ht="14.4" customHeight="1" x14ac:dyDescent="0.3">
      <c r="A7" s="119" t="str">
        <f t="shared" si="0"/>
        <v>Man Tab</v>
      </c>
      <c r="B7" s="66" t="s">
        <v>220</v>
      </c>
      <c r="C7" s="42" t="s">
        <v>94</v>
      </c>
    </row>
    <row r="8" spans="1:3" ht="14.4" customHeight="1" thickBot="1" x14ac:dyDescent="0.35">
      <c r="A8" s="120" t="str">
        <f t="shared" si="0"/>
        <v>HV</v>
      </c>
      <c r="B8" s="67" t="s">
        <v>43</v>
      </c>
      <c r="C8" s="42" t="s">
        <v>48</v>
      </c>
    </row>
    <row r="9" spans="1:3" ht="14.4" customHeight="1" thickBot="1" x14ac:dyDescent="0.35">
      <c r="A9" s="68"/>
      <c r="B9" s="68"/>
    </row>
    <row r="10" spans="1:3" ht="14.4" customHeight="1" thickBot="1" x14ac:dyDescent="0.35">
      <c r="A10" s="281" t="s">
        <v>90</v>
      </c>
      <c r="B10" s="280"/>
    </row>
    <row r="11" spans="1:3" ht="14.4" customHeight="1" x14ac:dyDescent="0.3">
      <c r="A11" s="121" t="str">
        <f t="shared" ref="A11" si="1">HYPERLINK("#'"&amp;C11&amp;"'!A1",C11)</f>
        <v>Léky Žádanky</v>
      </c>
      <c r="B11" s="65" t="s">
        <v>109</v>
      </c>
      <c r="C11" s="42" t="s">
        <v>95</v>
      </c>
    </row>
    <row r="12" spans="1:3" ht="14.4" customHeight="1" x14ac:dyDescent="0.3">
      <c r="A12" s="121" t="str">
        <f t="shared" ref="A12" si="2">HYPERLINK("#'"&amp;C12&amp;"'!A1",C12)</f>
        <v>Materiál Žádanky</v>
      </c>
      <c r="B12" s="66" t="s">
        <v>110</v>
      </c>
      <c r="C12" s="42" t="s">
        <v>96</v>
      </c>
    </row>
    <row r="13" spans="1:3" ht="14.4" customHeight="1" x14ac:dyDescent="0.3">
      <c r="A13" s="119" t="str">
        <f t="shared" ref="A13:A14" si="3">HYPERLINK("#'"&amp;C13&amp;"'!A1",C13)</f>
        <v>MŽ Detail</v>
      </c>
      <c r="B13" s="66" t="s">
        <v>755</v>
      </c>
      <c r="C13" s="42" t="s">
        <v>97</v>
      </c>
    </row>
    <row r="14" spans="1:3" ht="14.4" customHeight="1" thickBot="1" x14ac:dyDescent="0.35">
      <c r="A14" s="121" t="str">
        <f t="shared" si="3"/>
        <v>Osobní náklady</v>
      </c>
      <c r="B14" s="66" t="s">
        <v>87</v>
      </c>
      <c r="C14" s="42" t="s">
        <v>98</v>
      </c>
    </row>
    <row r="15" spans="1:3" ht="14.4" customHeight="1" thickBot="1" x14ac:dyDescent="0.35">
      <c r="A15" s="69"/>
      <c r="B15" s="69"/>
    </row>
    <row r="16" spans="1:3" ht="14.4" customHeight="1" thickBot="1" x14ac:dyDescent="0.35">
      <c r="A16" s="282" t="s">
        <v>91</v>
      </c>
      <c r="B16" s="280"/>
    </row>
    <row r="17" spans="1:3" ht="14.4" customHeight="1" x14ac:dyDescent="0.3">
      <c r="A17" s="122" t="str">
        <f t="shared" ref="A17:A22" si="4">HYPERLINK("#'"&amp;C17&amp;"'!A1",C17)</f>
        <v>ZV Vykáz.-A</v>
      </c>
      <c r="B17" s="65" t="s">
        <v>772</v>
      </c>
      <c r="C17" s="42" t="s">
        <v>101</v>
      </c>
    </row>
    <row r="18" spans="1:3" ht="14.4" customHeight="1" x14ac:dyDescent="0.3">
      <c r="A18" s="119" t="str">
        <f t="shared" ref="A18" si="5">HYPERLINK("#'"&amp;C18&amp;"'!A1",C18)</f>
        <v>ZV Vykáz.-A Lékaři</v>
      </c>
      <c r="B18" s="66" t="s">
        <v>778</v>
      </c>
      <c r="C18" s="42" t="s">
        <v>157</v>
      </c>
    </row>
    <row r="19" spans="1:3" ht="14.4" customHeight="1" x14ac:dyDescent="0.3">
      <c r="A19" s="119" t="str">
        <f t="shared" si="4"/>
        <v>ZV Vykáz.-A Detail</v>
      </c>
      <c r="B19" s="66" t="s">
        <v>787</v>
      </c>
      <c r="C19" s="42" t="s">
        <v>102</v>
      </c>
    </row>
    <row r="20" spans="1:3" ht="14.4" customHeight="1" x14ac:dyDescent="0.3">
      <c r="A20" s="223" t="str">
        <f>HYPERLINK("#'"&amp;C20&amp;"'!A1",C20)</f>
        <v>ZV Vykáz.-A Det.Lék.</v>
      </c>
      <c r="B20" s="66" t="s">
        <v>788</v>
      </c>
      <c r="C20" s="42" t="s">
        <v>161</v>
      </c>
    </row>
    <row r="21" spans="1:3" ht="14.4" customHeight="1" x14ac:dyDescent="0.3">
      <c r="A21" s="119" t="str">
        <f t="shared" si="4"/>
        <v>ZV Vykáz.-H</v>
      </c>
      <c r="B21" s="66" t="s">
        <v>105</v>
      </c>
      <c r="C21" s="42" t="s">
        <v>103</v>
      </c>
    </row>
    <row r="22" spans="1:3" ht="14.4" customHeight="1" x14ac:dyDescent="0.3">
      <c r="A22" s="119" t="str">
        <f t="shared" si="4"/>
        <v>ZV Vykáz.-H Detail</v>
      </c>
      <c r="B22" s="66" t="s">
        <v>805</v>
      </c>
      <c r="C22" s="42" t="s">
        <v>104</v>
      </c>
    </row>
  </sheetData>
  <mergeCells count="4">
    <mergeCell ref="A3:B3"/>
    <mergeCell ref="A10:B10"/>
    <mergeCell ref="A16:B16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3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3" bestFit="1" customWidth="1"/>
    <col min="2" max="2" width="11.6640625" style="123" hidden="1" customWidth="1"/>
    <col min="3" max="4" width="11" style="125" customWidth="1"/>
    <col min="5" max="5" width="11" style="126" customWidth="1"/>
    <col min="6" max="16384" width="8.88671875" style="123"/>
  </cols>
  <sheetData>
    <row r="1" spans="1:5" ht="18.600000000000001" thickBot="1" x14ac:dyDescent="0.4">
      <c r="A1" s="283" t="s">
        <v>99</v>
      </c>
      <c r="B1" s="283"/>
      <c r="C1" s="284"/>
      <c r="D1" s="284"/>
      <c r="E1" s="284"/>
    </row>
    <row r="2" spans="1:5" ht="14.4" customHeight="1" thickBot="1" x14ac:dyDescent="0.35">
      <c r="A2" s="199" t="s">
        <v>218</v>
      </c>
      <c r="B2" s="124"/>
    </row>
    <row r="3" spans="1:5" ht="14.4" customHeight="1" thickBot="1" x14ac:dyDescent="0.35">
      <c r="A3" s="127"/>
      <c r="C3" s="128" t="s">
        <v>88</v>
      </c>
      <c r="D3" s="129" t="s">
        <v>54</v>
      </c>
      <c r="E3" s="130" t="s">
        <v>56</v>
      </c>
    </row>
    <row r="4" spans="1:5" ht="14.4" customHeight="1" thickBot="1" x14ac:dyDescent="0.35">
      <c r="A4" s="131" t="str">
        <f>HYPERLINK("#HI!A1","NÁKLADY CELKEM (v tisících Kč)")</f>
        <v>NÁKLADY CELKEM (v tisících Kč)</v>
      </c>
      <c r="B4" s="132"/>
      <c r="C4" s="133">
        <f ca="1">IF(ISERROR(VLOOKUP("Náklady celkem",INDIRECT("HI!$A:$G"),6,0)),0,VLOOKUP("Náklady celkem",INDIRECT("HI!$A:$G"),6,0))</f>
        <v>170643.74015632342</v>
      </c>
      <c r="D4" s="133">
        <f ca="1">IF(ISERROR(VLOOKUP("Náklady celkem",INDIRECT("HI!$A:$G"),5,0)),0,VLOOKUP("Náklady celkem",INDIRECT("HI!$A:$G"),5,0))</f>
        <v>170094.98776999998</v>
      </c>
      <c r="E4" s="134">
        <f ca="1">IF(C4=0,0,D4/C4)</f>
        <v>0.99678422199477845</v>
      </c>
    </row>
    <row r="5" spans="1:5" ht="14.4" customHeight="1" x14ac:dyDescent="0.3">
      <c r="A5" s="135" t="s">
        <v>114</v>
      </c>
      <c r="B5" s="136"/>
      <c r="C5" s="137"/>
      <c r="D5" s="137"/>
      <c r="E5" s="138"/>
    </row>
    <row r="6" spans="1:5" ht="14.4" customHeight="1" x14ac:dyDescent="0.3">
      <c r="A6" s="139" t="s">
        <v>119</v>
      </c>
      <c r="B6" s="140"/>
      <c r="C6" s="141"/>
      <c r="D6" s="141"/>
      <c r="E6" s="138"/>
    </row>
    <row r="7" spans="1:5" ht="14.4" customHeight="1" x14ac:dyDescent="0.3">
      <c r="A7" s="21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0" t="s">
        <v>92</v>
      </c>
      <c r="C7" s="141">
        <f>IF(ISERROR(HI!F5),"",HI!F5)</f>
        <v>33.333333595275882</v>
      </c>
      <c r="D7" s="141">
        <f>IF(ISERROR(HI!E5),"",HI!E5)</f>
        <v>21.486160000000002</v>
      </c>
      <c r="E7" s="138">
        <f t="shared" ref="E7:E11" si="0">IF(C7=0,0,D7/C7)</f>
        <v>0.64458479493467458</v>
      </c>
    </row>
    <row r="8" spans="1:5" ht="14.4" customHeight="1" x14ac:dyDescent="0.3">
      <c r="A8" s="143" t="s">
        <v>115</v>
      </c>
      <c r="B8" s="140"/>
      <c r="C8" s="141"/>
      <c r="D8" s="141"/>
      <c r="E8" s="138"/>
    </row>
    <row r="9" spans="1:5" ht="14.4" customHeight="1" x14ac:dyDescent="0.3">
      <c r="A9" s="143" t="s">
        <v>116</v>
      </c>
      <c r="B9" s="140"/>
      <c r="C9" s="141"/>
      <c r="D9" s="141"/>
      <c r="E9" s="138"/>
    </row>
    <row r="10" spans="1:5" ht="14.4" customHeight="1" x14ac:dyDescent="0.3">
      <c r="A10" s="144" t="s">
        <v>120</v>
      </c>
      <c r="B10" s="140"/>
      <c r="C10" s="137"/>
      <c r="D10" s="137"/>
      <c r="E10" s="138"/>
    </row>
    <row r="11" spans="1:5" ht="14.4" customHeight="1" x14ac:dyDescent="0.3">
      <c r="A11" s="14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40" t="s">
        <v>92</v>
      </c>
      <c r="C11" s="141">
        <f>IF(ISERROR(HI!F6),"",HI!F6)</f>
        <v>902.08334968566896</v>
      </c>
      <c r="D11" s="141">
        <f>IF(ISERROR(HI!E6),"",HI!E6)</f>
        <v>1227.0261400000002</v>
      </c>
      <c r="E11" s="138">
        <f t="shared" si="0"/>
        <v>1.3602137102159768</v>
      </c>
    </row>
    <row r="12" spans="1:5" ht="14.4" customHeight="1" thickBot="1" x14ac:dyDescent="0.35">
      <c r="A12" s="146" t="str">
        <f>HYPERLINK("#HI!A1","Osobní náklady")</f>
        <v>Osobní náklady</v>
      </c>
      <c r="B12" s="140"/>
      <c r="C12" s="137">
        <f ca="1">IF(ISERROR(VLOOKUP("Osobní náklady (Kč) *",INDIRECT("HI!$A:$G"),6,0)),0,VLOOKUP("Osobní náklady (Kč) *",INDIRECT("HI!$A:$G"),6,0))</f>
        <v>20643.872892517087</v>
      </c>
      <c r="D12" s="137">
        <f ca="1">IF(ISERROR(VLOOKUP("Osobní náklady (Kč) *",INDIRECT("HI!$A:$G"),5,0)),0,VLOOKUP("Osobní náklady (Kč) *",INDIRECT("HI!$A:$G"),5,0))</f>
        <v>20528.265370000001</v>
      </c>
      <c r="E12" s="138">
        <f ca="1">IF(C12=0,0,D12/C12)</f>
        <v>0.99439991114462867</v>
      </c>
    </row>
    <row r="13" spans="1:5" ht="14.4" customHeight="1" thickBot="1" x14ac:dyDescent="0.35">
      <c r="A13" s="150"/>
      <c r="B13" s="151"/>
      <c r="C13" s="152"/>
      <c r="D13" s="152"/>
      <c r="E13" s="153"/>
    </row>
    <row r="14" spans="1:5" ht="14.4" customHeight="1" thickBot="1" x14ac:dyDescent="0.35">
      <c r="A14" s="154" t="str">
        <f>HYPERLINK("#HI!A1","VÝNOSY CELKEM (v tisících)")</f>
        <v>VÝNOSY CELKEM (v tisících)</v>
      </c>
      <c r="B14" s="155"/>
      <c r="C14" s="156">
        <f ca="1">IF(ISERROR(VLOOKUP("Výnosy celkem",INDIRECT("HI!$A:$G"),6,0)),0,VLOOKUP("Výnosy celkem",INDIRECT("HI!$A:$G"),6,0))</f>
        <v>0</v>
      </c>
      <c r="D14" s="156">
        <f ca="1">IF(ISERROR(VLOOKUP("Výnosy celkem",INDIRECT("HI!$A:$G"),5,0)),0,VLOOKUP("Výnosy celkem",INDIRECT("HI!$A:$G"),5,0))</f>
        <v>20.753</v>
      </c>
      <c r="E14" s="157">
        <f t="shared" ref="E14:E19" ca="1" si="1">IF(C14=0,0,D14/C14)</f>
        <v>0</v>
      </c>
    </row>
    <row r="15" spans="1:5" ht="14.4" customHeight="1" x14ac:dyDescent="0.3">
      <c r="A15" s="158" t="str">
        <f>HYPERLINK("#HI!A1","Ambulance (body za výkony + Kč za ZUM a ZULP)")</f>
        <v>Ambulance (body za výkony + Kč za ZUM a ZULP)</v>
      </c>
      <c r="B15" s="136"/>
      <c r="C15" s="137">
        <f ca="1">IF(ISERROR(VLOOKUP("Ambulance *",INDIRECT("HI!$A:$G"),6,0)),0,VLOOKUP("Ambulance *",INDIRECT("HI!$A:$G"),6,0))</f>
        <v>0</v>
      </c>
      <c r="D15" s="137">
        <f ca="1">IF(ISERROR(VLOOKUP("Ambulance *",INDIRECT("HI!$A:$G"),5,0)),0,VLOOKUP("Ambulance *",INDIRECT("HI!$A:$G"),5,0))</f>
        <v>20.753</v>
      </c>
      <c r="E15" s="138">
        <f t="shared" ca="1" si="1"/>
        <v>0</v>
      </c>
    </row>
    <row r="16" spans="1:5" ht="14.4" customHeight="1" x14ac:dyDescent="0.3">
      <c r="A16" s="220" t="str">
        <f>HYPERLINK("#'ZV Vykáz.-A'!A1","Zdravotní výkony vykázané u ambulantních pacientů (min. 100 % 2016)")</f>
        <v>Zdravotní výkony vykázané u ambulantních pacientů (min. 100 % 2016)</v>
      </c>
      <c r="B16" s="221" t="s">
        <v>101</v>
      </c>
      <c r="C16" s="142">
        <v>1</v>
      </c>
      <c r="D16" s="142" t="str">
        <f>IF(ISERROR(VLOOKUP("Celkem:",'ZV Vykáz.-A'!$A:$AB,10,0)),"",VLOOKUP("Celkem:",'ZV Vykáz.-A'!$A:$AB,10,0))</f>
        <v/>
      </c>
      <c r="E16" s="138" t="e">
        <f t="shared" si="1"/>
        <v>#VALUE!</v>
      </c>
    </row>
    <row r="17" spans="1:5" ht="14.4" customHeight="1" x14ac:dyDescent="0.3">
      <c r="A17" s="219" t="str">
        <f>HYPERLINK("#'ZV Vykáz.-A'!A1","Specializovaná ambulantní péče")</f>
        <v>Specializovaná ambulantní péče</v>
      </c>
      <c r="B17" s="221" t="s">
        <v>101</v>
      </c>
      <c r="C17" s="142">
        <v>1</v>
      </c>
      <c r="D17" s="213">
        <f>IF(ISERROR(VLOOKUP("Specializovaná ambulantní péče",'ZV Vykáz.-A'!$A:$AB,10,0)),"",VLOOKUP("Specializovaná ambulantní péče",'ZV Vykáz.-A'!$A:$AB,10,0))</f>
        <v>0</v>
      </c>
      <c r="E17" s="138">
        <f t="shared" si="1"/>
        <v>0</v>
      </c>
    </row>
    <row r="18" spans="1:5" ht="14.4" customHeight="1" x14ac:dyDescent="0.3">
      <c r="A18" s="219" t="str">
        <f>HYPERLINK("#'ZV Vykáz.-A'!A1","Ambulantní péče ve vyjmenovaných odbornostech (§9)")</f>
        <v>Ambulantní péče ve vyjmenovaných odbornostech (§9)</v>
      </c>
      <c r="B18" s="221" t="s">
        <v>101</v>
      </c>
      <c r="C18" s="142">
        <v>1</v>
      </c>
      <c r="D18" s="213" t="str">
        <f>IF(ISERROR(VLOOKUP("Ambulantní péče ve vyjmenovaných odbornostech (§9) *",'ZV Vykáz.-A'!$A:$AB,10,0)),"",VLOOKUP("Ambulantní péče ve vyjmenovaných odbornostech (§9) *",'ZV Vykáz.-A'!$A:$AB,10,0))</f>
        <v/>
      </c>
      <c r="E18" s="138">
        <f>IF(OR(C18=0,D18=""),0,IF(C18="","",D18/C18))</f>
        <v>0</v>
      </c>
    </row>
    <row r="19" spans="1:5" ht="14.4" customHeight="1" x14ac:dyDescent="0.3">
      <c r="A19" s="159" t="str">
        <f>HYPERLINK("#'ZV Vykáz.-H'!A1","Zdravotní výkony vykázané u hospitalizovaných pacientů (max. 85 %)")</f>
        <v>Zdravotní výkony vykázané u hospitalizovaných pacientů (max. 85 %)</v>
      </c>
      <c r="B19" s="221" t="s">
        <v>103</v>
      </c>
      <c r="C19" s="142">
        <v>0.85</v>
      </c>
      <c r="D19" s="142">
        <f>IF(ISERROR(VLOOKUP("Celkem:",'ZV Vykáz.-H'!$A:$S,7,0)),"",VLOOKUP("Celkem:",'ZV Vykáz.-H'!$A:$S,7,0))</f>
        <v>29.312933788696707</v>
      </c>
      <c r="E19" s="138">
        <f t="shared" si="1"/>
        <v>34.485804457290243</v>
      </c>
    </row>
    <row r="20" spans="1:5" ht="14.4" customHeight="1" x14ac:dyDescent="0.3">
      <c r="A20" s="160" t="str">
        <f>HYPERLINK("#HI!A1","Hospitalizace (casemix * 30000)")</f>
        <v>Hospitalizace (casemix * 30000)</v>
      </c>
      <c r="B20" s="140"/>
      <c r="C20" s="137">
        <f ca="1">IF(ISERROR(VLOOKUP("Hospitalizace *",INDIRECT("HI!$A:$G"),6,0)),0,VLOOKUP("Hospitalizace *",INDIRECT("HI!$A:$G"),6,0))</f>
        <v>0</v>
      </c>
      <c r="D20" s="137">
        <f ca="1">IF(ISERROR(VLOOKUP("Hospitalizace *",INDIRECT("HI!$A:$G"),5,0)),0,VLOOKUP("Hospitalizace *",INDIRECT("HI!$A:$G"),5,0))</f>
        <v>0</v>
      </c>
      <c r="E20" s="138">
        <f ca="1">IF(C20=0,0,D20/C20)</f>
        <v>0</v>
      </c>
    </row>
    <row r="21" spans="1:5" ht="14.4" customHeight="1" thickBot="1" x14ac:dyDescent="0.35">
      <c r="A21" s="161" t="s">
        <v>117</v>
      </c>
      <c r="B21" s="147"/>
      <c r="C21" s="148"/>
      <c r="D21" s="148"/>
      <c r="E21" s="149"/>
    </row>
    <row r="22" spans="1:5" ht="14.4" customHeight="1" thickBot="1" x14ac:dyDescent="0.35">
      <c r="A22" s="162"/>
      <c r="B22" s="163"/>
      <c r="C22" s="164"/>
      <c r="D22" s="164"/>
      <c r="E22" s="165"/>
    </row>
    <row r="23" spans="1:5" ht="14.4" customHeight="1" thickBot="1" x14ac:dyDescent="0.35">
      <c r="A23" s="166" t="s">
        <v>118</v>
      </c>
      <c r="B23" s="167"/>
      <c r="C23" s="168"/>
      <c r="D23" s="168"/>
      <c r="E23" s="169"/>
    </row>
  </sheetData>
  <mergeCells count="1">
    <mergeCell ref="A1:E1"/>
  </mergeCells>
  <conditionalFormatting sqref="E5">
    <cfRule type="cellIs" dxfId="50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49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48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47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0">
    <cfRule type="cellIs" dxfId="46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45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4 E16:E17">
    <cfRule type="cellIs" dxfId="44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1 E18:E19">
    <cfRule type="cellIs" dxfId="43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6:E17 E19" evalError="1"/>
    <ignoredError sqref="E1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04" bestFit="1" customWidth="1"/>
    <col min="2" max="2" width="9.5546875" style="104" hidden="1" customWidth="1" outlineLevel="1"/>
    <col min="3" max="3" width="9.5546875" style="104" customWidth="1" collapsed="1"/>
    <col min="4" max="4" width="2.21875" style="104" customWidth="1"/>
    <col min="5" max="8" width="9.5546875" style="104" customWidth="1"/>
    <col min="9" max="10" width="9.77734375" style="104" hidden="1" customWidth="1" outlineLevel="1"/>
    <col min="11" max="11" width="8.88671875" style="104" collapsed="1"/>
    <col min="12" max="16384" width="8.88671875" style="104"/>
  </cols>
  <sheetData>
    <row r="1" spans="1:10" ht="18.600000000000001" customHeight="1" thickBot="1" x14ac:dyDescent="0.4">
      <c r="A1" s="294" t="s">
        <v>108</v>
      </c>
      <c r="B1" s="294"/>
      <c r="C1" s="294"/>
      <c r="D1" s="294"/>
      <c r="E1" s="294"/>
      <c r="F1" s="294"/>
      <c r="G1" s="294"/>
      <c r="H1" s="294"/>
      <c r="I1" s="294"/>
      <c r="J1" s="294"/>
    </row>
    <row r="2" spans="1:10" ht="14.4" customHeight="1" thickBot="1" x14ac:dyDescent="0.35">
      <c r="A2" s="199" t="s">
        <v>218</v>
      </c>
      <c r="B2" s="86"/>
      <c r="C2" s="86"/>
      <c r="D2" s="86"/>
      <c r="E2" s="86"/>
      <c r="F2" s="86"/>
    </row>
    <row r="3" spans="1:10" ht="14.4" customHeight="1" x14ac:dyDescent="0.3">
      <c r="A3" s="285"/>
      <c r="B3" s="82">
        <v>2015</v>
      </c>
      <c r="C3" s="40">
        <v>2018</v>
      </c>
      <c r="D3" s="7"/>
      <c r="E3" s="289">
        <v>2019</v>
      </c>
      <c r="F3" s="290"/>
      <c r="G3" s="290"/>
      <c r="H3" s="291"/>
      <c r="I3" s="292">
        <v>2017</v>
      </c>
      <c r="J3" s="293"/>
    </row>
    <row r="4" spans="1:10" ht="14.4" customHeight="1" thickBot="1" x14ac:dyDescent="0.35">
      <c r="A4" s="286"/>
      <c r="B4" s="287" t="s">
        <v>54</v>
      </c>
      <c r="C4" s="288"/>
      <c r="D4" s="7"/>
      <c r="E4" s="103" t="s">
        <v>54</v>
      </c>
      <c r="F4" s="84" t="s">
        <v>55</v>
      </c>
      <c r="G4" s="84" t="s">
        <v>49</v>
      </c>
      <c r="H4" s="85" t="s">
        <v>56</v>
      </c>
      <c r="I4" s="224" t="s">
        <v>162</v>
      </c>
      <c r="J4" s="225" t="s">
        <v>163</v>
      </c>
    </row>
    <row r="5" spans="1:10" ht="14.4" customHeight="1" x14ac:dyDescent="0.3">
      <c r="A5" s="87" t="str">
        <f>HYPERLINK("#'Léky Žádanky'!A1","Léky (Kč)")</f>
        <v>Léky (Kč)</v>
      </c>
      <c r="B5" s="27">
        <v>28.399510000000003</v>
      </c>
      <c r="C5" s="29">
        <v>32.007550000000002</v>
      </c>
      <c r="D5" s="8"/>
      <c r="E5" s="92">
        <v>21.486160000000002</v>
      </c>
      <c r="F5" s="28">
        <v>33.333333595275882</v>
      </c>
      <c r="G5" s="91">
        <f>E5-F5</f>
        <v>-11.84717359527588</v>
      </c>
      <c r="H5" s="97">
        <f>IF(F5&lt;0.00000001,"",E5/F5)</f>
        <v>0.64458479493467458</v>
      </c>
    </row>
    <row r="6" spans="1:10" ht="14.4" customHeight="1" x14ac:dyDescent="0.3">
      <c r="A6" s="87" t="str">
        <f>HYPERLINK("#'Materiál Žádanky'!A1","Materiál - SZM (Kč)")</f>
        <v>Materiál - SZM (Kč)</v>
      </c>
      <c r="B6" s="10">
        <v>994.88614000000007</v>
      </c>
      <c r="C6" s="31">
        <v>987.52350000000001</v>
      </c>
      <c r="D6" s="8"/>
      <c r="E6" s="93">
        <v>1227.0261400000002</v>
      </c>
      <c r="F6" s="30">
        <v>902.08334968566896</v>
      </c>
      <c r="G6" s="94">
        <f>E6-F6</f>
        <v>324.94279031433121</v>
      </c>
      <c r="H6" s="98">
        <f>IF(F6&lt;0.00000001,"",E6/F6)</f>
        <v>1.3602137102159768</v>
      </c>
    </row>
    <row r="7" spans="1:10" ht="14.4" customHeight="1" x14ac:dyDescent="0.3">
      <c r="A7" s="87" t="str">
        <f>HYPERLINK("#'Osobní náklady'!A1","Osobní náklady (Kč) *")</f>
        <v>Osobní náklady (Kč) *</v>
      </c>
      <c r="B7" s="10">
        <v>15000.22769</v>
      </c>
      <c r="C7" s="31">
        <v>18382.590469999999</v>
      </c>
      <c r="D7" s="8"/>
      <c r="E7" s="93">
        <v>20528.265370000001</v>
      </c>
      <c r="F7" s="30">
        <v>20643.872892517087</v>
      </c>
      <c r="G7" s="94">
        <f>E7-F7</f>
        <v>-115.60752251708618</v>
      </c>
      <c r="H7" s="98">
        <f>IF(F7&lt;0.00000001,"",E7/F7)</f>
        <v>0.99439991114462867</v>
      </c>
    </row>
    <row r="8" spans="1:10" ht="14.4" customHeight="1" thickBot="1" x14ac:dyDescent="0.35">
      <c r="A8" s="1" t="s">
        <v>57</v>
      </c>
      <c r="B8" s="11">
        <v>129880.48141000004</v>
      </c>
      <c r="C8" s="33">
        <v>141359.75262999994</v>
      </c>
      <c r="D8" s="8"/>
      <c r="E8" s="95">
        <v>148318.21009999997</v>
      </c>
      <c r="F8" s="32">
        <v>149064.45058052539</v>
      </c>
      <c r="G8" s="96">
        <f>E8-F8</f>
        <v>-746.24048052541912</v>
      </c>
      <c r="H8" s="99">
        <f>IF(F8&lt;0.00000001,"",E8/F8)</f>
        <v>0.99499384006301161</v>
      </c>
    </row>
    <row r="9" spans="1:10" ht="14.4" customHeight="1" thickBot="1" x14ac:dyDescent="0.35">
      <c r="A9" s="2" t="s">
        <v>58</v>
      </c>
      <c r="B9" s="3">
        <v>145903.99475000004</v>
      </c>
      <c r="C9" s="35">
        <v>160761.87414999993</v>
      </c>
      <c r="D9" s="8"/>
      <c r="E9" s="3">
        <v>170094.98776999998</v>
      </c>
      <c r="F9" s="34">
        <v>170643.74015632342</v>
      </c>
      <c r="G9" s="34">
        <f>E9-F9</f>
        <v>-548.75238632343826</v>
      </c>
      <c r="H9" s="100">
        <f>IF(F9&lt;0.00000001,"",E9/F9)</f>
        <v>0.99678422199477845</v>
      </c>
    </row>
    <row r="10" spans="1:10" ht="14.4" customHeight="1" thickBot="1" x14ac:dyDescent="0.35">
      <c r="A10" s="12"/>
      <c r="B10" s="12"/>
      <c r="C10" s="83"/>
      <c r="D10" s="8"/>
      <c r="E10" s="12"/>
      <c r="F10" s="13"/>
    </row>
    <row r="11" spans="1:10" ht="14.4" customHeight="1" x14ac:dyDescent="0.3">
      <c r="A11" s="107" t="str">
        <f>HYPERLINK("#'ZV Vykáz.-A'!A1","Ambulance *")</f>
        <v>Ambulance *</v>
      </c>
      <c r="B11" s="9">
        <f>IF(ISERROR(VLOOKUP("Celkem:",'ZV Vykáz.-A'!A:H,2,0)),0,VLOOKUP("Celkem:",'ZV Vykáz.-A'!A:H,2,0)/1000)</f>
        <v>0</v>
      </c>
      <c r="C11" s="29">
        <f>IF(ISERROR(VLOOKUP("Celkem:",'ZV Vykáz.-A'!A:H,5,0)),0,VLOOKUP("Celkem:",'ZV Vykáz.-A'!A:H,5,0)/1000)</f>
        <v>0</v>
      </c>
      <c r="D11" s="8"/>
      <c r="E11" s="92">
        <f>IF(ISERROR(VLOOKUP("Celkem:",'ZV Vykáz.-A'!A:H,8,0)),0,VLOOKUP("Celkem:",'ZV Vykáz.-A'!A:H,8,0)/1000)</f>
        <v>20.753</v>
      </c>
      <c r="F11" s="28">
        <f>C11</f>
        <v>0</v>
      </c>
      <c r="G11" s="91">
        <f>E11-F11</f>
        <v>20.753</v>
      </c>
      <c r="H11" s="97" t="str">
        <f>IF(F11&lt;0.00000001,"",E11/F11)</f>
        <v/>
      </c>
      <c r="I11" s="91">
        <f>E11-B11</f>
        <v>20.753</v>
      </c>
      <c r="J11" s="97" t="str">
        <f>IF(B11&lt;0.00000001,"",E11/B11)</f>
        <v/>
      </c>
    </row>
    <row r="12" spans="1:10" ht="14.4" customHeight="1" thickBot="1" x14ac:dyDescent="0.35">
      <c r="A12" s="108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5">
        <f>IF(ISERROR(VLOOKUP("Celkem",#REF!,4,0)),0,VLOOKUP("Celkem",#REF!,4,0)*30)</f>
        <v>0</v>
      </c>
      <c r="F12" s="32">
        <f>C12</f>
        <v>0</v>
      </c>
      <c r="G12" s="96">
        <f>E12-F12</f>
        <v>0</v>
      </c>
      <c r="H12" s="99" t="str">
        <f>IF(F12&lt;0.00000001,"",E12/F12)</f>
        <v/>
      </c>
      <c r="I12" s="96">
        <f>E12-B12</f>
        <v>0</v>
      </c>
      <c r="J12" s="99" t="str">
        <f>IF(B12&lt;0.00000001,"",E12/B12)</f>
        <v/>
      </c>
    </row>
    <row r="13" spans="1:10" ht="14.4" customHeight="1" thickBot="1" x14ac:dyDescent="0.35">
      <c r="A13" s="4" t="s">
        <v>61</v>
      </c>
      <c r="B13" s="5">
        <f>SUM(B11:B12)</f>
        <v>0</v>
      </c>
      <c r="C13" s="37">
        <f>SUM(C11:C12)</f>
        <v>0</v>
      </c>
      <c r="D13" s="8"/>
      <c r="E13" s="5">
        <f>SUM(E11:E12)</f>
        <v>20.753</v>
      </c>
      <c r="F13" s="36">
        <f>SUM(F11:F12)</f>
        <v>0</v>
      </c>
      <c r="G13" s="36">
        <f>E13-F13</f>
        <v>20.753</v>
      </c>
      <c r="H13" s="101" t="str">
        <f>IF(F13&lt;0.00000001,"",E13/F13)</f>
        <v/>
      </c>
      <c r="I13" s="36">
        <f>SUM(I11:I12)</f>
        <v>20.753</v>
      </c>
      <c r="J13" s="101" t="str">
        <f>IF(B13&lt;0.00000001,"",E13/B13)</f>
        <v/>
      </c>
    </row>
    <row r="14" spans="1:10" ht="14.4" customHeight="1" thickBot="1" x14ac:dyDescent="0.35">
      <c r="A14" s="12"/>
      <c r="B14" s="12"/>
      <c r="C14" s="83"/>
      <c r="D14" s="8"/>
      <c r="E14" s="12"/>
      <c r="F14" s="13"/>
    </row>
    <row r="15" spans="1:10" ht="14.4" customHeight="1" thickBot="1" x14ac:dyDescent="0.35">
      <c r="A15" s="109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1.2200829825780588E-4</v>
      </c>
      <c r="F15" s="38">
        <f>IF(F9=0,"",F13/F9)</f>
        <v>0</v>
      </c>
      <c r="G15" s="38">
        <f>IF(ISERROR(F15-E15),"",E15-F15)</f>
        <v>1.2200829825780588E-4</v>
      </c>
      <c r="H15" s="102" t="str">
        <f>IF(ISERROR(F15-E15),"",IF(F15&lt;0.00000001,"",E15/F15))</f>
        <v/>
      </c>
    </row>
    <row r="17" spans="1:8" ht="14.4" customHeight="1" x14ac:dyDescent="0.3">
      <c r="A17" s="88" t="s">
        <v>122</v>
      </c>
    </row>
    <row r="18" spans="1:8" ht="14.4" customHeight="1" x14ac:dyDescent="0.3">
      <c r="A18" s="202" t="s">
        <v>147</v>
      </c>
      <c r="B18" s="203"/>
      <c r="C18" s="203"/>
      <c r="D18" s="203"/>
      <c r="E18" s="203"/>
      <c r="F18" s="203"/>
      <c r="G18" s="203"/>
      <c r="H18" s="203"/>
    </row>
    <row r="19" spans="1:8" x14ac:dyDescent="0.3">
      <c r="A19" s="201" t="s">
        <v>146</v>
      </c>
      <c r="B19" s="203"/>
      <c r="C19" s="203"/>
      <c r="D19" s="203"/>
      <c r="E19" s="203"/>
      <c r="F19" s="203"/>
      <c r="G19" s="203"/>
      <c r="H19" s="203"/>
    </row>
    <row r="20" spans="1:8" ht="14.4" customHeight="1" x14ac:dyDescent="0.3">
      <c r="A20" s="89" t="s">
        <v>155</v>
      </c>
    </row>
    <row r="21" spans="1:8" ht="14.4" customHeight="1" x14ac:dyDescent="0.3">
      <c r="A21" s="89" t="s">
        <v>123</v>
      </c>
    </row>
    <row r="22" spans="1:8" ht="14.4" customHeight="1" x14ac:dyDescent="0.3">
      <c r="A22" s="90" t="s">
        <v>197</v>
      </c>
    </row>
    <row r="23" spans="1:8" ht="14.4" customHeight="1" x14ac:dyDescent="0.3">
      <c r="A23" s="90" t="s">
        <v>124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2" priority="8" operator="greaterThan">
      <formula>0</formula>
    </cfRule>
  </conditionalFormatting>
  <conditionalFormatting sqref="G11:G13 G15">
    <cfRule type="cellIs" dxfId="41" priority="7" operator="lessThan">
      <formula>0</formula>
    </cfRule>
  </conditionalFormatting>
  <conditionalFormatting sqref="H5:H9">
    <cfRule type="cellIs" dxfId="40" priority="6" operator="greaterThan">
      <formula>1</formula>
    </cfRule>
  </conditionalFormatting>
  <conditionalFormatting sqref="H11:H13 H15">
    <cfRule type="cellIs" dxfId="39" priority="5" operator="lessThan">
      <formula>1</formula>
    </cfRule>
  </conditionalFormatting>
  <conditionalFormatting sqref="I11:I13">
    <cfRule type="cellIs" dxfId="38" priority="4" operator="lessThan">
      <formula>0</formula>
    </cfRule>
  </conditionalFormatting>
  <conditionalFormatting sqref="J11:J13">
    <cfRule type="cellIs" dxfId="37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4"/>
    <col min="2" max="13" width="8.88671875" style="104" customWidth="1"/>
    <col min="14" max="16384" width="8.88671875" style="104"/>
  </cols>
  <sheetData>
    <row r="1" spans="1:13" ht="18.600000000000001" customHeight="1" thickBot="1" x14ac:dyDescent="0.4">
      <c r="A1" s="283" t="s">
        <v>85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</row>
    <row r="2" spans="1:13" ht="14.4" customHeight="1" x14ac:dyDescent="0.3">
      <c r="A2" s="199" t="s">
        <v>218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13" ht="14.4" customHeight="1" x14ac:dyDescent="0.3">
      <c r="A3" s="171"/>
      <c r="B3" s="172" t="s">
        <v>63</v>
      </c>
      <c r="C3" s="173" t="s">
        <v>64</v>
      </c>
      <c r="D3" s="173" t="s">
        <v>65</v>
      </c>
      <c r="E3" s="172" t="s">
        <v>66</v>
      </c>
      <c r="F3" s="173" t="s">
        <v>67</v>
      </c>
      <c r="G3" s="173" t="s">
        <v>68</v>
      </c>
      <c r="H3" s="173" t="s">
        <v>69</v>
      </c>
      <c r="I3" s="173" t="s">
        <v>70</v>
      </c>
      <c r="J3" s="173" t="s">
        <v>71</v>
      </c>
      <c r="K3" s="173" t="s">
        <v>72</v>
      </c>
      <c r="L3" s="173" t="s">
        <v>73</v>
      </c>
      <c r="M3" s="173" t="s">
        <v>74</v>
      </c>
    </row>
    <row r="4" spans="1:13" ht="14.4" customHeight="1" x14ac:dyDescent="0.3">
      <c r="A4" s="171" t="s">
        <v>62</v>
      </c>
      <c r="B4" s="174">
        <f>(B10+B8)/B6</f>
        <v>1.7147628321460069E-4</v>
      </c>
      <c r="C4" s="174">
        <f t="shared" ref="C4:M4" si="0">(C10+C8)/C6</f>
        <v>1.1856020943153111E-4</v>
      </c>
      <c r="D4" s="174">
        <f t="shared" si="0"/>
        <v>1.1589510429647158E-4</v>
      </c>
      <c r="E4" s="174">
        <f t="shared" si="0"/>
        <v>1.2426985580126624E-4</v>
      </c>
      <c r="F4" s="174">
        <f t="shared" si="0"/>
        <v>1.2200829825780593E-4</v>
      </c>
      <c r="G4" s="174">
        <f t="shared" si="0"/>
        <v>1.2200829825780593E-4</v>
      </c>
      <c r="H4" s="174">
        <f t="shared" si="0"/>
        <v>1.2200829825780593E-4</v>
      </c>
      <c r="I4" s="174">
        <f t="shared" si="0"/>
        <v>1.2200829825780593E-4</v>
      </c>
      <c r="J4" s="174">
        <f t="shared" si="0"/>
        <v>1.2200829825780593E-4</v>
      </c>
      <c r="K4" s="174">
        <f t="shared" si="0"/>
        <v>1.2200829825780593E-4</v>
      </c>
      <c r="L4" s="174">
        <f t="shared" si="0"/>
        <v>1.2200829825780593E-4</v>
      </c>
      <c r="M4" s="174">
        <f t="shared" si="0"/>
        <v>1.2200829825780593E-4</v>
      </c>
    </row>
    <row r="5" spans="1:13" ht="14.4" customHeight="1" x14ac:dyDescent="0.3">
      <c r="A5" s="175" t="s">
        <v>35</v>
      </c>
      <c r="B5" s="174">
        <f>IF(ISERROR(VLOOKUP($A5,'Man Tab'!$A:$Q,COLUMN()+2,0)),0,VLOOKUP($A5,'Man Tab'!$A:$Q,COLUMN()+2,0))</f>
        <v>33322.392420000098</v>
      </c>
      <c r="C5" s="174">
        <f>IF(ISERROR(VLOOKUP($A5,'Man Tab'!$A:$Q,COLUMN()+2,0)),0,VLOOKUP($A5,'Man Tab'!$A:$Q,COLUMN()+2,0))</f>
        <v>31598.2081500001</v>
      </c>
      <c r="D5" s="174">
        <f>IF(ISERROR(VLOOKUP($A5,'Man Tab'!$A:$Q,COLUMN()+2,0)),0,VLOOKUP($A5,'Man Tab'!$A:$Q,COLUMN()+2,0))</f>
        <v>35187.165589999902</v>
      </c>
      <c r="E5" s="174">
        <f>IF(ISERROR(VLOOKUP($A5,'Man Tab'!$A:$Q,COLUMN()+2,0)),0,VLOOKUP($A5,'Man Tab'!$A:$Q,COLUMN()+2,0))</f>
        <v>35934.879829999802</v>
      </c>
      <c r="F5" s="174">
        <f>IF(ISERROR(VLOOKUP($A5,'Man Tab'!$A:$Q,COLUMN()+2,0)),0,VLOOKUP($A5,'Man Tab'!$A:$Q,COLUMN()+2,0))</f>
        <v>34052.341780000002</v>
      </c>
      <c r="G5" s="174">
        <f>IF(ISERROR(VLOOKUP($A5,'Man Tab'!$A:$Q,COLUMN()+2,0)),0,VLOOKUP($A5,'Man Tab'!$A:$Q,COLUMN()+2,0))</f>
        <v>0</v>
      </c>
      <c r="H5" s="174">
        <f>IF(ISERROR(VLOOKUP($A5,'Man Tab'!$A:$Q,COLUMN()+2,0)),0,VLOOKUP($A5,'Man Tab'!$A:$Q,COLUMN()+2,0))</f>
        <v>0</v>
      </c>
      <c r="I5" s="174">
        <f>IF(ISERROR(VLOOKUP($A5,'Man Tab'!$A:$Q,COLUMN()+2,0)),0,VLOOKUP($A5,'Man Tab'!$A:$Q,COLUMN()+2,0))</f>
        <v>0</v>
      </c>
      <c r="J5" s="174">
        <f>IF(ISERROR(VLOOKUP($A5,'Man Tab'!$A:$Q,COLUMN()+2,0)),0,VLOOKUP($A5,'Man Tab'!$A:$Q,COLUMN()+2,0))</f>
        <v>0</v>
      </c>
      <c r="K5" s="174">
        <f>IF(ISERROR(VLOOKUP($A5,'Man Tab'!$A:$Q,COLUMN()+2,0)),0,VLOOKUP($A5,'Man Tab'!$A:$Q,COLUMN()+2,0))</f>
        <v>0</v>
      </c>
      <c r="L5" s="174">
        <f>IF(ISERROR(VLOOKUP($A5,'Man Tab'!$A:$Q,COLUMN()+2,0)),0,VLOOKUP($A5,'Man Tab'!$A:$Q,COLUMN()+2,0))</f>
        <v>0</v>
      </c>
      <c r="M5" s="174">
        <f>IF(ISERROR(VLOOKUP($A5,'Man Tab'!$A:$Q,COLUMN()+2,0)),0,VLOOKUP($A5,'Man Tab'!$A:$Q,COLUMN()+2,0))</f>
        <v>0</v>
      </c>
    </row>
    <row r="6" spans="1:13" ht="14.4" customHeight="1" x14ac:dyDescent="0.3">
      <c r="A6" s="175" t="s">
        <v>58</v>
      </c>
      <c r="B6" s="176">
        <f>B5</f>
        <v>33322.392420000098</v>
      </c>
      <c r="C6" s="176">
        <f t="shared" ref="C6:M6" si="1">C5+B6</f>
        <v>64920.600570000199</v>
      </c>
      <c r="D6" s="176">
        <f t="shared" si="1"/>
        <v>100107.7661600001</v>
      </c>
      <c r="E6" s="176">
        <f t="shared" si="1"/>
        <v>136042.6459899999</v>
      </c>
      <c r="F6" s="176">
        <f t="shared" si="1"/>
        <v>170094.98776999989</v>
      </c>
      <c r="G6" s="176">
        <f t="shared" si="1"/>
        <v>170094.98776999989</v>
      </c>
      <c r="H6" s="176">
        <f t="shared" si="1"/>
        <v>170094.98776999989</v>
      </c>
      <c r="I6" s="176">
        <f t="shared" si="1"/>
        <v>170094.98776999989</v>
      </c>
      <c r="J6" s="176">
        <f t="shared" si="1"/>
        <v>170094.98776999989</v>
      </c>
      <c r="K6" s="176">
        <f t="shared" si="1"/>
        <v>170094.98776999989</v>
      </c>
      <c r="L6" s="176">
        <f t="shared" si="1"/>
        <v>170094.98776999989</v>
      </c>
      <c r="M6" s="176">
        <f t="shared" si="1"/>
        <v>170094.98776999989</v>
      </c>
    </row>
    <row r="7" spans="1:13" ht="14.4" customHeight="1" x14ac:dyDescent="0.3">
      <c r="A7" s="175" t="s">
        <v>83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</row>
    <row r="8" spans="1:13" ht="14.4" customHeight="1" x14ac:dyDescent="0.3">
      <c r="A8" s="175" t="s">
        <v>59</v>
      </c>
      <c r="B8" s="176">
        <f>B7*30</f>
        <v>0</v>
      </c>
      <c r="C8" s="176">
        <f t="shared" ref="C8:M8" si="2">C7*30</f>
        <v>0</v>
      </c>
      <c r="D8" s="176">
        <f t="shared" si="2"/>
        <v>0</v>
      </c>
      <c r="E8" s="176">
        <f t="shared" si="2"/>
        <v>0</v>
      </c>
      <c r="F8" s="176">
        <f t="shared" si="2"/>
        <v>0</v>
      </c>
      <c r="G8" s="176">
        <f t="shared" si="2"/>
        <v>0</v>
      </c>
      <c r="H8" s="176">
        <f t="shared" si="2"/>
        <v>0</v>
      </c>
      <c r="I8" s="176">
        <f t="shared" si="2"/>
        <v>0</v>
      </c>
      <c r="J8" s="176">
        <f t="shared" si="2"/>
        <v>0</v>
      </c>
      <c r="K8" s="176">
        <f t="shared" si="2"/>
        <v>0</v>
      </c>
      <c r="L8" s="176">
        <f t="shared" si="2"/>
        <v>0</v>
      </c>
      <c r="M8" s="176">
        <f t="shared" si="2"/>
        <v>0</v>
      </c>
    </row>
    <row r="9" spans="1:13" ht="14.4" customHeight="1" x14ac:dyDescent="0.3">
      <c r="A9" s="175" t="s">
        <v>84</v>
      </c>
      <c r="B9" s="175">
        <v>5714</v>
      </c>
      <c r="C9" s="175">
        <v>1983</v>
      </c>
      <c r="D9" s="175">
        <v>3905</v>
      </c>
      <c r="E9" s="175">
        <v>5304</v>
      </c>
      <c r="F9" s="175">
        <v>3847</v>
      </c>
      <c r="G9" s="175">
        <v>0</v>
      </c>
      <c r="H9" s="175">
        <v>0</v>
      </c>
      <c r="I9" s="175">
        <v>0</v>
      </c>
      <c r="J9" s="175">
        <v>0</v>
      </c>
      <c r="K9" s="175">
        <v>0</v>
      </c>
      <c r="L9" s="175">
        <v>0</v>
      </c>
      <c r="M9" s="175">
        <v>0</v>
      </c>
    </row>
    <row r="10" spans="1:13" ht="14.4" customHeight="1" x14ac:dyDescent="0.3">
      <c r="A10" s="175" t="s">
        <v>60</v>
      </c>
      <c r="B10" s="176">
        <f>B9/1000</f>
        <v>5.7140000000000004</v>
      </c>
      <c r="C10" s="176">
        <f t="shared" ref="C10:M10" si="3">C9/1000+B10</f>
        <v>7.697000000000001</v>
      </c>
      <c r="D10" s="176">
        <f t="shared" si="3"/>
        <v>11.602</v>
      </c>
      <c r="E10" s="176">
        <f t="shared" si="3"/>
        <v>16.905999999999999</v>
      </c>
      <c r="F10" s="176">
        <f t="shared" si="3"/>
        <v>20.753</v>
      </c>
      <c r="G10" s="176">
        <f t="shared" si="3"/>
        <v>20.753</v>
      </c>
      <c r="H10" s="176">
        <f t="shared" si="3"/>
        <v>20.753</v>
      </c>
      <c r="I10" s="176">
        <f t="shared" si="3"/>
        <v>20.753</v>
      </c>
      <c r="J10" s="176">
        <f t="shared" si="3"/>
        <v>20.753</v>
      </c>
      <c r="K10" s="176">
        <f t="shared" si="3"/>
        <v>20.753</v>
      </c>
      <c r="L10" s="176">
        <f t="shared" si="3"/>
        <v>20.753</v>
      </c>
      <c r="M10" s="176">
        <f t="shared" si="3"/>
        <v>20.753</v>
      </c>
    </row>
    <row r="11" spans="1:13" ht="14.4" customHeight="1" x14ac:dyDescent="0.3">
      <c r="A11" s="171"/>
      <c r="B11" s="171" t="s">
        <v>75</v>
      </c>
      <c r="C11" s="171">
        <f ca="1">IF(MONTH(TODAY())=1,12,MONTH(TODAY())-1)</f>
        <v>5</v>
      </c>
      <c r="D11" s="171"/>
      <c r="E11" s="171"/>
      <c r="F11" s="171"/>
      <c r="G11" s="171"/>
      <c r="H11" s="171"/>
      <c r="I11" s="171"/>
      <c r="J11" s="171"/>
      <c r="K11" s="171"/>
      <c r="L11" s="171"/>
      <c r="M11" s="171"/>
    </row>
    <row r="12" spans="1:13" ht="14.4" customHeight="1" x14ac:dyDescent="0.3">
      <c r="A12" s="171">
        <v>0</v>
      </c>
      <c r="B12" s="174">
        <f>IF(ISERROR(HI!F15),#REF!,HI!F15)</f>
        <v>0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</row>
    <row r="13" spans="1:13" ht="14.4" customHeight="1" x14ac:dyDescent="0.3">
      <c r="A13" s="171">
        <v>1</v>
      </c>
      <c r="B13" s="174">
        <f>IF(ISERROR(HI!F15),#REF!,HI!F15)</f>
        <v>0</v>
      </c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4" bestFit="1" customWidth="1"/>
    <col min="2" max="2" width="12.77734375" style="104" bestFit="1" customWidth="1"/>
    <col min="3" max="3" width="13.6640625" style="104" bestFit="1" customWidth="1"/>
    <col min="4" max="15" width="7.77734375" style="104" bestFit="1" customWidth="1"/>
    <col min="16" max="16" width="8.88671875" style="104" customWidth="1"/>
    <col min="17" max="17" width="6.6640625" style="104" bestFit="1" customWidth="1"/>
    <col min="18" max="16384" width="8.88671875" style="104"/>
  </cols>
  <sheetData>
    <row r="1" spans="1:17" s="177" customFormat="1" ht="18.600000000000001" customHeight="1" thickBot="1" x14ac:dyDescent="0.4">
      <c r="A1" s="295" t="s">
        <v>220</v>
      </c>
      <c r="B1" s="295"/>
      <c r="C1" s="295"/>
      <c r="D1" s="295"/>
      <c r="E1" s="295"/>
      <c r="F1" s="295"/>
      <c r="G1" s="295"/>
      <c r="H1" s="283"/>
      <c r="I1" s="283"/>
      <c r="J1" s="283"/>
      <c r="K1" s="283"/>
      <c r="L1" s="283"/>
      <c r="M1" s="283"/>
      <c r="N1" s="283"/>
      <c r="O1" s="283"/>
      <c r="P1" s="283"/>
      <c r="Q1" s="283"/>
    </row>
    <row r="2" spans="1:17" s="177" customFormat="1" ht="14.4" customHeight="1" thickBot="1" x14ac:dyDescent="0.3">
      <c r="A2" s="199" t="s">
        <v>218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</row>
    <row r="3" spans="1:17" ht="14.4" customHeight="1" x14ac:dyDescent="0.3">
      <c r="A3" s="60"/>
      <c r="B3" s="296" t="s">
        <v>11</v>
      </c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112"/>
      <c r="Q3" s="114"/>
    </row>
    <row r="4" spans="1:17" ht="14.4" customHeight="1" x14ac:dyDescent="0.3">
      <c r="A4" s="61"/>
      <c r="B4" s="20">
        <v>2019</v>
      </c>
      <c r="C4" s="113" t="s">
        <v>12</v>
      </c>
      <c r="D4" s="218" t="s">
        <v>198</v>
      </c>
      <c r="E4" s="218" t="s">
        <v>199</v>
      </c>
      <c r="F4" s="218" t="s">
        <v>200</v>
      </c>
      <c r="G4" s="218" t="s">
        <v>201</v>
      </c>
      <c r="H4" s="218" t="s">
        <v>202</v>
      </c>
      <c r="I4" s="218" t="s">
        <v>203</v>
      </c>
      <c r="J4" s="218" t="s">
        <v>204</v>
      </c>
      <c r="K4" s="218" t="s">
        <v>205</v>
      </c>
      <c r="L4" s="218" t="s">
        <v>206</v>
      </c>
      <c r="M4" s="218" t="s">
        <v>207</v>
      </c>
      <c r="N4" s="218" t="s">
        <v>208</v>
      </c>
      <c r="O4" s="218" t="s">
        <v>209</v>
      </c>
      <c r="P4" s="298" t="s">
        <v>3</v>
      </c>
      <c r="Q4" s="299"/>
    </row>
    <row r="5" spans="1:17" ht="14.4" customHeight="1" thickBot="1" x14ac:dyDescent="0.35">
      <c r="A5" s="62"/>
      <c r="B5" s="21" t="s">
        <v>13</v>
      </c>
      <c r="C5" s="22" t="s">
        <v>13</v>
      </c>
      <c r="D5" s="22" t="s">
        <v>14</v>
      </c>
      <c r="E5" s="22" t="s">
        <v>14</v>
      </c>
      <c r="F5" s="22" t="s">
        <v>14</v>
      </c>
      <c r="G5" s="22" t="s">
        <v>14</v>
      </c>
      <c r="H5" s="22" t="s">
        <v>14</v>
      </c>
      <c r="I5" s="22" t="s">
        <v>14</v>
      </c>
      <c r="J5" s="22" t="s">
        <v>14</v>
      </c>
      <c r="K5" s="22" t="s">
        <v>14</v>
      </c>
      <c r="L5" s="22" t="s">
        <v>14</v>
      </c>
      <c r="M5" s="22" t="s">
        <v>14</v>
      </c>
      <c r="N5" s="22" t="s">
        <v>14</v>
      </c>
      <c r="O5" s="22" t="s">
        <v>14</v>
      </c>
      <c r="P5" s="22" t="s">
        <v>14</v>
      </c>
      <c r="Q5" s="23" t="s">
        <v>15</v>
      </c>
    </row>
    <row r="6" spans="1:17" ht="14.4" customHeight="1" x14ac:dyDescent="0.3">
      <c r="A6" s="14" t="s">
        <v>16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70" t="s">
        <v>219</v>
      </c>
    </row>
    <row r="7" spans="1:17" ht="14.4" customHeight="1" x14ac:dyDescent="0.3">
      <c r="A7" s="15" t="s">
        <v>17</v>
      </c>
      <c r="B7" s="46">
        <v>80</v>
      </c>
      <c r="C7" s="47">
        <v>6.6666666666659999</v>
      </c>
      <c r="D7" s="47">
        <v>4.6170099999999996</v>
      </c>
      <c r="E7" s="47">
        <v>5.3599699999999997</v>
      </c>
      <c r="F7" s="47">
        <v>0.89100999999899999</v>
      </c>
      <c r="G7" s="47">
        <v>5.7503399999990004</v>
      </c>
      <c r="H7" s="47">
        <v>4.8678299999999997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21.486160000000002</v>
      </c>
      <c r="Q7" s="71">
        <v>0.64458479999999996</v>
      </c>
    </row>
    <row r="8" spans="1:17" ht="14.4" customHeight="1" x14ac:dyDescent="0.3">
      <c r="A8" s="15" t="s">
        <v>18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1" t="s">
        <v>219</v>
      </c>
    </row>
    <row r="9" spans="1:17" ht="14.4" customHeight="1" x14ac:dyDescent="0.3">
      <c r="A9" s="15" t="s">
        <v>19</v>
      </c>
      <c r="B9" s="46">
        <v>2165</v>
      </c>
      <c r="C9" s="47">
        <v>180.416666666667</v>
      </c>
      <c r="D9" s="47">
        <v>252.51475000000099</v>
      </c>
      <c r="E9" s="47">
        <v>374.300980000001</v>
      </c>
      <c r="F9" s="47">
        <v>-177.93955</v>
      </c>
      <c r="G9" s="47">
        <v>371.86058999999801</v>
      </c>
      <c r="H9" s="47">
        <v>406.28937000000002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1227.0261399999999</v>
      </c>
      <c r="Q9" s="71">
        <v>1.360213734872</v>
      </c>
    </row>
    <row r="10" spans="1:17" ht="14.4" customHeight="1" x14ac:dyDescent="0.3">
      <c r="A10" s="15" t="s">
        <v>20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1" t="s">
        <v>219</v>
      </c>
    </row>
    <row r="11" spans="1:17" ht="14.4" customHeight="1" x14ac:dyDescent="0.3">
      <c r="A11" s="15" t="s">
        <v>21</v>
      </c>
      <c r="B11" s="46">
        <v>846.641952908642</v>
      </c>
      <c r="C11" s="47">
        <v>70.553496075720005</v>
      </c>
      <c r="D11" s="47">
        <v>100.83696999999999</v>
      </c>
      <c r="E11" s="47">
        <v>30.766069999999999</v>
      </c>
      <c r="F11" s="47">
        <v>38.854089999998997</v>
      </c>
      <c r="G11" s="47">
        <v>143.74464999999901</v>
      </c>
      <c r="H11" s="47">
        <v>53.416930000000001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367.61871000000002</v>
      </c>
      <c r="Q11" s="71">
        <v>1.042099202583</v>
      </c>
    </row>
    <row r="12" spans="1:17" ht="14.4" customHeight="1" x14ac:dyDescent="0.3">
      <c r="A12" s="15" t="s">
        <v>22</v>
      </c>
      <c r="B12" s="46">
        <v>94.703377458785994</v>
      </c>
      <c r="C12" s="47">
        <v>7.891948121565</v>
      </c>
      <c r="D12" s="47">
        <v>0</v>
      </c>
      <c r="E12" s="47">
        <v>4.4290000000000003</v>
      </c>
      <c r="F12" s="47">
        <v>0.79299999999899995</v>
      </c>
      <c r="G12" s="47">
        <v>1.3324999999989999</v>
      </c>
      <c r="H12" s="47">
        <v>1.1978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7.7523</v>
      </c>
      <c r="Q12" s="71">
        <v>0.19646099747699999</v>
      </c>
    </row>
    <row r="13" spans="1:17" ht="14.4" customHeight="1" x14ac:dyDescent="0.3">
      <c r="A13" s="15" t="s">
        <v>23</v>
      </c>
      <c r="B13" s="46">
        <v>105</v>
      </c>
      <c r="C13" s="47">
        <v>8.75</v>
      </c>
      <c r="D13" s="47">
        <v>19.473749999999999</v>
      </c>
      <c r="E13" s="47">
        <v>9.5186100000000007</v>
      </c>
      <c r="F13" s="47">
        <v>19.349329999999998</v>
      </c>
      <c r="G13" s="47">
        <v>2.9904999999989998</v>
      </c>
      <c r="H13" s="47">
        <v>14.64162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65.97381</v>
      </c>
      <c r="Q13" s="71">
        <v>1.5079727999999999</v>
      </c>
    </row>
    <row r="14" spans="1:17" ht="14.4" customHeight="1" x14ac:dyDescent="0.3">
      <c r="A14" s="15" t="s">
        <v>24</v>
      </c>
      <c r="B14" s="46">
        <v>2060.4844189663299</v>
      </c>
      <c r="C14" s="47">
        <v>171.70703491386101</v>
      </c>
      <c r="D14" s="47">
        <v>251.376000000001</v>
      </c>
      <c r="E14" s="47">
        <v>203.501</v>
      </c>
      <c r="F14" s="47">
        <v>192.822</v>
      </c>
      <c r="G14" s="47">
        <v>160.40099999999899</v>
      </c>
      <c r="H14" s="47">
        <v>153.81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961.91</v>
      </c>
      <c r="Q14" s="71">
        <v>1.12040837521</v>
      </c>
    </row>
    <row r="15" spans="1:17" ht="14.4" customHeight="1" x14ac:dyDescent="0.3">
      <c r="A15" s="15" t="s">
        <v>25</v>
      </c>
      <c r="B15" s="46">
        <v>356625.32024775498</v>
      </c>
      <c r="C15" s="47">
        <v>29718.7766873129</v>
      </c>
      <c r="D15" s="47">
        <v>28840.4825100001</v>
      </c>
      <c r="E15" s="47">
        <v>26206.654620000099</v>
      </c>
      <c r="F15" s="47">
        <v>30871.251739999901</v>
      </c>
      <c r="G15" s="47">
        <v>31009.0946899999</v>
      </c>
      <c r="H15" s="47">
        <v>29397.810219999999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146325.29378000001</v>
      </c>
      <c r="Q15" s="71">
        <v>0.98473295398100003</v>
      </c>
    </row>
    <row r="16" spans="1:17" ht="14.4" customHeight="1" x14ac:dyDescent="0.3">
      <c r="A16" s="15" t="s">
        <v>26</v>
      </c>
      <c r="B16" s="46">
        <v>-8400</v>
      </c>
      <c r="C16" s="47">
        <v>-700</v>
      </c>
      <c r="D16" s="47">
        <v>-842.61752000000195</v>
      </c>
      <c r="E16" s="47">
        <v>-748.49283000000196</v>
      </c>
      <c r="F16" s="47">
        <v>-714.811039999998</v>
      </c>
      <c r="G16" s="47">
        <v>-789.74336999999696</v>
      </c>
      <c r="H16" s="47">
        <v>-870.69633999999996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-3966.3611000000001</v>
      </c>
      <c r="Q16" s="71">
        <v>1.133246028571</v>
      </c>
    </row>
    <row r="17" spans="1:17" ht="14.4" customHeight="1" x14ac:dyDescent="0.3">
      <c r="A17" s="15" t="s">
        <v>27</v>
      </c>
      <c r="B17" s="46">
        <v>428.67098901855798</v>
      </c>
      <c r="C17" s="47">
        <v>35.722582418213001</v>
      </c>
      <c r="D17" s="47">
        <v>52.556060000000002</v>
      </c>
      <c r="E17" s="47">
        <v>33.860230000000001</v>
      </c>
      <c r="F17" s="47">
        <v>65.143699999999001</v>
      </c>
      <c r="G17" s="47">
        <v>245.457889999999</v>
      </c>
      <c r="H17" s="47">
        <v>145.15419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542.17206999999905</v>
      </c>
      <c r="Q17" s="71">
        <v>3.0354584316030002</v>
      </c>
    </row>
    <row r="18" spans="1:17" ht="14.4" customHeight="1" x14ac:dyDescent="0.3">
      <c r="A18" s="15" t="s">
        <v>28</v>
      </c>
      <c r="B18" s="46">
        <v>0</v>
      </c>
      <c r="C18" s="47">
        <v>0</v>
      </c>
      <c r="D18" s="47">
        <v>6.8659999999999997</v>
      </c>
      <c r="E18" s="47">
        <v>10.808999999999999</v>
      </c>
      <c r="F18" s="47">
        <v>5.6159999999989996</v>
      </c>
      <c r="G18" s="47">
        <v>13.723999999999</v>
      </c>
      <c r="H18" s="47">
        <v>7.3220000000000001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44.337000000000003</v>
      </c>
      <c r="Q18" s="71" t="s">
        <v>219</v>
      </c>
    </row>
    <row r="19" spans="1:17" ht="14.4" customHeight="1" x14ac:dyDescent="0.3">
      <c r="A19" s="15" t="s">
        <v>29</v>
      </c>
      <c r="B19" s="46">
        <v>1458.8754551003799</v>
      </c>
      <c r="C19" s="47">
        <v>121.57295459169799</v>
      </c>
      <c r="D19" s="47">
        <v>86.221860000000007</v>
      </c>
      <c r="E19" s="47">
        <v>232.31076999999999</v>
      </c>
      <c r="F19" s="47">
        <v>289.70203999999899</v>
      </c>
      <c r="G19" s="47">
        <v>256.08779999999899</v>
      </c>
      <c r="H19" s="47">
        <v>169.94996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1034.27243</v>
      </c>
      <c r="Q19" s="71">
        <v>1.70148440247</v>
      </c>
    </row>
    <row r="20" spans="1:17" ht="14.4" customHeight="1" x14ac:dyDescent="0.3">
      <c r="A20" s="15" t="s">
        <v>30</v>
      </c>
      <c r="B20" s="46">
        <v>49545.294642000103</v>
      </c>
      <c r="C20" s="47">
        <v>4128.7745535000004</v>
      </c>
      <c r="D20" s="47">
        <v>4044.9630100000099</v>
      </c>
      <c r="E20" s="47">
        <v>4084.1114600000101</v>
      </c>
      <c r="F20" s="47">
        <v>4163.61077999999</v>
      </c>
      <c r="G20" s="47">
        <v>4091.1405099999802</v>
      </c>
      <c r="H20" s="47">
        <v>4144.4396100000004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20528.265370000001</v>
      </c>
      <c r="Q20" s="71">
        <v>0.99439991716599996</v>
      </c>
    </row>
    <row r="21" spans="1:17" ht="14.4" customHeight="1" x14ac:dyDescent="0.3">
      <c r="A21" s="16" t="s">
        <v>31</v>
      </c>
      <c r="B21" s="46">
        <v>4534.99999999993</v>
      </c>
      <c r="C21" s="47">
        <v>377.916666666661</v>
      </c>
      <c r="D21" s="47">
        <v>375.43960000000101</v>
      </c>
      <c r="E21" s="47">
        <v>375.442980000001</v>
      </c>
      <c r="F21" s="47">
        <v>375.44199999999898</v>
      </c>
      <c r="G21" s="47">
        <v>375.44198999999799</v>
      </c>
      <c r="H21" s="47">
        <v>375.44200999999998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1877.20858</v>
      </c>
      <c r="Q21" s="71">
        <v>0.99345106769500002</v>
      </c>
    </row>
    <row r="22" spans="1:17" ht="14.4" customHeight="1" x14ac:dyDescent="0.3">
      <c r="A22" s="15" t="s">
        <v>32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1.327999999999</v>
      </c>
      <c r="H22" s="47">
        <v>41.64564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42.973640000000003</v>
      </c>
      <c r="Q22" s="71" t="s">
        <v>219</v>
      </c>
    </row>
    <row r="23" spans="1:17" ht="14.4" customHeight="1" x14ac:dyDescent="0.3">
      <c r="A23" s="16" t="s">
        <v>33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1" t="s">
        <v>219</v>
      </c>
    </row>
    <row r="24" spans="1:17" ht="14.4" customHeight="1" x14ac:dyDescent="0.3">
      <c r="A24" s="16" t="s">
        <v>34</v>
      </c>
      <c r="B24" s="46">
        <v>1.7462298274040199E-10</v>
      </c>
      <c r="C24" s="47">
        <v>7.2759576141834308E-12</v>
      </c>
      <c r="D24" s="47">
        <v>129.66242000000801</v>
      </c>
      <c r="E24" s="47">
        <v>775.63629000000196</v>
      </c>
      <c r="F24" s="47">
        <v>56.440489999999997</v>
      </c>
      <c r="G24" s="47">
        <v>46.268739999998999</v>
      </c>
      <c r="H24" s="47">
        <v>7.0509399999999998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1015.05888000001</v>
      </c>
      <c r="Q24" s="71"/>
    </row>
    <row r="25" spans="1:17" ht="14.4" customHeight="1" x14ac:dyDescent="0.3">
      <c r="A25" s="17" t="s">
        <v>35</v>
      </c>
      <c r="B25" s="49">
        <v>409544.99108320801</v>
      </c>
      <c r="C25" s="50">
        <v>34128.749256934003</v>
      </c>
      <c r="D25" s="50">
        <v>33322.392420000098</v>
      </c>
      <c r="E25" s="50">
        <v>31598.2081500001</v>
      </c>
      <c r="F25" s="50">
        <v>35187.165589999902</v>
      </c>
      <c r="G25" s="50">
        <v>35934.879829999802</v>
      </c>
      <c r="H25" s="50">
        <v>34052.341780000002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170094.98777000001</v>
      </c>
      <c r="Q25" s="72">
        <v>0.99678418619700004</v>
      </c>
    </row>
    <row r="26" spans="1:17" ht="14.4" customHeight="1" x14ac:dyDescent="0.3">
      <c r="A26" s="15" t="s">
        <v>36</v>
      </c>
      <c r="B26" s="46">
        <v>9843.6242203064103</v>
      </c>
      <c r="C26" s="47">
        <v>820.30201835886703</v>
      </c>
      <c r="D26" s="47">
        <v>754.09744000000103</v>
      </c>
      <c r="E26" s="47">
        <v>793.21888999999999</v>
      </c>
      <c r="F26" s="47">
        <v>721.64869000000101</v>
      </c>
      <c r="G26" s="47">
        <v>839.04728999999998</v>
      </c>
      <c r="H26" s="47">
        <v>719.96028999999999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3827.9726000000001</v>
      </c>
      <c r="Q26" s="71">
        <v>0.933308102217</v>
      </c>
    </row>
    <row r="27" spans="1:17" ht="14.4" customHeight="1" x14ac:dyDescent="0.3">
      <c r="A27" s="18" t="s">
        <v>37</v>
      </c>
      <c r="B27" s="49">
        <v>419388.615303514</v>
      </c>
      <c r="C27" s="50">
        <v>34949.051275292797</v>
      </c>
      <c r="D27" s="50">
        <v>34076.489860000103</v>
      </c>
      <c r="E27" s="50">
        <v>32391.427040000101</v>
      </c>
      <c r="F27" s="50">
        <v>35908.814279999897</v>
      </c>
      <c r="G27" s="50">
        <v>36773.927119999797</v>
      </c>
      <c r="H27" s="50">
        <v>34772.302069999998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173922.96036999999</v>
      </c>
      <c r="Q27" s="72">
        <v>0.99529431571600002</v>
      </c>
    </row>
    <row r="28" spans="1:17" ht="14.4" customHeight="1" x14ac:dyDescent="0.3">
      <c r="A28" s="16" t="s">
        <v>38</v>
      </c>
      <c r="B28" s="46">
        <v>22.399594083126001</v>
      </c>
      <c r="C28" s="47">
        <v>1.8666328402600001</v>
      </c>
      <c r="D28" s="47">
        <v>0</v>
      </c>
      <c r="E28" s="47">
        <v>0</v>
      </c>
      <c r="F28" s="47">
        <v>1.8736299999999999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1.8736299999999999</v>
      </c>
      <c r="Q28" s="71">
        <v>0.200749709272</v>
      </c>
    </row>
    <row r="29" spans="1:17" ht="14.4" customHeight="1" x14ac:dyDescent="0.3">
      <c r="A29" s="16" t="s">
        <v>39</v>
      </c>
      <c r="B29" s="46">
        <v>10500</v>
      </c>
      <c r="C29" s="47">
        <v>875</v>
      </c>
      <c r="D29" s="47">
        <v>-0.49199999999900002</v>
      </c>
      <c r="E29" s="47">
        <v>1052.6099999999999</v>
      </c>
      <c r="F29" s="47">
        <v>841.66200000000003</v>
      </c>
      <c r="G29" s="47">
        <v>938.37599999999998</v>
      </c>
      <c r="H29" s="47">
        <v>954.68499999999995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3786.8409999999999</v>
      </c>
      <c r="Q29" s="71">
        <v>0.86556365714200001</v>
      </c>
    </row>
    <row r="30" spans="1:17" ht="14.4" customHeight="1" x14ac:dyDescent="0.3">
      <c r="A30" s="16" t="s">
        <v>40</v>
      </c>
      <c r="B30" s="46">
        <v>425100</v>
      </c>
      <c r="C30" s="47">
        <v>35425</v>
      </c>
      <c r="D30" s="47">
        <v>34677.343740000098</v>
      </c>
      <c r="E30" s="47">
        <v>31867.072399999899</v>
      </c>
      <c r="F30" s="47">
        <v>36636.642740000003</v>
      </c>
      <c r="G30" s="47">
        <v>37159.043250000002</v>
      </c>
      <c r="H30" s="47">
        <v>35748.176449999999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176088.27858000001</v>
      </c>
      <c r="Q30" s="71">
        <v>0.994146950345</v>
      </c>
    </row>
    <row r="31" spans="1:17" ht="14.4" customHeight="1" thickBot="1" x14ac:dyDescent="0.35">
      <c r="A31" s="19" t="s">
        <v>41</v>
      </c>
      <c r="B31" s="52">
        <v>0</v>
      </c>
      <c r="C31" s="53">
        <v>0</v>
      </c>
      <c r="D31" s="53">
        <v>0</v>
      </c>
      <c r="E31" s="53">
        <v>731.48073999999895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731.48073999999895</v>
      </c>
      <c r="Q31" s="73" t="s">
        <v>219</v>
      </c>
    </row>
    <row r="32" spans="1:17" ht="14.4" customHeight="1" x14ac:dyDescent="0.3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</row>
    <row r="33" spans="1:17" ht="14.4" customHeight="1" x14ac:dyDescent="0.3">
      <c r="A33" s="88" t="s">
        <v>122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</row>
    <row r="34" spans="1:17" ht="14.4" customHeight="1" x14ac:dyDescent="0.3">
      <c r="A34" s="110" t="s">
        <v>196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</row>
    <row r="35" spans="1:17" ht="14.4" customHeight="1" x14ac:dyDescent="0.3">
      <c r="A35" s="111" t="s">
        <v>42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35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4" customWidth="1"/>
    <col min="2" max="11" width="10" style="104" customWidth="1"/>
    <col min="12" max="16384" width="8.88671875" style="104"/>
  </cols>
  <sheetData>
    <row r="1" spans="1:11" s="55" customFormat="1" ht="18.600000000000001" customHeight="1" thickBot="1" x14ac:dyDescent="0.4">
      <c r="A1" s="295" t="s">
        <v>43</v>
      </c>
      <c r="B1" s="295"/>
      <c r="C1" s="295"/>
      <c r="D1" s="295"/>
      <c r="E1" s="295"/>
      <c r="F1" s="295"/>
      <c r="G1" s="295"/>
      <c r="H1" s="300"/>
      <c r="I1" s="300"/>
      <c r="J1" s="300"/>
      <c r="K1" s="300"/>
    </row>
    <row r="2" spans="1:11" s="55" customFormat="1" ht="14.4" customHeight="1" thickBot="1" x14ac:dyDescent="0.35">
      <c r="A2" s="199" t="s">
        <v>218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60"/>
      <c r="B3" s="296" t="s">
        <v>44</v>
      </c>
      <c r="C3" s="297"/>
      <c r="D3" s="297"/>
      <c r="E3" s="297"/>
      <c r="F3" s="303" t="s">
        <v>45</v>
      </c>
      <c r="G3" s="297"/>
      <c r="H3" s="297"/>
      <c r="I3" s="297"/>
      <c r="J3" s="297"/>
      <c r="K3" s="304"/>
    </row>
    <row r="4" spans="1:11" ht="14.4" customHeight="1" x14ac:dyDescent="0.3">
      <c r="A4" s="61"/>
      <c r="B4" s="301"/>
      <c r="C4" s="302"/>
      <c r="D4" s="302"/>
      <c r="E4" s="302"/>
      <c r="F4" s="305" t="s">
        <v>214</v>
      </c>
      <c r="G4" s="307" t="s">
        <v>46</v>
      </c>
      <c r="H4" s="115" t="s">
        <v>112</v>
      </c>
      <c r="I4" s="305" t="s">
        <v>47</v>
      </c>
      <c r="J4" s="307" t="s">
        <v>216</v>
      </c>
      <c r="K4" s="308" t="s">
        <v>217</v>
      </c>
    </row>
    <row r="5" spans="1:11" ht="42" thickBot="1" x14ac:dyDescent="0.35">
      <c r="A5" s="62"/>
      <c r="B5" s="24" t="s">
        <v>210</v>
      </c>
      <c r="C5" s="25" t="s">
        <v>211</v>
      </c>
      <c r="D5" s="26" t="s">
        <v>212</v>
      </c>
      <c r="E5" s="26" t="s">
        <v>213</v>
      </c>
      <c r="F5" s="306"/>
      <c r="G5" s="306"/>
      <c r="H5" s="25" t="s">
        <v>215</v>
      </c>
      <c r="I5" s="306"/>
      <c r="J5" s="306"/>
      <c r="K5" s="309"/>
    </row>
    <row r="6" spans="1:11" ht="14.4" customHeight="1" thickBot="1" x14ac:dyDescent="0.35">
      <c r="A6" s="397" t="s">
        <v>221</v>
      </c>
      <c r="B6" s="379">
        <v>388196.94226907601</v>
      </c>
      <c r="C6" s="379">
        <v>395397.17189000099</v>
      </c>
      <c r="D6" s="380">
        <v>7200.2296209246297</v>
      </c>
      <c r="E6" s="381">
        <v>1.018547878246</v>
      </c>
      <c r="F6" s="379">
        <v>409544.99108320801</v>
      </c>
      <c r="G6" s="380">
        <v>170643.74628466999</v>
      </c>
      <c r="H6" s="382">
        <v>34052.341780000002</v>
      </c>
      <c r="I6" s="379">
        <v>170094.98777000001</v>
      </c>
      <c r="J6" s="380">
        <v>-548.75851466989798</v>
      </c>
      <c r="K6" s="383">
        <v>0.41532674424799998</v>
      </c>
    </row>
    <row r="7" spans="1:11" ht="14.4" customHeight="1" thickBot="1" x14ac:dyDescent="0.35">
      <c r="A7" s="398" t="s">
        <v>222</v>
      </c>
      <c r="B7" s="379">
        <v>337832.19799034001</v>
      </c>
      <c r="C7" s="379">
        <v>339909.95352000103</v>
      </c>
      <c r="D7" s="380">
        <v>2077.75552966032</v>
      </c>
      <c r="E7" s="381">
        <v>1.0061502590389999</v>
      </c>
      <c r="F7" s="379">
        <v>353577.149997089</v>
      </c>
      <c r="G7" s="380">
        <v>147323.81249878701</v>
      </c>
      <c r="H7" s="382">
        <v>29144.16503</v>
      </c>
      <c r="I7" s="379">
        <v>145715.75262000001</v>
      </c>
      <c r="J7" s="380">
        <v>-1608.0598787869701</v>
      </c>
      <c r="K7" s="383">
        <v>0.41211869211899999</v>
      </c>
    </row>
    <row r="8" spans="1:11" ht="14.4" customHeight="1" thickBot="1" x14ac:dyDescent="0.35">
      <c r="A8" s="399" t="s">
        <v>223</v>
      </c>
      <c r="B8" s="379">
        <v>3742.4176490393302</v>
      </c>
      <c r="C8" s="379">
        <v>3465.35545000001</v>
      </c>
      <c r="D8" s="380">
        <v>-277.06219903932799</v>
      </c>
      <c r="E8" s="381">
        <v>0.92596705525</v>
      </c>
      <c r="F8" s="379">
        <v>3291.3453303674301</v>
      </c>
      <c r="G8" s="380">
        <v>1371.3938876530899</v>
      </c>
      <c r="H8" s="382">
        <v>463.24115</v>
      </c>
      <c r="I8" s="379">
        <v>2394.90994</v>
      </c>
      <c r="J8" s="380">
        <v>1023.51605234691</v>
      </c>
      <c r="K8" s="383">
        <v>0.72763860962899995</v>
      </c>
    </row>
    <row r="9" spans="1:11" ht="14.4" customHeight="1" thickBot="1" x14ac:dyDescent="0.35">
      <c r="A9" s="400" t="s">
        <v>224</v>
      </c>
      <c r="B9" s="384">
        <v>0</v>
      </c>
      <c r="C9" s="384">
        <v>-2.2383799999999998</v>
      </c>
      <c r="D9" s="385">
        <v>-2.2383799999999998</v>
      </c>
      <c r="E9" s="386" t="s">
        <v>219</v>
      </c>
      <c r="F9" s="384">
        <v>0</v>
      </c>
      <c r="G9" s="385">
        <v>0</v>
      </c>
      <c r="H9" s="387">
        <v>0</v>
      </c>
      <c r="I9" s="384">
        <v>-0.55613999999899999</v>
      </c>
      <c r="J9" s="385">
        <v>-0.55613999999899999</v>
      </c>
      <c r="K9" s="388" t="s">
        <v>219</v>
      </c>
    </row>
    <row r="10" spans="1:11" ht="14.4" customHeight="1" thickBot="1" x14ac:dyDescent="0.35">
      <c r="A10" s="401" t="s">
        <v>225</v>
      </c>
      <c r="B10" s="379">
        <v>0</v>
      </c>
      <c r="C10" s="379">
        <v>-2.2383799999999998</v>
      </c>
      <c r="D10" s="380">
        <v>-2.2383799999999998</v>
      </c>
      <c r="E10" s="389" t="s">
        <v>219</v>
      </c>
      <c r="F10" s="379">
        <v>0</v>
      </c>
      <c r="G10" s="380">
        <v>0</v>
      </c>
      <c r="H10" s="382">
        <v>0</v>
      </c>
      <c r="I10" s="379">
        <v>-0.55613999999899999</v>
      </c>
      <c r="J10" s="380">
        <v>-0.55613999999899999</v>
      </c>
      <c r="K10" s="390" t="s">
        <v>219</v>
      </c>
    </row>
    <row r="11" spans="1:11" ht="14.4" customHeight="1" thickBot="1" x14ac:dyDescent="0.35">
      <c r="A11" s="400" t="s">
        <v>226</v>
      </c>
      <c r="B11" s="384">
        <v>0</v>
      </c>
      <c r="C11" s="384">
        <v>0.81633999999999995</v>
      </c>
      <c r="D11" s="385">
        <v>0.81633999999999995</v>
      </c>
      <c r="E11" s="386" t="s">
        <v>219</v>
      </c>
      <c r="F11" s="384">
        <v>0</v>
      </c>
      <c r="G11" s="385">
        <v>0</v>
      </c>
      <c r="H11" s="387">
        <v>-17.1724</v>
      </c>
      <c r="I11" s="384">
        <v>-26.42792</v>
      </c>
      <c r="J11" s="385">
        <v>-26.42792</v>
      </c>
      <c r="K11" s="388" t="s">
        <v>219</v>
      </c>
    </row>
    <row r="12" spans="1:11" ht="14.4" customHeight="1" thickBot="1" x14ac:dyDescent="0.35">
      <c r="A12" s="401" t="s">
        <v>227</v>
      </c>
      <c r="B12" s="379">
        <v>0</v>
      </c>
      <c r="C12" s="379">
        <v>0.81633999999999995</v>
      </c>
      <c r="D12" s="380">
        <v>0.81633999999999995</v>
      </c>
      <c r="E12" s="389" t="s">
        <v>219</v>
      </c>
      <c r="F12" s="379">
        <v>0</v>
      </c>
      <c r="G12" s="380">
        <v>0</v>
      </c>
      <c r="H12" s="382">
        <v>-17.1724</v>
      </c>
      <c r="I12" s="379">
        <v>-26.42792</v>
      </c>
      <c r="J12" s="380">
        <v>-26.42792</v>
      </c>
      <c r="K12" s="390" t="s">
        <v>219</v>
      </c>
    </row>
    <row r="13" spans="1:11" ht="14.4" customHeight="1" thickBot="1" x14ac:dyDescent="0.35">
      <c r="A13" s="400" t="s">
        <v>228</v>
      </c>
      <c r="B13" s="384">
        <v>80</v>
      </c>
      <c r="C13" s="384">
        <v>72.835489999999993</v>
      </c>
      <c r="D13" s="385">
        <v>-7.1645099999989998</v>
      </c>
      <c r="E13" s="391">
        <v>0.91044362499999998</v>
      </c>
      <c r="F13" s="384">
        <v>80</v>
      </c>
      <c r="G13" s="385">
        <v>33.333333333333002</v>
      </c>
      <c r="H13" s="387">
        <v>4.8678299999999997</v>
      </c>
      <c r="I13" s="384">
        <v>21.486160000000002</v>
      </c>
      <c r="J13" s="385">
        <v>-11.847173333333</v>
      </c>
      <c r="K13" s="392">
        <v>0.26857700000000001</v>
      </c>
    </row>
    <row r="14" spans="1:11" ht="14.4" customHeight="1" thickBot="1" x14ac:dyDescent="0.35">
      <c r="A14" s="401" t="s">
        <v>229</v>
      </c>
      <c r="B14" s="379">
        <v>80</v>
      </c>
      <c r="C14" s="379">
        <v>73.122060000000005</v>
      </c>
      <c r="D14" s="380">
        <v>-6.8779399999989996</v>
      </c>
      <c r="E14" s="381">
        <v>0.91402574999999997</v>
      </c>
      <c r="F14" s="379">
        <v>80</v>
      </c>
      <c r="G14" s="380">
        <v>33.333333333333002</v>
      </c>
      <c r="H14" s="382">
        <v>4.8678299999999997</v>
      </c>
      <c r="I14" s="379">
        <v>21.486160000000002</v>
      </c>
      <c r="J14" s="380">
        <v>-11.847173333333</v>
      </c>
      <c r="K14" s="383">
        <v>0.26857700000000001</v>
      </c>
    </row>
    <row r="15" spans="1:11" ht="14.4" customHeight="1" thickBot="1" x14ac:dyDescent="0.35">
      <c r="A15" s="401" t="s">
        <v>230</v>
      </c>
      <c r="B15" s="379">
        <v>0</v>
      </c>
      <c r="C15" s="379">
        <v>-0.28656999999999999</v>
      </c>
      <c r="D15" s="380">
        <v>-0.28656999999999999</v>
      </c>
      <c r="E15" s="389" t="s">
        <v>231</v>
      </c>
      <c r="F15" s="379">
        <v>0</v>
      </c>
      <c r="G15" s="380">
        <v>0</v>
      </c>
      <c r="H15" s="382">
        <v>0</v>
      </c>
      <c r="I15" s="379">
        <v>0</v>
      </c>
      <c r="J15" s="380">
        <v>0</v>
      </c>
      <c r="K15" s="390" t="s">
        <v>219</v>
      </c>
    </row>
    <row r="16" spans="1:11" ht="14.4" customHeight="1" thickBot="1" x14ac:dyDescent="0.35">
      <c r="A16" s="400" t="s">
        <v>232</v>
      </c>
      <c r="B16" s="384">
        <v>2481.5048538371898</v>
      </c>
      <c r="C16" s="384">
        <v>1929.1924200000001</v>
      </c>
      <c r="D16" s="385">
        <v>-552.31243383719004</v>
      </c>
      <c r="E16" s="391">
        <v>0.777428428969</v>
      </c>
      <c r="F16" s="384">
        <v>2165</v>
      </c>
      <c r="G16" s="385">
        <v>902.08333333333405</v>
      </c>
      <c r="H16" s="387">
        <v>406.28937000000002</v>
      </c>
      <c r="I16" s="384">
        <v>1227.0261399999999</v>
      </c>
      <c r="J16" s="385">
        <v>324.94280666666702</v>
      </c>
      <c r="K16" s="392">
        <v>0.56675572286300002</v>
      </c>
    </row>
    <row r="17" spans="1:11" ht="14.4" customHeight="1" thickBot="1" x14ac:dyDescent="0.35">
      <c r="A17" s="401" t="s">
        <v>233</v>
      </c>
      <c r="B17" s="379">
        <v>35</v>
      </c>
      <c r="C17" s="379">
        <v>42.054839999999999</v>
      </c>
      <c r="D17" s="380">
        <v>7.0548400000000004</v>
      </c>
      <c r="E17" s="381">
        <v>1.201566857142</v>
      </c>
      <c r="F17" s="379">
        <v>25</v>
      </c>
      <c r="G17" s="380">
        <v>10.416666666666</v>
      </c>
      <c r="H17" s="382">
        <v>0.23849999999999999</v>
      </c>
      <c r="I17" s="379">
        <v>4.8373999999989996</v>
      </c>
      <c r="J17" s="380">
        <v>-5.5792666666660002</v>
      </c>
      <c r="K17" s="383">
        <v>0.193496</v>
      </c>
    </row>
    <row r="18" spans="1:11" ht="14.4" customHeight="1" thickBot="1" x14ac:dyDescent="0.35">
      <c r="A18" s="401" t="s">
        <v>234</v>
      </c>
      <c r="B18" s="379">
        <v>10</v>
      </c>
      <c r="C18" s="379">
        <v>10.477959999999999</v>
      </c>
      <c r="D18" s="380">
        <v>0.47796</v>
      </c>
      <c r="E18" s="381">
        <v>1.0477959999999999</v>
      </c>
      <c r="F18" s="379">
        <v>10</v>
      </c>
      <c r="G18" s="380">
        <v>4.1666666666659999</v>
      </c>
      <c r="H18" s="382">
        <v>1.87429</v>
      </c>
      <c r="I18" s="379">
        <v>2.16832</v>
      </c>
      <c r="J18" s="380">
        <v>-1.9983466666659999</v>
      </c>
      <c r="K18" s="383">
        <v>0.216832</v>
      </c>
    </row>
    <row r="19" spans="1:11" ht="14.4" customHeight="1" thickBot="1" x14ac:dyDescent="0.35">
      <c r="A19" s="401" t="s">
        <v>235</v>
      </c>
      <c r="B19" s="379">
        <v>25</v>
      </c>
      <c r="C19" s="379">
        <v>21.636299999999999</v>
      </c>
      <c r="D19" s="380">
        <v>-3.363699999999</v>
      </c>
      <c r="E19" s="381">
        <v>0.865452</v>
      </c>
      <c r="F19" s="379">
        <v>25</v>
      </c>
      <c r="G19" s="380">
        <v>10.416666666666</v>
      </c>
      <c r="H19" s="382">
        <v>2.4260700000000002</v>
      </c>
      <c r="I19" s="379">
        <v>9.9567599999990009</v>
      </c>
      <c r="J19" s="380">
        <v>-0.459906666666</v>
      </c>
      <c r="K19" s="383">
        <v>0.39827040000000002</v>
      </c>
    </row>
    <row r="20" spans="1:11" ht="14.4" customHeight="1" thickBot="1" x14ac:dyDescent="0.35">
      <c r="A20" s="401" t="s">
        <v>236</v>
      </c>
      <c r="B20" s="379">
        <v>1284.3103197901</v>
      </c>
      <c r="C20" s="379">
        <v>1018.25635</v>
      </c>
      <c r="D20" s="380">
        <v>-266.05396979009902</v>
      </c>
      <c r="E20" s="381">
        <v>0.79284292457100003</v>
      </c>
      <c r="F20" s="379">
        <v>1180</v>
      </c>
      <c r="G20" s="380">
        <v>491.66666666666703</v>
      </c>
      <c r="H20" s="382">
        <v>233.58734999999999</v>
      </c>
      <c r="I20" s="379">
        <v>694.66976999999997</v>
      </c>
      <c r="J20" s="380">
        <v>203.003103333334</v>
      </c>
      <c r="K20" s="383">
        <v>0.58870319491500001</v>
      </c>
    </row>
    <row r="21" spans="1:11" ht="14.4" customHeight="1" thickBot="1" x14ac:dyDescent="0.35">
      <c r="A21" s="401" t="s">
        <v>237</v>
      </c>
      <c r="B21" s="379">
        <v>795</v>
      </c>
      <c r="C21" s="379">
        <v>495.54716000000002</v>
      </c>
      <c r="D21" s="380">
        <v>-299.45283999999998</v>
      </c>
      <c r="E21" s="381">
        <v>0.62332976100600002</v>
      </c>
      <c r="F21" s="379">
        <v>600</v>
      </c>
      <c r="G21" s="380">
        <v>250</v>
      </c>
      <c r="H21" s="382">
        <v>139.47396000000001</v>
      </c>
      <c r="I21" s="379">
        <v>368.24113999999997</v>
      </c>
      <c r="J21" s="380">
        <v>118.24114</v>
      </c>
      <c r="K21" s="383">
        <v>0.61373523333299995</v>
      </c>
    </row>
    <row r="22" spans="1:11" ht="14.4" customHeight="1" thickBot="1" x14ac:dyDescent="0.35">
      <c r="A22" s="401" t="s">
        <v>238</v>
      </c>
      <c r="B22" s="379">
        <v>67.820824978516001</v>
      </c>
      <c r="C22" s="379">
        <v>60.668149999999997</v>
      </c>
      <c r="D22" s="380">
        <v>-7.152674978516</v>
      </c>
      <c r="E22" s="381">
        <v>0.89453571258099995</v>
      </c>
      <c r="F22" s="379">
        <v>65</v>
      </c>
      <c r="G22" s="380">
        <v>27.083333333333002</v>
      </c>
      <c r="H22" s="382">
        <v>5.1535000000000002</v>
      </c>
      <c r="I22" s="379">
        <v>33.843049999999998</v>
      </c>
      <c r="J22" s="380">
        <v>6.7597166666659998</v>
      </c>
      <c r="K22" s="383">
        <v>0.52066230769199995</v>
      </c>
    </row>
    <row r="23" spans="1:11" ht="14.4" customHeight="1" thickBot="1" x14ac:dyDescent="0.35">
      <c r="A23" s="401" t="s">
        <v>239</v>
      </c>
      <c r="B23" s="379">
        <v>264.37370906857598</v>
      </c>
      <c r="C23" s="379">
        <v>280.55166000000099</v>
      </c>
      <c r="D23" s="380">
        <v>16.177950931424</v>
      </c>
      <c r="E23" s="381">
        <v>1.061193493817</v>
      </c>
      <c r="F23" s="379">
        <v>260</v>
      </c>
      <c r="G23" s="380">
        <v>108.333333333333</v>
      </c>
      <c r="H23" s="382">
        <v>23.535699999999999</v>
      </c>
      <c r="I23" s="379">
        <v>113.30970000000001</v>
      </c>
      <c r="J23" s="380">
        <v>4.9763666666660002</v>
      </c>
      <c r="K23" s="383">
        <v>0.43580653846099998</v>
      </c>
    </row>
    <row r="24" spans="1:11" ht="14.4" customHeight="1" thickBot="1" x14ac:dyDescent="0.35">
      <c r="A24" s="400" t="s">
        <v>240</v>
      </c>
      <c r="B24" s="384">
        <v>769.00126835695301</v>
      </c>
      <c r="C24" s="384">
        <v>674.11013000000105</v>
      </c>
      <c r="D24" s="385">
        <v>-94.891138356951998</v>
      </c>
      <c r="E24" s="391">
        <v>0.87660470500900001</v>
      </c>
      <c r="F24" s="384">
        <v>846.641952908642</v>
      </c>
      <c r="G24" s="385">
        <v>352.76748037860102</v>
      </c>
      <c r="H24" s="387">
        <v>53.416930000000001</v>
      </c>
      <c r="I24" s="384">
        <v>367.61871000000002</v>
      </c>
      <c r="J24" s="385">
        <v>14.851229621398</v>
      </c>
      <c r="K24" s="392">
        <v>0.43420800107599999</v>
      </c>
    </row>
    <row r="25" spans="1:11" ht="14.4" customHeight="1" thickBot="1" x14ac:dyDescent="0.35">
      <c r="A25" s="401" t="s">
        <v>241</v>
      </c>
      <c r="B25" s="379">
        <v>0</v>
      </c>
      <c r="C25" s="379">
        <v>19.668859999999999</v>
      </c>
      <c r="D25" s="380">
        <v>19.668859999999999</v>
      </c>
      <c r="E25" s="389" t="s">
        <v>219</v>
      </c>
      <c r="F25" s="379">
        <v>0</v>
      </c>
      <c r="G25" s="380">
        <v>0</v>
      </c>
      <c r="H25" s="382">
        <v>0</v>
      </c>
      <c r="I25" s="379">
        <v>8.9051299999989997</v>
      </c>
      <c r="J25" s="380">
        <v>8.9051299999989997</v>
      </c>
      <c r="K25" s="390" t="s">
        <v>219</v>
      </c>
    </row>
    <row r="26" spans="1:11" ht="14.4" customHeight="1" thickBot="1" x14ac:dyDescent="0.35">
      <c r="A26" s="401" t="s">
        <v>242</v>
      </c>
      <c r="B26" s="379">
        <v>25</v>
      </c>
      <c r="C26" s="379">
        <v>34.403779999999998</v>
      </c>
      <c r="D26" s="380">
        <v>9.4037799999999994</v>
      </c>
      <c r="E26" s="381">
        <v>1.3761512</v>
      </c>
      <c r="F26" s="379">
        <v>36.875947591475999</v>
      </c>
      <c r="G26" s="380">
        <v>15.364978163115</v>
      </c>
      <c r="H26" s="382">
        <v>1.3591500000000001</v>
      </c>
      <c r="I26" s="379">
        <v>12.414070000000001</v>
      </c>
      <c r="J26" s="380">
        <v>-2.9509081631149998</v>
      </c>
      <c r="K26" s="383">
        <v>0.336644094886</v>
      </c>
    </row>
    <row r="27" spans="1:11" ht="14.4" customHeight="1" thickBot="1" x14ac:dyDescent="0.35">
      <c r="A27" s="401" t="s">
        <v>243</v>
      </c>
      <c r="B27" s="379">
        <v>102.406913832044</v>
      </c>
      <c r="C27" s="379">
        <v>101.33193</v>
      </c>
      <c r="D27" s="380">
        <v>-1.0749838320430001</v>
      </c>
      <c r="E27" s="381">
        <v>0.98950281976200005</v>
      </c>
      <c r="F27" s="379">
        <v>104</v>
      </c>
      <c r="G27" s="380">
        <v>43.333333333333002</v>
      </c>
      <c r="H27" s="382">
        <v>8.8327000000000009</v>
      </c>
      <c r="I27" s="379">
        <v>48.048520000000003</v>
      </c>
      <c r="J27" s="380">
        <v>4.7151866666659998</v>
      </c>
      <c r="K27" s="383">
        <v>0.462005</v>
      </c>
    </row>
    <row r="28" spans="1:11" ht="14.4" customHeight="1" thickBot="1" x14ac:dyDescent="0.35">
      <c r="A28" s="401" t="s">
        <v>244</v>
      </c>
      <c r="B28" s="379">
        <v>175.386211083495</v>
      </c>
      <c r="C28" s="379">
        <v>138.04758000000001</v>
      </c>
      <c r="D28" s="380">
        <v>-37.338631083494001</v>
      </c>
      <c r="E28" s="381">
        <v>0.78710623342099995</v>
      </c>
      <c r="F28" s="379">
        <v>159</v>
      </c>
      <c r="G28" s="380">
        <v>66.25</v>
      </c>
      <c r="H28" s="382">
        <v>6.4099500000000003</v>
      </c>
      <c r="I28" s="379">
        <v>70.072249999999997</v>
      </c>
      <c r="J28" s="380">
        <v>3.8222499999999999</v>
      </c>
      <c r="K28" s="383">
        <v>0.44070597484200003</v>
      </c>
    </row>
    <row r="29" spans="1:11" ht="14.4" customHeight="1" thickBot="1" x14ac:dyDescent="0.35">
      <c r="A29" s="401" t="s">
        <v>245</v>
      </c>
      <c r="B29" s="379">
        <v>23.387151671453001</v>
      </c>
      <c r="C29" s="379">
        <v>17.548829999999999</v>
      </c>
      <c r="D29" s="380">
        <v>-5.8383216714530004</v>
      </c>
      <c r="E29" s="381">
        <v>0.75036200416900001</v>
      </c>
      <c r="F29" s="379">
        <v>16.176389498033</v>
      </c>
      <c r="G29" s="380">
        <v>6.7401622908469996</v>
      </c>
      <c r="H29" s="382">
        <v>0.51136000000000004</v>
      </c>
      <c r="I29" s="379">
        <v>2.21556</v>
      </c>
      <c r="J29" s="380">
        <v>-4.5246022908469996</v>
      </c>
      <c r="K29" s="383">
        <v>0.13696257748099999</v>
      </c>
    </row>
    <row r="30" spans="1:11" ht="14.4" customHeight="1" thickBot="1" x14ac:dyDescent="0.35">
      <c r="A30" s="401" t="s">
        <v>246</v>
      </c>
      <c r="B30" s="379">
        <v>0.12116923559499999</v>
      </c>
      <c r="C30" s="379">
        <v>0</v>
      </c>
      <c r="D30" s="380">
        <v>-0.12116923559499999</v>
      </c>
      <c r="E30" s="381">
        <v>0</v>
      </c>
      <c r="F30" s="379">
        <v>0</v>
      </c>
      <c r="G30" s="380">
        <v>0</v>
      </c>
      <c r="H30" s="382">
        <v>0</v>
      </c>
      <c r="I30" s="379">
        <v>3.0749999999000001E-2</v>
      </c>
      <c r="J30" s="380">
        <v>3.0749999999000001E-2</v>
      </c>
      <c r="K30" s="390" t="s">
        <v>231</v>
      </c>
    </row>
    <row r="31" spans="1:11" ht="14.4" customHeight="1" thickBot="1" x14ac:dyDescent="0.35">
      <c r="A31" s="401" t="s">
        <v>247</v>
      </c>
      <c r="B31" s="379">
        <v>49.620493626040002</v>
      </c>
      <c r="C31" s="379">
        <v>4.0655999999999999</v>
      </c>
      <c r="D31" s="380">
        <v>-45.554893626039998</v>
      </c>
      <c r="E31" s="381">
        <v>8.1933888659000004E-2</v>
      </c>
      <c r="F31" s="379">
        <v>0</v>
      </c>
      <c r="G31" s="380">
        <v>0</v>
      </c>
      <c r="H31" s="382">
        <v>0</v>
      </c>
      <c r="I31" s="379">
        <v>23.752300000000002</v>
      </c>
      <c r="J31" s="380">
        <v>23.752300000000002</v>
      </c>
      <c r="K31" s="390" t="s">
        <v>219</v>
      </c>
    </row>
    <row r="32" spans="1:11" ht="14.4" customHeight="1" thickBot="1" x14ac:dyDescent="0.35">
      <c r="A32" s="401" t="s">
        <v>248</v>
      </c>
      <c r="B32" s="379">
        <v>25</v>
      </c>
      <c r="C32" s="379">
        <v>23.88242</v>
      </c>
      <c r="D32" s="380">
        <v>-1.1175799999989999</v>
      </c>
      <c r="E32" s="381">
        <v>0.95529679999999995</v>
      </c>
      <c r="F32" s="379">
        <v>25</v>
      </c>
      <c r="G32" s="380">
        <v>10.416666666666</v>
      </c>
      <c r="H32" s="382">
        <v>1.3556299999999999</v>
      </c>
      <c r="I32" s="379">
        <v>13.504009999999999</v>
      </c>
      <c r="J32" s="380">
        <v>3.087343333333</v>
      </c>
      <c r="K32" s="383">
        <v>0.54016039999999998</v>
      </c>
    </row>
    <row r="33" spans="1:11" ht="14.4" customHeight="1" thickBot="1" x14ac:dyDescent="0.35">
      <c r="A33" s="401" t="s">
        <v>249</v>
      </c>
      <c r="B33" s="379">
        <v>28.079328908324001</v>
      </c>
      <c r="C33" s="379">
        <v>47.935180000000003</v>
      </c>
      <c r="D33" s="380">
        <v>19.855851091675</v>
      </c>
      <c r="E33" s="381">
        <v>1.7071341041120001</v>
      </c>
      <c r="F33" s="379">
        <v>40.589615819132</v>
      </c>
      <c r="G33" s="380">
        <v>16.912339924638001</v>
      </c>
      <c r="H33" s="382">
        <v>9.7415599999999998</v>
      </c>
      <c r="I33" s="379">
        <v>17.92332</v>
      </c>
      <c r="J33" s="380">
        <v>1.0109800753610001</v>
      </c>
      <c r="K33" s="383">
        <v>0.441574024249</v>
      </c>
    </row>
    <row r="34" spans="1:11" ht="14.4" customHeight="1" thickBot="1" x14ac:dyDescent="0.35">
      <c r="A34" s="401" t="s">
        <v>250</v>
      </c>
      <c r="B34" s="379">
        <v>0</v>
      </c>
      <c r="C34" s="379">
        <v>0.629</v>
      </c>
      <c r="D34" s="380">
        <v>0.629</v>
      </c>
      <c r="E34" s="389" t="s">
        <v>219</v>
      </c>
      <c r="F34" s="379">
        <v>0</v>
      </c>
      <c r="G34" s="380">
        <v>0</v>
      </c>
      <c r="H34" s="382">
        <v>0</v>
      </c>
      <c r="I34" s="379">
        <v>0</v>
      </c>
      <c r="J34" s="380">
        <v>0</v>
      </c>
      <c r="K34" s="390" t="s">
        <v>219</v>
      </c>
    </row>
    <row r="35" spans="1:11" ht="14.4" customHeight="1" thickBot="1" x14ac:dyDescent="0.35">
      <c r="A35" s="401" t="s">
        <v>251</v>
      </c>
      <c r="B35" s="379">
        <v>0</v>
      </c>
      <c r="C35" s="379">
        <v>0</v>
      </c>
      <c r="D35" s="380">
        <v>0</v>
      </c>
      <c r="E35" s="381">
        <v>1</v>
      </c>
      <c r="F35" s="379">
        <v>0</v>
      </c>
      <c r="G35" s="380">
        <v>0</v>
      </c>
      <c r="H35" s="382">
        <v>0</v>
      </c>
      <c r="I35" s="379">
        <v>4.2279999999999998</v>
      </c>
      <c r="J35" s="380">
        <v>4.2279999999999998</v>
      </c>
      <c r="K35" s="390" t="s">
        <v>231</v>
      </c>
    </row>
    <row r="36" spans="1:11" ht="14.4" customHeight="1" thickBot="1" x14ac:dyDescent="0.35">
      <c r="A36" s="401" t="s">
        <v>252</v>
      </c>
      <c r="B36" s="379">
        <v>0</v>
      </c>
      <c r="C36" s="379">
        <v>0</v>
      </c>
      <c r="D36" s="380">
        <v>0</v>
      </c>
      <c r="E36" s="381">
        <v>1</v>
      </c>
      <c r="F36" s="379">
        <v>0</v>
      </c>
      <c r="G36" s="380">
        <v>0</v>
      </c>
      <c r="H36" s="382">
        <v>0</v>
      </c>
      <c r="I36" s="379">
        <v>1.21</v>
      </c>
      <c r="J36" s="380">
        <v>1.21</v>
      </c>
      <c r="K36" s="390" t="s">
        <v>231</v>
      </c>
    </row>
    <row r="37" spans="1:11" ht="14.4" customHeight="1" thickBot="1" x14ac:dyDescent="0.35">
      <c r="A37" s="401" t="s">
        <v>253</v>
      </c>
      <c r="B37" s="379">
        <v>0</v>
      </c>
      <c r="C37" s="379">
        <v>1.9238999999999999</v>
      </c>
      <c r="D37" s="380">
        <v>1.9238999999999999</v>
      </c>
      <c r="E37" s="389" t="s">
        <v>231</v>
      </c>
      <c r="F37" s="379">
        <v>0</v>
      </c>
      <c r="G37" s="380">
        <v>0</v>
      </c>
      <c r="H37" s="382">
        <v>0</v>
      </c>
      <c r="I37" s="379">
        <v>0</v>
      </c>
      <c r="J37" s="380">
        <v>0</v>
      </c>
      <c r="K37" s="390" t="s">
        <v>219</v>
      </c>
    </row>
    <row r="38" spans="1:11" ht="14.4" customHeight="1" thickBot="1" x14ac:dyDescent="0.35">
      <c r="A38" s="401" t="s">
        <v>254</v>
      </c>
      <c r="B38" s="379">
        <v>340</v>
      </c>
      <c r="C38" s="379">
        <v>284.67304999999999</v>
      </c>
      <c r="D38" s="380">
        <v>-55.326949999999002</v>
      </c>
      <c r="E38" s="381">
        <v>0.83727367646999995</v>
      </c>
      <c r="F38" s="379">
        <v>465</v>
      </c>
      <c r="G38" s="380">
        <v>193.75</v>
      </c>
      <c r="H38" s="382">
        <v>25.206579999999999</v>
      </c>
      <c r="I38" s="379">
        <v>165.31479999999999</v>
      </c>
      <c r="J38" s="380">
        <v>-28.435199999999998</v>
      </c>
      <c r="K38" s="383">
        <v>0.35551569892399998</v>
      </c>
    </row>
    <row r="39" spans="1:11" ht="14.4" customHeight="1" thickBot="1" x14ac:dyDescent="0.35">
      <c r="A39" s="400" t="s">
        <v>255</v>
      </c>
      <c r="B39" s="384">
        <v>40.923268777394</v>
      </c>
      <c r="C39" s="384">
        <v>111.57102999999999</v>
      </c>
      <c r="D39" s="385">
        <v>70.647761222605993</v>
      </c>
      <c r="E39" s="391">
        <v>2.7263469740619999</v>
      </c>
      <c r="F39" s="384">
        <v>94.703377458785994</v>
      </c>
      <c r="G39" s="385">
        <v>39.459740607827001</v>
      </c>
      <c r="H39" s="387">
        <v>1.1978</v>
      </c>
      <c r="I39" s="384">
        <v>7.7523</v>
      </c>
      <c r="J39" s="385">
        <v>-31.707440607826999</v>
      </c>
      <c r="K39" s="392">
        <v>8.1858748948000007E-2</v>
      </c>
    </row>
    <row r="40" spans="1:11" ht="14.4" customHeight="1" thickBot="1" x14ac:dyDescent="0.35">
      <c r="A40" s="401" t="s">
        <v>256</v>
      </c>
      <c r="B40" s="379">
        <v>0</v>
      </c>
      <c r="C40" s="379">
        <v>1.6992</v>
      </c>
      <c r="D40" s="380">
        <v>1.6992</v>
      </c>
      <c r="E40" s="389" t="s">
        <v>219</v>
      </c>
      <c r="F40" s="379">
        <v>0</v>
      </c>
      <c r="G40" s="380">
        <v>0</v>
      </c>
      <c r="H40" s="382">
        <v>0.85899999999999999</v>
      </c>
      <c r="I40" s="379">
        <v>1.355</v>
      </c>
      <c r="J40" s="380">
        <v>1.355</v>
      </c>
      <c r="K40" s="390" t="s">
        <v>219</v>
      </c>
    </row>
    <row r="41" spans="1:11" ht="14.4" customHeight="1" thickBot="1" x14ac:dyDescent="0.35">
      <c r="A41" s="401" t="s">
        <v>257</v>
      </c>
      <c r="B41" s="379">
        <v>30.732985526164999</v>
      </c>
      <c r="C41" s="379">
        <v>40.997540000000001</v>
      </c>
      <c r="D41" s="380">
        <v>10.264554473834</v>
      </c>
      <c r="E41" s="381">
        <v>1.333991452444</v>
      </c>
      <c r="F41" s="379">
        <v>10.637027627203</v>
      </c>
      <c r="G41" s="380">
        <v>4.4320948446669997</v>
      </c>
      <c r="H41" s="382">
        <v>0</v>
      </c>
      <c r="I41" s="379">
        <v>5.0019999999999998</v>
      </c>
      <c r="J41" s="380">
        <v>0.56990515533200004</v>
      </c>
      <c r="K41" s="383">
        <v>0.47024414858199998</v>
      </c>
    </row>
    <row r="42" spans="1:11" ht="14.4" customHeight="1" thickBot="1" x14ac:dyDescent="0.35">
      <c r="A42" s="401" t="s">
        <v>258</v>
      </c>
      <c r="B42" s="379">
        <v>7.3898929597349996</v>
      </c>
      <c r="C42" s="379">
        <v>61.362729999999999</v>
      </c>
      <c r="D42" s="380">
        <v>53.972837040263997</v>
      </c>
      <c r="E42" s="381">
        <v>8.3036020053790001</v>
      </c>
      <c r="F42" s="379">
        <v>53.510509110849</v>
      </c>
      <c r="G42" s="380">
        <v>22.296045462853002</v>
      </c>
      <c r="H42" s="382">
        <v>0</v>
      </c>
      <c r="I42" s="379">
        <v>0.29699999999900001</v>
      </c>
      <c r="J42" s="380">
        <v>-21.999045462853001</v>
      </c>
      <c r="K42" s="383">
        <v>5.5503116099999998E-3</v>
      </c>
    </row>
    <row r="43" spans="1:11" ht="14.4" customHeight="1" thickBot="1" x14ac:dyDescent="0.35">
      <c r="A43" s="401" t="s">
        <v>259</v>
      </c>
      <c r="B43" s="379">
        <v>0</v>
      </c>
      <c r="C43" s="379">
        <v>5.1710599999999998</v>
      </c>
      <c r="D43" s="380">
        <v>5.1710599999999998</v>
      </c>
      <c r="E43" s="389" t="s">
        <v>219</v>
      </c>
      <c r="F43" s="379">
        <v>4.3544688557670002</v>
      </c>
      <c r="G43" s="380">
        <v>1.814362023236</v>
      </c>
      <c r="H43" s="382">
        <v>0.33879999999999999</v>
      </c>
      <c r="I43" s="379">
        <v>1.0164</v>
      </c>
      <c r="J43" s="380">
        <v>-0.79796202323599996</v>
      </c>
      <c r="K43" s="383">
        <v>0.23341537938699999</v>
      </c>
    </row>
    <row r="44" spans="1:11" ht="14.4" customHeight="1" thickBot="1" x14ac:dyDescent="0.35">
      <c r="A44" s="401" t="s">
        <v>260</v>
      </c>
      <c r="B44" s="379">
        <v>2.800390291492</v>
      </c>
      <c r="C44" s="379">
        <v>2.3405</v>
      </c>
      <c r="D44" s="380">
        <v>-0.459890291492</v>
      </c>
      <c r="E44" s="381">
        <v>0.83577635842700004</v>
      </c>
      <c r="F44" s="379">
        <v>1.381640734826</v>
      </c>
      <c r="G44" s="380">
        <v>0.57568363951000001</v>
      </c>
      <c r="H44" s="382">
        <v>0</v>
      </c>
      <c r="I44" s="379">
        <v>8.1899999998999995E-2</v>
      </c>
      <c r="J44" s="380">
        <v>-0.49378363950999998</v>
      </c>
      <c r="K44" s="383">
        <v>5.9277348977000002E-2</v>
      </c>
    </row>
    <row r="45" spans="1:11" ht="14.4" customHeight="1" thickBot="1" x14ac:dyDescent="0.35">
      <c r="A45" s="401" t="s">
        <v>261</v>
      </c>
      <c r="B45" s="379">
        <v>0</v>
      </c>
      <c r="C45" s="379">
        <v>0</v>
      </c>
      <c r="D45" s="380">
        <v>0</v>
      </c>
      <c r="E45" s="381">
        <v>1</v>
      </c>
      <c r="F45" s="379">
        <v>24.819731130139999</v>
      </c>
      <c r="G45" s="380">
        <v>10.341554637558</v>
      </c>
      <c r="H45" s="382">
        <v>0</v>
      </c>
      <c r="I45" s="379">
        <v>0</v>
      </c>
      <c r="J45" s="380">
        <v>-10.341554637558</v>
      </c>
      <c r="K45" s="383">
        <v>0</v>
      </c>
    </row>
    <row r="46" spans="1:11" ht="14.4" customHeight="1" thickBot="1" x14ac:dyDescent="0.35">
      <c r="A46" s="400" t="s">
        <v>262</v>
      </c>
      <c r="B46" s="384">
        <v>370.98825806779399</v>
      </c>
      <c r="C46" s="384">
        <v>372.09141000000102</v>
      </c>
      <c r="D46" s="385">
        <v>1.103151932207</v>
      </c>
      <c r="E46" s="391">
        <v>1.0029735494530001</v>
      </c>
      <c r="F46" s="384">
        <v>105</v>
      </c>
      <c r="G46" s="385">
        <v>43.75</v>
      </c>
      <c r="H46" s="387">
        <v>14.64162</v>
      </c>
      <c r="I46" s="384">
        <v>65.97381</v>
      </c>
      <c r="J46" s="385">
        <v>22.22381</v>
      </c>
      <c r="K46" s="392">
        <v>0.62832200000000005</v>
      </c>
    </row>
    <row r="47" spans="1:11" ht="14.4" customHeight="1" thickBot="1" x14ac:dyDescent="0.35">
      <c r="A47" s="401" t="s">
        <v>263</v>
      </c>
      <c r="B47" s="379">
        <v>0</v>
      </c>
      <c r="C47" s="379">
        <v>0.58926999999999996</v>
      </c>
      <c r="D47" s="380">
        <v>0.58926999999999996</v>
      </c>
      <c r="E47" s="389" t="s">
        <v>219</v>
      </c>
      <c r="F47" s="379">
        <v>0</v>
      </c>
      <c r="G47" s="380">
        <v>0</v>
      </c>
      <c r="H47" s="382">
        <v>0</v>
      </c>
      <c r="I47" s="379">
        <v>0</v>
      </c>
      <c r="J47" s="380">
        <v>0</v>
      </c>
      <c r="K47" s="390" t="s">
        <v>219</v>
      </c>
    </row>
    <row r="48" spans="1:11" ht="14.4" customHeight="1" thickBot="1" x14ac:dyDescent="0.35">
      <c r="A48" s="401" t="s">
        <v>264</v>
      </c>
      <c r="B48" s="379">
        <v>265.93324208753398</v>
      </c>
      <c r="C48" s="379">
        <v>271.16274000000101</v>
      </c>
      <c r="D48" s="380">
        <v>5.2294979124659999</v>
      </c>
      <c r="E48" s="381">
        <v>1.01966470183</v>
      </c>
      <c r="F48" s="379">
        <v>0</v>
      </c>
      <c r="G48" s="380">
        <v>0</v>
      </c>
      <c r="H48" s="382">
        <v>4.8593799999999998</v>
      </c>
      <c r="I48" s="379">
        <v>22.113109999999999</v>
      </c>
      <c r="J48" s="380">
        <v>22.113109999999999</v>
      </c>
      <c r="K48" s="390" t="s">
        <v>219</v>
      </c>
    </row>
    <row r="49" spans="1:11" ht="14.4" customHeight="1" thickBot="1" x14ac:dyDescent="0.35">
      <c r="A49" s="401" t="s">
        <v>265</v>
      </c>
      <c r="B49" s="379">
        <v>75.055015980259</v>
      </c>
      <c r="C49" s="379">
        <v>65.577010000000001</v>
      </c>
      <c r="D49" s="380">
        <v>-9.4780059802590007</v>
      </c>
      <c r="E49" s="381">
        <v>0.87371921974199995</v>
      </c>
      <c r="F49" s="379">
        <v>70</v>
      </c>
      <c r="G49" s="380">
        <v>29.166666666666</v>
      </c>
      <c r="H49" s="382">
        <v>5.5204800000000001</v>
      </c>
      <c r="I49" s="379">
        <v>23.376429999999999</v>
      </c>
      <c r="J49" s="380">
        <v>-5.7902366666659999</v>
      </c>
      <c r="K49" s="383">
        <v>0.333949</v>
      </c>
    </row>
    <row r="50" spans="1:11" ht="14.4" customHeight="1" thickBot="1" x14ac:dyDescent="0.35">
      <c r="A50" s="401" t="s">
        <v>266</v>
      </c>
      <c r="B50" s="379">
        <v>10</v>
      </c>
      <c r="C50" s="379">
        <v>16.600439999999999</v>
      </c>
      <c r="D50" s="380">
        <v>6.6004399999999999</v>
      </c>
      <c r="E50" s="381">
        <v>1.6600440000000001</v>
      </c>
      <c r="F50" s="379">
        <v>15</v>
      </c>
      <c r="G50" s="380">
        <v>6.25</v>
      </c>
      <c r="H50" s="382">
        <v>1.1581399999999999</v>
      </c>
      <c r="I50" s="379">
        <v>8.8790399999989997</v>
      </c>
      <c r="J50" s="380">
        <v>2.6290399999999998</v>
      </c>
      <c r="K50" s="383">
        <v>0.59193600000000002</v>
      </c>
    </row>
    <row r="51" spans="1:11" ht="14.4" customHeight="1" thickBot="1" x14ac:dyDescent="0.35">
      <c r="A51" s="401" t="s">
        <v>267</v>
      </c>
      <c r="B51" s="379">
        <v>20</v>
      </c>
      <c r="C51" s="379">
        <v>18.161950000000001</v>
      </c>
      <c r="D51" s="380">
        <v>-1.8380499999990001</v>
      </c>
      <c r="E51" s="381">
        <v>0.9080975</v>
      </c>
      <c r="F51" s="379">
        <v>20</v>
      </c>
      <c r="G51" s="380">
        <v>8.333333333333</v>
      </c>
      <c r="H51" s="382">
        <v>3.1036199999999998</v>
      </c>
      <c r="I51" s="379">
        <v>11.605230000000001</v>
      </c>
      <c r="J51" s="380">
        <v>3.2718966666660001</v>
      </c>
      <c r="K51" s="383">
        <v>0.58026149999999999</v>
      </c>
    </row>
    <row r="52" spans="1:11" ht="14.4" customHeight="1" thickBot="1" x14ac:dyDescent="0.35">
      <c r="A52" s="400" t="s">
        <v>268</v>
      </c>
      <c r="B52" s="384">
        <v>0</v>
      </c>
      <c r="C52" s="384">
        <v>3.8239999999999998</v>
      </c>
      <c r="D52" s="385">
        <v>3.8239999999999998</v>
      </c>
      <c r="E52" s="386" t="s">
        <v>219</v>
      </c>
      <c r="F52" s="384">
        <v>0</v>
      </c>
      <c r="G52" s="385">
        <v>0</v>
      </c>
      <c r="H52" s="387">
        <v>0</v>
      </c>
      <c r="I52" s="384">
        <v>0</v>
      </c>
      <c r="J52" s="385">
        <v>0</v>
      </c>
      <c r="K52" s="388" t="s">
        <v>219</v>
      </c>
    </row>
    <row r="53" spans="1:11" ht="14.4" customHeight="1" thickBot="1" x14ac:dyDescent="0.35">
      <c r="A53" s="401" t="s">
        <v>269</v>
      </c>
      <c r="B53" s="379">
        <v>0</v>
      </c>
      <c r="C53" s="379">
        <v>3.8239999999999998</v>
      </c>
      <c r="D53" s="380">
        <v>3.8239999999999998</v>
      </c>
      <c r="E53" s="389" t="s">
        <v>219</v>
      </c>
      <c r="F53" s="379">
        <v>0</v>
      </c>
      <c r="G53" s="380">
        <v>0</v>
      </c>
      <c r="H53" s="382">
        <v>0</v>
      </c>
      <c r="I53" s="379">
        <v>0</v>
      </c>
      <c r="J53" s="380">
        <v>0</v>
      </c>
      <c r="K53" s="390" t="s">
        <v>219</v>
      </c>
    </row>
    <row r="54" spans="1:11" ht="14.4" customHeight="1" thickBot="1" x14ac:dyDescent="0.35">
      <c r="A54" s="400" t="s">
        <v>270</v>
      </c>
      <c r="B54" s="384">
        <v>0</v>
      </c>
      <c r="C54" s="384">
        <v>300.91463000000101</v>
      </c>
      <c r="D54" s="385">
        <v>300.91463000000101</v>
      </c>
      <c r="E54" s="386" t="s">
        <v>231</v>
      </c>
      <c r="F54" s="384">
        <v>0</v>
      </c>
      <c r="G54" s="385">
        <v>0</v>
      </c>
      <c r="H54" s="387">
        <v>0</v>
      </c>
      <c r="I54" s="384">
        <v>731.48074000000099</v>
      </c>
      <c r="J54" s="385">
        <v>731.48074000000099</v>
      </c>
      <c r="K54" s="388" t="s">
        <v>219</v>
      </c>
    </row>
    <row r="55" spans="1:11" ht="14.4" customHeight="1" thickBot="1" x14ac:dyDescent="0.35">
      <c r="A55" s="401" t="s">
        <v>271</v>
      </c>
      <c r="B55" s="379">
        <v>0</v>
      </c>
      <c r="C55" s="379">
        <v>300.91463000000101</v>
      </c>
      <c r="D55" s="380">
        <v>300.91463000000101</v>
      </c>
      <c r="E55" s="389" t="s">
        <v>231</v>
      </c>
      <c r="F55" s="379">
        <v>0</v>
      </c>
      <c r="G55" s="380">
        <v>0</v>
      </c>
      <c r="H55" s="382">
        <v>0</v>
      </c>
      <c r="I55" s="379">
        <v>731.48074000000099</v>
      </c>
      <c r="J55" s="380">
        <v>731.48074000000099</v>
      </c>
      <c r="K55" s="390" t="s">
        <v>219</v>
      </c>
    </row>
    <row r="56" spans="1:11" ht="14.4" customHeight="1" thickBot="1" x14ac:dyDescent="0.35">
      <c r="A56" s="400" t="s">
        <v>272</v>
      </c>
      <c r="B56" s="384">
        <v>0</v>
      </c>
      <c r="C56" s="384">
        <v>1.8813800000000001</v>
      </c>
      <c r="D56" s="385">
        <v>1.8813800000000001</v>
      </c>
      <c r="E56" s="386" t="s">
        <v>219</v>
      </c>
      <c r="F56" s="384">
        <v>0</v>
      </c>
      <c r="G56" s="385">
        <v>0</v>
      </c>
      <c r="H56" s="387">
        <v>0</v>
      </c>
      <c r="I56" s="384">
        <v>0.44167999999899998</v>
      </c>
      <c r="J56" s="385">
        <v>0.44167999999899998</v>
      </c>
      <c r="K56" s="388" t="s">
        <v>219</v>
      </c>
    </row>
    <row r="57" spans="1:11" ht="14.4" customHeight="1" thickBot="1" x14ac:dyDescent="0.35">
      <c r="A57" s="401" t="s">
        <v>273</v>
      </c>
      <c r="B57" s="379">
        <v>0</v>
      </c>
      <c r="C57" s="379">
        <v>1.37626</v>
      </c>
      <c r="D57" s="380">
        <v>1.37626</v>
      </c>
      <c r="E57" s="389" t="s">
        <v>219</v>
      </c>
      <c r="F57" s="379">
        <v>0</v>
      </c>
      <c r="G57" s="380">
        <v>0</v>
      </c>
      <c r="H57" s="382">
        <v>0</v>
      </c>
      <c r="I57" s="379">
        <v>0.30818999999899999</v>
      </c>
      <c r="J57" s="380">
        <v>0.30818999999899999</v>
      </c>
      <c r="K57" s="390" t="s">
        <v>219</v>
      </c>
    </row>
    <row r="58" spans="1:11" ht="14.4" customHeight="1" thickBot="1" x14ac:dyDescent="0.35">
      <c r="A58" s="401" t="s">
        <v>274</v>
      </c>
      <c r="B58" s="379">
        <v>0</v>
      </c>
      <c r="C58" s="379">
        <v>1.2120000000000001E-2</v>
      </c>
      <c r="D58" s="380">
        <v>1.2120000000000001E-2</v>
      </c>
      <c r="E58" s="389" t="s">
        <v>231</v>
      </c>
      <c r="F58" s="379">
        <v>0</v>
      </c>
      <c r="G58" s="380">
        <v>0</v>
      </c>
      <c r="H58" s="382">
        <v>0</v>
      </c>
      <c r="I58" s="379">
        <v>9.9999999900000002E-4</v>
      </c>
      <c r="J58" s="380">
        <v>9.9999999900000002E-4</v>
      </c>
      <c r="K58" s="390" t="s">
        <v>219</v>
      </c>
    </row>
    <row r="59" spans="1:11" ht="14.4" customHeight="1" thickBot="1" x14ac:dyDescent="0.35">
      <c r="A59" s="401" t="s">
        <v>275</v>
      </c>
      <c r="B59" s="379">
        <v>0</v>
      </c>
      <c r="C59" s="379">
        <v>1.23E-2</v>
      </c>
      <c r="D59" s="380">
        <v>1.23E-2</v>
      </c>
      <c r="E59" s="389" t="s">
        <v>219</v>
      </c>
      <c r="F59" s="379">
        <v>0</v>
      </c>
      <c r="G59" s="380">
        <v>0</v>
      </c>
      <c r="H59" s="382">
        <v>0</v>
      </c>
      <c r="I59" s="379">
        <v>0</v>
      </c>
      <c r="J59" s="380">
        <v>0</v>
      </c>
      <c r="K59" s="390" t="s">
        <v>219</v>
      </c>
    </row>
    <row r="60" spans="1:11" ht="14.4" customHeight="1" thickBot="1" x14ac:dyDescent="0.35">
      <c r="A60" s="401" t="s">
        <v>276</v>
      </c>
      <c r="B60" s="379">
        <v>0</v>
      </c>
      <c r="C60" s="379">
        <v>0.48070000000000002</v>
      </c>
      <c r="D60" s="380">
        <v>0.48070000000000002</v>
      </c>
      <c r="E60" s="389" t="s">
        <v>219</v>
      </c>
      <c r="F60" s="379">
        <v>0</v>
      </c>
      <c r="G60" s="380">
        <v>0</v>
      </c>
      <c r="H60" s="382">
        <v>0</v>
      </c>
      <c r="I60" s="379">
        <v>0.13249</v>
      </c>
      <c r="J60" s="380">
        <v>0.13249</v>
      </c>
      <c r="K60" s="390" t="s">
        <v>219</v>
      </c>
    </row>
    <row r="61" spans="1:11" ht="14.4" customHeight="1" thickBot="1" x14ac:dyDescent="0.35">
      <c r="A61" s="400" t="s">
        <v>277</v>
      </c>
      <c r="B61" s="384">
        <v>0</v>
      </c>
      <c r="C61" s="384">
        <v>8.5139999999999993E-2</v>
      </c>
      <c r="D61" s="385">
        <v>8.5139999999999993E-2</v>
      </c>
      <c r="E61" s="386" t="s">
        <v>219</v>
      </c>
      <c r="F61" s="384">
        <v>0</v>
      </c>
      <c r="G61" s="385">
        <v>0</v>
      </c>
      <c r="H61" s="387">
        <v>0</v>
      </c>
      <c r="I61" s="384">
        <v>8.3599999990000007E-3</v>
      </c>
      <c r="J61" s="385">
        <v>8.3599999990000007E-3</v>
      </c>
      <c r="K61" s="388" t="s">
        <v>219</v>
      </c>
    </row>
    <row r="62" spans="1:11" ht="14.4" customHeight="1" thickBot="1" x14ac:dyDescent="0.35">
      <c r="A62" s="401" t="s">
        <v>278</v>
      </c>
      <c r="B62" s="379">
        <v>0</v>
      </c>
      <c r="C62" s="379">
        <v>8.5139999999999993E-2</v>
      </c>
      <c r="D62" s="380">
        <v>8.5139999999999993E-2</v>
      </c>
      <c r="E62" s="389" t="s">
        <v>219</v>
      </c>
      <c r="F62" s="379">
        <v>0</v>
      </c>
      <c r="G62" s="380">
        <v>0</v>
      </c>
      <c r="H62" s="382">
        <v>0</v>
      </c>
      <c r="I62" s="379">
        <v>8.3599999990000007E-3</v>
      </c>
      <c r="J62" s="380">
        <v>8.3599999990000007E-3</v>
      </c>
      <c r="K62" s="390" t="s">
        <v>219</v>
      </c>
    </row>
    <row r="63" spans="1:11" ht="14.4" customHeight="1" thickBot="1" x14ac:dyDescent="0.35">
      <c r="A63" s="400" t="s">
        <v>279</v>
      </c>
      <c r="B63" s="384">
        <v>0</v>
      </c>
      <c r="C63" s="384">
        <v>0.27185999999999999</v>
      </c>
      <c r="D63" s="385">
        <v>0.27185999999999999</v>
      </c>
      <c r="E63" s="386" t="s">
        <v>219</v>
      </c>
      <c r="F63" s="384">
        <v>0</v>
      </c>
      <c r="G63" s="385">
        <v>0</v>
      </c>
      <c r="H63" s="387">
        <v>0</v>
      </c>
      <c r="I63" s="384">
        <v>0.1061</v>
      </c>
      <c r="J63" s="385">
        <v>0.1061</v>
      </c>
      <c r="K63" s="388" t="s">
        <v>219</v>
      </c>
    </row>
    <row r="64" spans="1:11" ht="14.4" customHeight="1" thickBot="1" x14ac:dyDescent="0.35">
      <c r="A64" s="401" t="s">
        <v>280</v>
      </c>
      <c r="B64" s="379">
        <v>0</v>
      </c>
      <c r="C64" s="379">
        <v>0.27185999999999999</v>
      </c>
      <c r="D64" s="380">
        <v>0.27185999999999999</v>
      </c>
      <c r="E64" s="389" t="s">
        <v>219</v>
      </c>
      <c r="F64" s="379">
        <v>0</v>
      </c>
      <c r="G64" s="380">
        <v>0</v>
      </c>
      <c r="H64" s="382">
        <v>0</v>
      </c>
      <c r="I64" s="379">
        <v>0.1061</v>
      </c>
      <c r="J64" s="380">
        <v>0.1061</v>
      </c>
      <c r="K64" s="390" t="s">
        <v>219</v>
      </c>
    </row>
    <row r="65" spans="1:11" ht="14.4" customHeight="1" thickBot="1" x14ac:dyDescent="0.35">
      <c r="A65" s="399" t="s">
        <v>24</v>
      </c>
      <c r="B65" s="379">
        <v>1802.7803413010099</v>
      </c>
      <c r="C65" s="379">
        <v>1779.9172900000001</v>
      </c>
      <c r="D65" s="380">
        <v>-22.863051301005999</v>
      </c>
      <c r="E65" s="381">
        <v>0.98731789404500003</v>
      </c>
      <c r="F65" s="379">
        <v>2060.4844189663299</v>
      </c>
      <c r="G65" s="380">
        <v>858.53517456930297</v>
      </c>
      <c r="H65" s="382">
        <v>153.81</v>
      </c>
      <c r="I65" s="379">
        <v>961.91</v>
      </c>
      <c r="J65" s="380">
        <v>103.374825430697</v>
      </c>
      <c r="K65" s="383">
        <v>0.46683682300399998</v>
      </c>
    </row>
    <row r="66" spans="1:11" ht="14.4" customHeight="1" thickBot="1" x14ac:dyDescent="0.35">
      <c r="A66" s="400" t="s">
        <v>281</v>
      </c>
      <c r="B66" s="384">
        <v>0</v>
      </c>
      <c r="C66" s="384">
        <v>-9.0223200000000006</v>
      </c>
      <c r="D66" s="385">
        <v>-9.0223200000000006</v>
      </c>
      <c r="E66" s="386" t="s">
        <v>219</v>
      </c>
      <c r="F66" s="384">
        <v>0</v>
      </c>
      <c r="G66" s="385">
        <v>0</v>
      </c>
      <c r="H66" s="387">
        <v>0</v>
      </c>
      <c r="I66" s="384">
        <v>-3.732249999999</v>
      </c>
      <c r="J66" s="385">
        <v>-3.732249999999</v>
      </c>
      <c r="K66" s="388" t="s">
        <v>219</v>
      </c>
    </row>
    <row r="67" spans="1:11" ht="14.4" customHeight="1" thickBot="1" x14ac:dyDescent="0.35">
      <c r="A67" s="401" t="s">
        <v>282</v>
      </c>
      <c r="B67" s="379">
        <v>0</v>
      </c>
      <c r="C67" s="379">
        <v>-9.0223200000000006</v>
      </c>
      <c r="D67" s="380">
        <v>-9.0223200000000006</v>
      </c>
      <c r="E67" s="389" t="s">
        <v>219</v>
      </c>
      <c r="F67" s="379">
        <v>0</v>
      </c>
      <c r="G67" s="380">
        <v>0</v>
      </c>
      <c r="H67" s="382">
        <v>0</v>
      </c>
      <c r="I67" s="379">
        <v>-3.732249999999</v>
      </c>
      <c r="J67" s="380">
        <v>-3.732249999999</v>
      </c>
      <c r="K67" s="390" t="s">
        <v>219</v>
      </c>
    </row>
    <row r="68" spans="1:11" ht="14.4" customHeight="1" thickBot="1" x14ac:dyDescent="0.35">
      <c r="A68" s="400" t="s">
        <v>283</v>
      </c>
      <c r="B68" s="384">
        <v>1802.7803413010099</v>
      </c>
      <c r="C68" s="384">
        <v>1779.9172900000001</v>
      </c>
      <c r="D68" s="385">
        <v>-22.863051301005999</v>
      </c>
      <c r="E68" s="391">
        <v>0.98731789404500003</v>
      </c>
      <c r="F68" s="384">
        <v>2060.4844189663299</v>
      </c>
      <c r="G68" s="385">
        <v>858.53517456930297</v>
      </c>
      <c r="H68" s="387">
        <v>153.81</v>
      </c>
      <c r="I68" s="384">
        <v>961.91</v>
      </c>
      <c r="J68" s="385">
        <v>103.374825430697</v>
      </c>
      <c r="K68" s="392">
        <v>0.46683682300399998</v>
      </c>
    </row>
    <row r="69" spans="1:11" ht="14.4" customHeight="1" thickBot="1" x14ac:dyDescent="0.35">
      <c r="A69" s="401" t="s">
        <v>284</v>
      </c>
      <c r="B69" s="379">
        <v>599.48755592183397</v>
      </c>
      <c r="C69" s="379">
        <v>624.69400000000098</v>
      </c>
      <c r="D69" s="380">
        <v>25.206444078166999</v>
      </c>
      <c r="E69" s="381">
        <v>1.0420466510590001</v>
      </c>
      <c r="F69" s="379">
        <v>817.91875644528295</v>
      </c>
      <c r="G69" s="380">
        <v>340.79948185220098</v>
      </c>
      <c r="H69" s="382">
        <v>67.322999999999993</v>
      </c>
      <c r="I69" s="379">
        <v>347.55</v>
      </c>
      <c r="J69" s="380">
        <v>6.7505181477980001</v>
      </c>
      <c r="K69" s="383">
        <v>0.42491995355399997</v>
      </c>
    </row>
    <row r="70" spans="1:11" ht="14.4" customHeight="1" thickBot="1" x14ac:dyDescent="0.35">
      <c r="A70" s="401" t="s">
        <v>285</v>
      </c>
      <c r="B70" s="379">
        <v>200.12205539517299</v>
      </c>
      <c r="C70" s="379">
        <v>211.20400000000001</v>
      </c>
      <c r="D70" s="380">
        <v>11.081944604826999</v>
      </c>
      <c r="E70" s="381">
        <v>1.0553759283699999</v>
      </c>
      <c r="F70" s="379">
        <v>208.35977912624</v>
      </c>
      <c r="G70" s="380">
        <v>86.816574635932994</v>
      </c>
      <c r="H70" s="382">
        <v>16.471</v>
      </c>
      <c r="I70" s="379">
        <v>88.71</v>
      </c>
      <c r="J70" s="380">
        <v>1.8934253640659999</v>
      </c>
      <c r="K70" s="383">
        <v>0.42575395487500001</v>
      </c>
    </row>
    <row r="71" spans="1:11" ht="14.4" customHeight="1" thickBot="1" x14ac:dyDescent="0.35">
      <c r="A71" s="401" t="s">
        <v>286</v>
      </c>
      <c r="B71" s="379">
        <v>1002.16353367238</v>
      </c>
      <c r="C71" s="379">
        <v>943.63600000000201</v>
      </c>
      <c r="D71" s="380">
        <v>-58.527533672380997</v>
      </c>
      <c r="E71" s="381">
        <v>0.94159881924800004</v>
      </c>
      <c r="F71" s="379">
        <v>1033.7153046630399</v>
      </c>
      <c r="G71" s="380">
        <v>430.71471027626501</v>
      </c>
      <c r="H71" s="382">
        <v>70.016000000000005</v>
      </c>
      <c r="I71" s="379">
        <v>525.65</v>
      </c>
      <c r="J71" s="380">
        <v>94.935289723734002</v>
      </c>
      <c r="K71" s="383">
        <v>0.50850557946499997</v>
      </c>
    </row>
    <row r="72" spans="1:11" ht="14.4" customHeight="1" thickBot="1" x14ac:dyDescent="0.35">
      <c r="A72" s="401" t="s">
        <v>287</v>
      </c>
      <c r="B72" s="379">
        <v>1.00719631162</v>
      </c>
      <c r="C72" s="379">
        <v>0.38329000000000002</v>
      </c>
      <c r="D72" s="380">
        <v>-0.62390631161999999</v>
      </c>
      <c r="E72" s="381">
        <v>0.38055143329800001</v>
      </c>
      <c r="F72" s="379">
        <v>0.49057873176799999</v>
      </c>
      <c r="G72" s="380">
        <v>0.20440780490300001</v>
      </c>
      <c r="H72" s="382">
        <v>0</v>
      </c>
      <c r="I72" s="379">
        <v>0</v>
      </c>
      <c r="J72" s="380">
        <v>-0.20440780490300001</v>
      </c>
      <c r="K72" s="383">
        <v>0</v>
      </c>
    </row>
    <row r="73" spans="1:11" ht="14.4" customHeight="1" thickBot="1" x14ac:dyDescent="0.35">
      <c r="A73" s="400" t="s">
        <v>288</v>
      </c>
      <c r="B73" s="384">
        <v>0</v>
      </c>
      <c r="C73" s="384">
        <v>9.0223200000000006</v>
      </c>
      <c r="D73" s="385">
        <v>9.0223200000000006</v>
      </c>
      <c r="E73" s="386" t="s">
        <v>219</v>
      </c>
      <c r="F73" s="384">
        <v>0</v>
      </c>
      <c r="G73" s="385">
        <v>0</v>
      </c>
      <c r="H73" s="387">
        <v>0</v>
      </c>
      <c r="I73" s="384">
        <v>3.732249999999</v>
      </c>
      <c r="J73" s="385">
        <v>3.732249999999</v>
      </c>
      <c r="K73" s="388" t="s">
        <v>219</v>
      </c>
    </row>
    <row r="74" spans="1:11" ht="14.4" customHeight="1" thickBot="1" x14ac:dyDescent="0.35">
      <c r="A74" s="401" t="s">
        <v>289</v>
      </c>
      <c r="B74" s="379">
        <v>0</v>
      </c>
      <c r="C74" s="379">
        <v>3.2605599999999999</v>
      </c>
      <c r="D74" s="380">
        <v>3.2605599999999999</v>
      </c>
      <c r="E74" s="389" t="s">
        <v>219</v>
      </c>
      <c r="F74" s="379">
        <v>0</v>
      </c>
      <c r="G74" s="380">
        <v>0</v>
      </c>
      <c r="H74" s="382">
        <v>0</v>
      </c>
      <c r="I74" s="379">
        <v>1.2505999999999999</v>
      </c>
      <c r="J74" s="380">
        <v>1.2505999999999999</v>
      </c>
      <c r="K74" s="390" t="s">
        <v>219</v>
      </c>
    </row>
    <row r="75" spans="1:11" ht="14.4" customHeight="1" thickBot="1" x14ac:dyDescent="0.35">
      <c r="A75" s="401" t="s">
        <v>290</v>
      </c>
      <c r="B75" s="379">
        <v>0</v>
      </c>
      <c r="C75" s="379">
        <v>0.74270999999999998</v>
      </c>
      <c r="D75" s="380">
        <v>0.74270999999999998</v>
      </c>
      <c r="E75" s="389" t="s">
        <v>219</v>
      </c>
      <c r="F75" s="379">
        <v>0</v>
      </c>
      <c r="G75" s="380">
        <v>0</v>
      </c>
      <c r="H75" s="382">
        <v>0</v>
      </c>
      <c r="I75" s="379">
        <v>0.214119999999</v>
      </c>
      <c r="J75" s="380">
        <v>0.214119999999</v>
      </c>
      <c r="K75" s="390" t="s">
        <v>219</v>
      </c>
    </row>
    <row r="76" spans="1:11" ht="14.4" customHeight="1" thickBot="1" x14ac:dyDescent="0.35">
      <c r="A76" s="401" t="s">
        <v>291</v>
      </c>
      <c r="B76" s="379">
        <v>0</v>
      </c>
      <c r="C76" s="379">
        <v>5.01905</v>
      </c>
      <c r="D76" s="380">
        <v>5.01905</v>
      </c>
      <c r="E76" s="389" t="s">
        <v>219</v>
      </c>
      <c r="F76" s="379">
        <v>0</v>
      </c>
      <c r="G76" s="380">
        <v>0</v>
      </c>
      <c r="H76" s="382">
        <v>0</v>
      </c>
      <c r="I76" s="379">
        <v>2.2675299999990002</v>
      </c>
      <c r="J76" s="380">
        <v>2.2675299999990002</v>
      </c>
      <c r="K76" s="390" t="s">
        <v>219</v>
      </c>
    </row>
    <row r="77" spans="1:11" ht="14.4" customHeight="1" thickBot="1" x14ac:dyDescent="0.35">
      <c r="A77" s="399" t="s">
        <v>25</v>
      </c>
      <c r="B77" s="379">
        <v>338621</v>
      </c>
      <c r="C77" s="379">
        <v>342366.23342000099</v>
      </c>
      <c r="D77" s="380">
        <v>3745.2334200008199</v>
      </c>
      <c r="E77" s="381">
        <v>1.01106025149</v>
      </c>
      <c r="F77" s="379">
        <v>356625.32024775498</v>
      </c>
      <c r="G77" s="380">
        <v>148593.88343656401</v>
      </c>
      <c r="H77" s="382">
        <v>29397.810219999999</v>
      </c>
      <c r="I77" s="379">
        <v>146325.29378000001</v>
      </c>
      <c r="J77" s="380">
        <v>-2268.5896565645498</v>
      </c>
      <c r="K77" s="383">
        <v>0.41030539749200001</v>
      </c>
    </row>
    <row r="78" spans="1:11" ht="14.4" customHeight="1" thickBot="1" x14ac:dyDescent="0.35">
      <c r="A78" s="400" t="s">
        <v>292</v>
      </c>
      <c r="B78" s="384">
        <v>338621</v>
      </c>
      <c r="C78" s="384">
        <v>342366.23342000099</v>
      </c>
      <c r="D78" s="385">
        <v>3745.2334200008199</v>
      </c>
      <c r="E78" s="391">
        <v>1.01106025149</v>
      </c>
      <c r="F78" s="384">
        <v>356625.32024775498</v>
      </c>
      <c r="G78" s="385">
        <v>148593.88343656401</v>
      </c>
      <c r="H78" s="387">
        <v>29397.810219999999</v>
      </c>
      <c r="I78" s="384">
        <v>146325.29378000001</v>
      </c>
      <c r="J78" s="385">
        <v>-2268.5896565645498</v>
      </c>
      <c r="K78" s="392">
        <v>0.41030539749200001</v>
      </c>
    </row>
    <row r="79" spans="1:11" ht="14.4" customHeight="1" thickBot="1" x14ac:dyDescent="0.35">
      <c r="A79" s="401" t="s">
        <v>293</v>
      </c>
      <c r="B79" s="379">
        <v>29734</v>
      </c>
      <c r="C79" s="379">
        <v>30154.422050000099</v>
      </c>
      <c r="D79" s="380">
        <v>420.42205000005902</v>
      </c>
      <c r="E79" s="381">
        <v>1.0141394380169999</v>
      </c>
      <c r="F79" s="379">
        <v>31155.378178830801</v>
      </c>
      <c r="G79" s="380">
        <v>12981.407574512799</v>
      </c>
      <c r="H79" s="382">
        <v>2992.04306</v>
      </c>
      <c r="I79" s="379">
        <v>14283.296990000001</v>
      </c>
      <c r="J79" s="380">
        <v>1301.88941548717</v>
      </c>
      <c r="K79" s="383">
        <v>0.45845365471100002</v>
      </c>
    </row>
    <row r="80" spans="1:11" ht="14.4" customHeight="1" thickBot="1" x14ac:dyDescent="0.35">
      <c r="A80" s="401" t="s">
        <v>294</v>
      </c>
      <c r="B80" s="379">
        <v>947</v>
      </c>
      <c r="C80" s="379">
        <v>1330.7870600000001</v>
      </c>
      <c r="D80" s="380">
        <v>383.78706000000199</v>
      </c>
      <c r="E80" s="381">
        <v>1.4052661668419999</v>
      </c>
      <c r="F80" s="379">
        <v>1300</v>
      </c>
      <c r="G80" s="380">
        <v>541.66666666666697</v>
      </c>
      <c r="H80" s="382">
        <v>147.06650999999999</v>
      </c>
      <c r="I80" s="379">
        <v>629.84652000000096</v>
      </c>
      <c r="J80" s="380">
        <v>88.179853333333</v>
      </c>
      <c r="K80" s="383">
        <v>0.48449732307600002</v>
      </c>
    </row>
    <row r="81" spans="1:11" ht="14.4" customHeight="1" thickBot="1" x14ac:dyDescent="0.35">
      <c r="A81" s="401" t="s">
        <v>295</v>
      </c>
      <c r="B81" s="379">
        <v>7098</v>
      </c>
      <c r="C81" s="379">
        <v>4321.2422999999999</v>
      </c>
      <c r="D81" s="380">
        <v>-2776.7577000000001</v>
      </c>
      <c r="E81" s="381">
        <v>0.60879716821600005</v>
      </c>
      <c r="F81" s="379">
        <v>5000</v>
      </c>
      <c r="G81" s="380">
        <v>2083.3333333333298</v>
      </c>
      <c r="H81" s="382">
        <v>85.347210000000004</v>
      </c>
      <c r="I81" s="379">
        <v>515.27857999999901</v>
      </c>
      <c r="J81" s="380">
        <v>-1568.0547533333299</v>
      </c>
      <c r="K81" s="383">
        <v>0.10305571600000001</v>
      </c>
    </row>
    <row r="82" spans="1:11" ht="14.4" customHeight="1" thickBot="1" x14ac:dyDescent="0.35">
      <c r="A82" s="401" t="s">
        <v>296</v>
      </c>
      <c r="B82" s="379">
        <v>100527</v>
      </c>
      <c r="C82" s="379">
        <v>102111.10202000001</v>
      </c>
      <c r="D82" s="380">
        <v>1584.1020200001699</v>
      </c>
      <c r="E82" s="381">
        <v>1.015757975668</v>
      </c>
      <c r="F82" s="379">
        <v>0</v>
      </c>
      <c r="G82" s="380">
        <v>0</v>
      </c>
      <c r="H82" s="382">
        <v>0</v>
      </c>
      <c r="I82" s="379">
        <v>0</v>
      </c>
      <c r="J82" s="380">
        <v>0</v>
      </c>
      <c r="K82" s="390" t="s">
        <v>219</v>
      </c>
    </row>
    <row r="83" spans="1:11" ht="14.4" customHeight="1" thickBot="1" x14ac:dyDescent="0.35">
      <c r="A83" s="401" t="s">
        <v>297</v>
      </c>
      <c r="B83" s="379">
        <v>145872</v>
      </c>
      <c r="C83" s="379">
        <v>148055.29245000001</v>
      </c>
      <c r="D83" s="380">
        <v>2183.2924500003001</v>
      </c>
      <c r="E83" s="381">
        <v>1.0149671797869999</v>
      </c>
      <c r="F83" s="379">
        <v>260800</v>
      </c>
      <c r="G83" s="380">
        <v>108666.66666666701</v>
      </c>
      <c r="H83" s="382">
        <v>20776.086510000001</v>
      </c>
      <c r="I83" s="379">
        <v>105093.13394</v>
      </c>
      <c r="J83" s="380">
        <v>-3573.53272666674</v>
      </c>
      <c r="K83" s="383">
        <v>0.402964470628</v>
      </c>
    </row>
    <row r="84" spans="1:11" ht="14.4" customHeight="1" thickBot="1" x14ac:dyDescent="0.35">
      <c r="A84" s="401" t="s">
        <v>298</v>
      </c>
      <c r="B84" s="379">
        <v>5446</v>
      </c>
      <c r="C84" s="379">
        <v>5663.2123000000101</v>
      </c>
      <c r="D84" s="380">
        <v>217.21230000000901</v>
      </c>
      <c r="E84" s="381">
        <v>1.039884741094</v>
      </c>
      <c r="F84" s="379">
        <v>6000</v>
      </c>
      <c r="G84" s="380">
        <v>2500</v>
      </c>
      <c r="H84" s="382">
        <v>593.73407999999995</v>
      </c>
      <c r="I84" s="379">
        <v>2668.8565600000002</v>
      </c>
      <c r="J84" s="380">
        <v>168.85655999999901</v>
      </c>
      <c r="K84" s="383">
        <v>0.44480942666599999</v>
      </c>
    </row>
    <row r="85" spans="1:11" ht="14.4" customHeight="1" thickBot="1" x14ac:dyDescent="0.35">
      <c r="A85" s="401" t="s">
        <v>299</v>
      </c>
      <c r="B85" s="379">
        <v>16527</v>
      </c>
      <c r="C85" s="379">
        <v>16839.62415</v>
      </c>
      <c r="D85" s="380">
        <v>312.62415000002898</v>
      </c>
      <c r="E85" s="381">
        <v>1.018915964784</v>
      </c>
      <c r="F85" s="379">
        <v>0</v>
      </c>
      <c r="G85" s="380">
        <v>0</v>
      </c>
      <c r="H85" s="382">
        <v>0</v>
      </c>
      <c r="I85" s="379">
        <v>0</v>
      </c>
      <c r="J85" s="380">
        <v>0</v>
      </c>
      <c r="K85" s="390" t="s">
        <v>219</v>
      </c>
    </row>
    <row r="86" spans="1:11" ht="14.4" customHeight="1" thickBot="1" x14ac:dyDescent="0.35">
      <c r="A86" s="401" t="s">
        <v>300</v>
      </c>
      <c r="B86" s="379">
        <v>19775</v>
      </c>
      <c r="C86" s="379">
        <v>20542.578649999999</v>
      </c>
      <c r="D86" s="380">
        <v>767.57865000003903</v>
      </c>
      <c r="E86" s="381">
        <v>1.038815608091</v>
      </c>
      <c r="F86" s="379">
        <v>38900</v>
      </c>
      <c r="G86" s="380">
        <v>16208.333333333299</v>
      </c>
      <c r="H86" s="382">
        <v>3612.3261900000002</v>
      </c>
      <c r="I86" s="379">
        <v>17080.456760000001</v>
      </c>
      <c r="J86" s="380">
        <v>872.12342666665097</v>
      </c>
      <c r="K86" s="383">
        <v>0.43908629202999999</v>
      </c>
    </row>
    <row r="87" spans="1:11" ht="14.4" customHeight="1" thickBot="1" x14ac:dyDescent="0.35">
      <c r="A87" s="401" t="s">
        <v>301</v>
      </c>
      <c r="B87" s="379">
        <v>84</v>
      </c>
      <c r="C87" s="379">
        <v>466.72464000000002</v>
      </c>
      <c r="D87" s="380">
        <v>382.72464000000002</v>
      </c>
      <c r="E87" s="381">
        <v>5.5562457142849997</v>
      </c>
      <c r="F87" s="379">
        <v>500</v>
      </c>
      <c r="G87" s="380">
        <v>208.333333333333</v>
      </c>
      <c r="H87" s="382">
        <v>19.173310000000001</v>
      </c>
      <c r="I87" s="379">
        <v>153.53765999999999</v>
      </c>
      <c r="J87" s="380">
        <v>-54.795673333332999</v>
      </c>
      <c r="K87" s="383">
        <v>0.30707531999900001</v>
      </c>
    </row>
    <row r="88" spans="1:11" ht="14.4" customHeight="1" thickBot="1" x14ac:dyDescent="0.35">
      <c r="A88" s="401" t="s">
        <v>302</v>
      </c>
      <c r="B88" s="379">
        <v>18</v>
      </c>
      <c r="C88" s="379">
        <v>4.4909999999999997</v>
      </c>
      <c r="D88" s="380">
        <v>-13.509</v>
      </c>
      <c r="E88" s="381">
        <v>0.2495</v>
      </c>
      <c r="F88" s="379">
        <v>0</v>
      </c>
      <c r="G88" s="380">
        <v>0</v>
      </c>
      <c r="H88" s="382">
        <v>0</v>
      </c>
      <c r="I88" s="379">
        <v>0</v>
      </c>
      <c r="J88" s="380">
        <v>0</v>
      </c>
      <c r="K88" s="390" t="s">
        <v>219</v>
      </c>
    </row>
    <row r="89" spans="1:11" ht="14.4" customHeight="1" thickBot="1" x14ac:dyDescent="0.35">
      <c r="A89" s="401" t="s">
        <v>303</v>
      </c>
      <c r="B89" s="379">
        <v>378</v>
      </c>
      <c r="C89" s="379">
        <v>147.29737</v>
      </c>
      <c r="D89" s="380">
        <v>-230.70263</v>
      </c>
      <c r="E89" s="381">
        <v>0.38967558201000002</v>
      </c>
      <c r="F89" s="379">
        <v>200</v>
      </c>
      <c r="G89" s="380">
        <v>83.333333333333002</v>
      </c>
      <c r="H89" s="382">
        <v>0</v>
      </c>
      <c r="I89" s="379">
        <v>0</v>
      </c>
      <c r="J89" s="380">
        <v>-83.333333333333002</v>
      </c>
      <c r="K89" s="383">
        <v>0</v>
      </c>
    </row>
    <row r="90" spans="1:11" ht="14.4" customHeight="1" thickBot="1" x14ac:dyDescent="0.35">
      <c r="A90" s="401" t="s">
        <v>304</v>
      </c>
      <c r="B90" s="379">
        <v>41</v>
      </c>
      <c r="C90" s="379">
        <v>116.44644</v>
      </c>
      <c r="D90" s="380">
        <v>75.446439999999996</v>
      </c>
      <c r="E90" s="381">
        <v>2.8401570731699999</v>
      </c>
      <c r="F90" s="379">
        <v>0</v>
      </c>
      <c r="G90" s="380">
        <v>0</v>
      </c>
      <c r="H90" s="382">
        <v>0</v>
      </c>
      <c r="I90" s="379">
        <v>0</v>
      </c>
      <c r="J90" s="380">
        <v>0</v>
      </c>
      <c r="K90" s="390" t="s">
        <v>219</v>
      </c>
    </row>
    <row r="91" spans="1:11" ht="14.4" customHeight="1" thickBot="1" x14ac:dyDescent="0.35">
      <c r="A91" s="401" t="s">
        <v>305</v>
      </c>
      <c r="B91" s="379">
        <v>190</v>
      </c>
      <c r="C91" s="379">
        <v>164.14785000000001</v>
      </c>
      <c r="D91" s="380">
        <v>-25.852149999999</v>
      </c>
      <c r="E91" s="381">
        <v>0.86393605263100004</v>
      </c>
      <c r="F91" s="379">
        <v>200</v>
      </c>
      <c r="G91" s="380">
        <v>83.333333333333002</v>
      </c>
      <c r="H91" s="382">
        <v>35.617930000000001</v>
      </c>
      <c r="I91" s="379">
        <v>178.66269</v>
      </c>
      <c r="J91" s="380">
        <v>95.329356666666001</v>
      </c>
      <c r="K91" s="383">
        <v>0.89331344999999995</v>
      </c>
    </row>
    <row r="92" spans="1:11" ht="14.4" customHeight="1" thickBot="1" x14ac:dyDescent="0.35">
      <c r="A92" s="401" t="s">
        <v>306</v>
      </c>
      <c r="B92" s="379">
        <v>493</v>
      </c>
      <c r="C92" s="379">
        <v>640.17143000000101</v>
      </c>
      <c r="D92" s="380">
        <v>147.17143000000101</v>
      </c>
      <c r="E92" s="381">
        <v>1.2985221703850001</v>
      </c>
      <c r="F92" s="379">
        <v>0</v>
      </c>
      <c r="G92" s="380">
        <v>0</v>
      </c>
      <c r="H92" s="382">
        <v>0</v>
      </c>
      <c r="I92" s="379">
        <v>0</v>
      </c>
      <c r="J92" s="380">
        <v>0</v>
      </c>
      <c r="K92" s="390" t="s">
        <v>219</v>
      </c>
    </row>
    <row r="93" spans="1:11" ht="14.4" customHeight="1" thickBot="1" x14ac:dyDescent="0.35">
      <c r="A93" s="401" t="s">
        <v>307</v>
      </c>
      <c r="B93" s="379">
        <v>584</v>
      </c>
      <c r="C93" s="379">
        <v>603.60770000000105</v>
      </c>
      <c r="D93" s="380">
        <v>19.607700000000001</v>
      </c>
      <c r="E93" s="381">
        <v>1.0335748287669999</v>
      </c>
      <c r="F93" s="379">
        <v>1250</v>
      </c>
      <c r="G93" s="380">
        <v>520.83333333333303</v>
      </c>
      <c r="H93" s="382">
        <v>76.589320000000001</v>
      </c>
      <c r="I93" s="379">
        <v>451.00713999999999</v>
      </c>
      <c r="J93" s="380">
        <v>-69.826193333332995</v>
      </c>
      <c r="K93" s="383">
        <v>0.360805712</v>
      </c>
    </row>
    <row r="94" spans="1:11" ht="14.4" customHeight="1" thickBot="1" x14ac:dyDescent="0.35">
      <c r="A94" s="401" t="s">
        <v>308</v>
      </c>
      <c r="B94" s="379">
        <v>1409</v>
      </c>
      <c r="C94" s="379">
        <v>1627.4175299999999</v>
      </c>
      <c r="D94" s="380">
        <v>218.41753000000401</v>
      </c>
      <c r="E94" s="381">
        <v>1.1550159900629999</v>
      </c>
      <c r="F94" s="379">
        <v>1600</v>
      </c>
      <c r="G94" s="380">
        <v>666.66666666666697</v>
      </c>
      <c r="H94" s="382">
        <v>135.21738999999999</v>
      </c>
      <c r="I94" s="379">
        <v>753.60246999999902</v>
      </c>
      <c r="J94" s="380">
        <v>86.935803333332004</v>
      </c>
      <c r="K94" s="383">
        <v>0.47100154374999997</v>
      </c>
    </row>
    <row r="95" spans="1:11" ht="14.4" customHeight="1" thickBot="1" x14ac:dyDescent="0.35">
      <c r="A95" s="401" t="s">
        <v>309</v>
      </c>
      <c r="B95" s="379">
        <v>9498</v>
      </c>
      <c r="C95" s="379">
        <v>9577.6684800000203</v>
      </c>
      <c r="D95" s="380">
        <v>79.668480000017993</v>
      </c>
      <c r="E95" s="381">
        <v>1.008387921667</v>
      </c>
      <c r="F95" s="379">
        <v>9719.9420689238996</v>
      </c>
      <c r="G95" s="380">
        <v>4049.97586205162</v>
      </c>
      <c r="H95" s="382">
        <v>924.60870999999997</v>
      </c>
      <c r="I95" s="379">
        <v>4517.6144700000004</v>
      </c>
      <c r="J95" s="380">
        <v>467.63860794837302</v>
      </c>
      <c r="K95" s="383">
        <v>0.46477792130500001</v>
      </c>
    </row>
    <row r="96" spans="1:11" ht="14.4" customHeight="1" thickBot="1" x14ac:dyDescent="0.35">
      <c r="A96" s="402" t="s">
        <v>310</v>
      </c>
      <c r="B96" s="384">
        <v>-6334</v>
      </c>
      <c r="C96" s="384">
        <v>-7701.5526400000099</v>
      </c>
      <c r="D96" s="385">
        <v>-1367.5526400000099</v>
      </c>
      <c r="E96" s="391">
        <v>1.2159066371959999</v>
      </c>
      <c r="F96" s="384">
        <v>-8400</v>
      </c>
      <c r="G96" s="385">
        <v>-3500</v>
      </c>
      <c r="H96" s="387">
        <v>-870.69633999999996</v>
      </c>
      <c r="I96" s="384">
        <v>-3966.3611000000001</v>
      </c>
      <c r="J96" s="385">
        <v>-466.36109999999798</v>
      </c>
      <c r="K96" s="392">
        <v>0.472185845238</v>
      </c>
    </row>
    <row r="97" spans="1:11" ht="14.4" customHeight="1" thickBot="1" x14ac:dyDescent="0.35">
      <c r="A97" s="400" t="s">
        <v>311</v>
      </c>
      <c r="B97" s="384">
        <v>0</v>
      </c>
      <c r="C97" s="384">
        <v>66.040499999999994</v>
      </c>
      <c r="D97" s="385">
        <v>66.040499999999994</v>
      </c>
      <c r="E97" s="386" t="s">
        <v>219</v>
      </c>
      <c r="F97" s="384">
        <v>0</v>
      </c>
      <c r="G97" s="385">
        <v>0</v>
      </c>
      <c r="H97" s="387">
        <v>0</v>
      </c>
      <c r="I97" s="384">
        <v>1.257E-2</v>
      </c>
      <c r="J97" s="385">
        <v>1.257E-2</v>
      </c>
      <c r="K97" s="388" t="s">
        <v>219</v>
      </c>
    </row>
    <row r="98" spans="1:11" ht="14.4" customHeight="1" thickBot="1" x14ac:dyDescent="0.35">
      <c r="A98" s="401" t="s">
        <v>312</v>
      </c>
      <c r="B98" s="379">
        <v>0</v>
      </c>
      <c r="C98" s="379">
        <v>66.040499999999994</v>
      </c>
      <c r="D98" s="380">
        <v>66.040499999999994</v>
      </c>
      <c r="E98" s="389" t="s">
        <v>219</v>
      </c>
      <c r="F98" s="379">
        <v>0</v>
      </c>
      <c r="G98" s="380">
        <v>0</v>
      </c>
      <c r="H98" s="382">
        <v>0</v>
      </c>
      <c r="I98" s="379">
        <v>1.257E-2</v>
      </c>
      <c r="J98" s="380">
        <v>1.257E-2</v>
      </c>
      <c r="K98" s="390" t="s">
        <v>219</v>
      </c>
    </row>
    <row r="99" spans="1:11" ht="14.4" customHeight="1" thickBot="1" x14ac:dyDescent="0.35">
      <c r="A99" s="400" t="s">
        <v>313</v>
      </c>
      <c r="B99" s="384">
        <v>-6334</v>
      </c>
      <c r="C99" s="384">
        <v>-7701.5526400000099</v>
      </c>
      <c r="D99" s="385">
        <v>-1367.5526400000099</v>
      </c>
      <c r="E99" s="391">
        <v>1.2159066371959999</v>
      </c>
      <c r="F99" s="384">
        <v>-8400</v>
      </c>
      <c r="G99" s="385">
        <v>-3500</v>
      </c>
      <c r="H99" s="387">
        <v>-870.69633999999996</v>
      </c>
      <c r="I99" s="384">
        <v>-3966.3611000000001</v>
      </c>
      <c r="J99" s="385">
        <v>-466.36109999999798</v>
      </c>
      <c r="K99" s="392">
        <v>0.472185845238</v>
      </c>
    </row>
    <row r="100" spans="1:11" ht="14.4" customHeight="1" thickBot="1" x14ac:dyDescent="0.35">
      <c r="A100" s="401" t="s">
        <v>314</v>
      </c>
      <c r="B100" s="379">
        <v>-226</v>
      </c>
      <c r="C100" s="379">
        <v>-135.87681000000001</v>
      </c>
      <c r="D100" s="380">
        <v>90.123189999998999</v>
      </c>
      <c r="E100" s="381">
        <v>0.60122482300799995</v>
      </c>
      <c r="F100" s="379">
        <v>-200</v>
      </c>
      <c r="G100" s="380">
        <v>-83.333333333333002</v>
      </c>
      <c r="H100" s="382">
        <v>-59</v>
      </c>
      <c r="I100" s="379">
        <v>-100.61</v>
      </c>
      <c r="J100" s="380">
        <v>-17.276666666665999</v>
      </c>
      <c r="K100" s="383">
        <v>0.50305</v>
      </c>
    </row>
    <row r="101" spans="1:11" ht="14.4" customHeight="1" thickBot="1" x14ac:dyDescent="0.35">
      <c r="A101" s="401" t="s">
        <v>315</v>
      </c>
      <c r="B101" s="379">
        <v>-5600</v>
      </c>
      <c r="C101" s="379">
        <v>-6800.81783000001</v>
      </c>
      <c r="D101" s="380">
        <v>-1200.81783000001</v>
      </c>
      <c r="E101" s="381">
        <v>1.2144317553570001</v>
      </c>
      <c r="F101" s="379">
        <v>-7300</v>
      </c>
      <c r="G101" s="380">
        <v>-3041.6666666666702</v>
      </c>
      <c r="H101" s="382">
        <v>-738.14233999999999</v>
      </c>
      <c r="I101" s="379">
        <v>-3623.9670999999998</v>
      </c>
      <c r="J101" s="380">
        <v>-582.30043333333197</v>
      </c>
      <c r="K101" s="383">
        <v>0.49643384931500001</v>
      </c>
    </row>
    <row r="102" spans="1:11" ht="14.4" customHeight="1" thickBot="1" x14ac:dyDescent="0.35">
      <c r="A102" s="401" t="s">
        <v>316</v>
      </c>
      <c r="B102" s="379">
        <v>-508</v>
      </c>
      <c r="C102" s="379">
        <v>-764.85800000000097</v>
      </c>
      <c r="D102" s="380">
        <v>-256.85800000000103</v>
      </c>
      <c r="E102" s="381">
        <v>1.505625984251</v>
      </c>
      <c r="F102" s="379">
        <v>-900</v>
      </c>
      <c r="G102" s="380">
        <v>-375</v>
      </c>
      <c r="H102" s="382">
        <v>-73.554000000000002</v>
      </c>
      <c r="I102" s="379">
        <v>-241.78399999999999</v>
      </c>
      <c r="J102" s="380">
        <v>133.21600000000001</v>
      </c>
      <c r="K102" s="383">
        <v>0.26864888888799998</v>
      </c>
    </row>
    <row r="103" spans="1:11" ht="14.4" customHeight="1" thickBot="1" x14ac:dyDescent="0.35">
      <c r="A103" s="403" t="s">
        <v>317</v>
      </c>
      <c r="B103" s="379">
        <v>0</v>
      </c>
      <c r="C103" s="379">
        <v>-66.040499999999994</v>
      </c>
      <c r="D103" s="380">
        <v>-66.040499999999994</v>
      </c>
      <c r="E103" s="389" t="s">
        <v>219</v>
      </c>
      <c r="F103" s="379">
        <v>0</v>
      </c>
      <c r="G103" s="380">
        <v>0</v>
      </c>
      <c r="H103" s="382">
        <v>0</v>
      </c>
      <c r="I103" s="379">
        <v>-1.257E-2</v>
      </c>
      <c r="J103" s="380">
        <v>-1.257E-2</v>
      </c>
      <c r="K103" s="390" t="s">
        <v>219</v>
      </c>
    </row>
    <row r="104" spans="1:11" ht="14.4" customHeight="1" thickBot="1" x14ac:dyDescent="0.35">
      <c r="A104" s="401" t="s">
        <v>318</v>
      </c>
      <c r="B104" s="379">
        <v>0</v>
      </c>
      <c r="C104" s="379">
        <v>-66.040499999999994</v>
      </c>
      <c r="D104" s="380">
        <v>-66.040499999999994</v>
      </c>
      <c r="E104" s="389" t="s">
        <v>219</v>
      </c>
      <c r="F104" s="379">
        <v>0</v>
      </c>
      <c r="G104" s="380">
        <v>0</v>
      </c>
      <c r="H104" s="382">
        <v>0</v>
      </c>
      <c r="I104" s="379">
        <v>-1.257E-2</v>
      </c>
      <c r="J104" s="380">
        <v>-1.257E-2</v>
      </c>
      <c r="K104" s="390" t="s">
        <v>219</v>
      </c>
    </row>
    <row r="105" spans="1:11" ht="14.4" customHeight="1" thickBot="1" x14ac:dyDescent="0.35">
      <c r="A105" s="404" t="s">
        <v>319</v>
      </c>
      <c r="B105" s="384">
        <v>2209.5467102518901</v>
      </c>
      <c r="C105" s="384">
        <v>1890.5381199999999</v>
      </c>
      <c r="D105" s="385">
        <v>-319.00859025188998</v>
      </c>
      <c r="E105" s="391">
        <v>0.85562260857700001</v>
      </c>
      <c r="F105" s="384">
        <v>1887.5464441189399</v>
      </c>
      <c r="G105" s="385">
        <v>786.47768504955798</v>
      </c>
      <c r="H105" s="387">
        <v>322.42615000000001</v>
      </c>
      <c r="I105" s="384">
        <v>1620.7815000000001</v>
      </c>
      <c r="J105" s="385">
        <v>834.303814950439</v>
      </c>
      <c r="K105" s="392">
        <v>0.85867105683599998</v>
      </c>
    </row>
    <row r="106" spans="1:11" ht="14.4" customHeight="1" thickBot="1" x14ac:dyDescent="0.35">
      <c r="A106" s="399" t="s">
        <v>27</v>
      </c>
      <c r="B106" s="379">
        <v>528.14337375316995</v>
      </c>
      <c r="C106" s="379">
        <v>436.35624000000098</v>
      </c>
      <c r="D106" s="380">
        <v>-91.787133753169002</v>
      </c>
      <c r="E106" s="381">
        <v>0.82620792323699999</v>
      </c>
      <c r="F106" s="379">
        <v>428.67098901855798</v>
      </c>
      <c r="G106" s="380">
        <v>178.61291209106599</v>
      </c>
      <c r="H106" s="382">
        <v>145.15419</v>
      </c>
      <c r="I106" s="379">
        <v>542.17206999999905</v>
      </c>
      <c r="J106" s="380">
        <v>363.559157908933</v>
      </c>
      <c r="K106" s="383">
        <v>1.264774346501</v>
      </c>
    </row>
    <row r="107" spans="1:11" ht="14.4" customHeight="1" thickBot="1" x14ac:dyDescent="0.35">
      <c r="A107" s="403" t="s">
        <v>320</v>
      </c>
      <c r="B107" s="379">
        <v>0</v>
      </c>
      <c r="C107" s="379">
        <v>-0.23957000000000001</v>
      </c>
      <c r="D107" s="380">
        <v>-0.23957000000000001</v>
      </c>
      <c r="E107" s="389" t="s">
        <v>219</v>
      </c>
      <c r="F107" s="379">
        <v>0</v>
      </c>
      <c r="G107" s="380">
        <v>0</v>
      </c>
      <c r="H107" s="382">
        <v>0</v>
      </c>
      <c r="I107" s="379">
        <v>-0.21501999999900001</v>
      </c>
      <c r="J107" s="380">
        <v>-0.21501999999900001</v>
      </c>
      <c r="K107" s="390" t="s">
        <v>219</v>
      </c>
    </row>
    <row r="108" spans="1:11" ht="14.4" customHeight="1" thickBot="1" x14ac:dyDescent="0.35">
      <c r="A108" s="401" t="s">
        <v>321</v>
      </c>
      <c r="B108" s="379">
        <v>0</v>
      </c>
      <c r="C108" s="379">
        <v>-0.23957000000000001</v>
      </c>
      <c r="D108" s="380">
        <v>-0.23957000000000001</v>
      </c>
      <c r="E108" s="389" t="s">
        <v>219</v>
      </c>
      <c r="F108" s="379">
        <v>0</v>
      </c>
      <c r="G108" s="380">
        <v>0</v>
      </c>
      <c r="H108" s="382">
        <v>0</v>
      </c>
      <c r="I108" s="379">
        <v>-0.21501999999900001</v>
      </c>
      <c r="J108" s="380">
        <v>-0.21501999999900001</v>
      </c>
      <c r="K108" s="390" t="s">
        <v>219</v>
      </c>
    </row>
    <row r="109" spans="1:11" ht="14.4" customHeight="1" thickBot="1" x14ac:dyDescent="0.35">
      <c r="A109" s="403" t="s">
        <v>322</v>
      </c>
      <c r="B109" s="379">
        <v>528.14337375316995</v>
      </c>
      <c r="C109" s="379">
        <v>436.35624000000098</v>
      </c>
      <c r="D109" s="380">
        <v>-91.787133753169002</v>
      </c>
      <c r="E109" s="381">
        <v>0.82620792323699999</v>
      </c>
      <c r="F109" s="379">
        <v>428.67098901855798</v>
      </c>
      <c r="G109" s="380">
        <v>178.61291209106599</v>
      </c>
      <c r="H109" s="382">
        <v>145.15419</v>
      </c>
      <c r="I109" s="379">
        <v>542.17206999999905</v>
      </c>
      <c r="J109" s="380">
        <v>363.559157908933</v>
      </c>
      <c r="K109" s="383">
        <v>1.264774346501</v>
      </c>
    </row>
    <row r="110" spans="1:11" ht="14.4" customHeight="1" thickBot="1" x14ac:dyDescent="0.35">
      <c r="A110" s="401" t="s">
        <v>323</v>
      </c>
      <c r="B110" s="379">
        <v>167.056585947446</v>
      </c>
      <c r="C110" s="379">
        <v>277.78410000000099</v>
      </c>
      <c r="D110" s="380">
        <v>110.72751405255499</v>
      </c>
      <c r="E110" s="381">
        <v>1.662814419584</v>
      </c>
      <c r="F110" s="379">
        <v>257.67779856657398</v>
      </c>
      <c r="G110" s="380">
        <v>107.365749402739</v>
      </c>
      <c r="H110" s="382">
        <v>9.2988499999999998</v>
      </c>
      <c r="I110" s="379">
        <v>60.33155</v>
      </c>
      <c r="J110" s="380">
        <v>-47.034199402738999</v>
      </c>
      <c r="K110" s="383">
        <v>0.234135615623</v>
      </c>
    </row>
    <row r="111" spans="1:11" ht="14.4" customHeight="1" thickBot="1" x14ac:dyDescent="0.35">
      <c r="A111" s="401" t="s">
        <v>324</v>
      </c>
      <c r="B111" s="379">
        <v>27.346253663534998</v>
      </c>
      <c r="C111" s="379">
        <v>9.1110000000000007</v>
      </c>
      <c r="D111" s="380">
        <v>-18.235253663535001</v>
      </c>
      <c r="E111" s="381">
        <v>0.333171779655</v>
      </c>
      <c r="F111" s="379">
        <v>18.395449776166998</v>
      </c>
      <c r="G111" s="380">
        <v>7.6647707400689997</v>
      </c>
      <c r="H111" s="382">
        <v>0</v>
      </c>
      <c r="I111" s="379">
        <v>11.266</v>
      </c>
      <c r="J111" s="380">
        <v>3.6012292599300002</v>
      </c>
      <c r="K111" s="383">
        <v>0.61243406043699999</v>
      </c>
    </row>
    <row r="112" spans="1:11" ht="14.4" customHeight="1" thickBot="1" x14ac:dyDescent="0.35">
      <c r="A112" s="401" t="s">
        <v>325</v>
      </c>
      <c r="B112" s="379">
        <v>209.69563746972301</v>
      </c>
      <c r="C112" s="379">
        <v>86.933700000000002</v>
      </c>
      <c r="D112" s="380">
        <v>-122.76193746972299</v>
      </c>
      <c r="E112" s="381">
        <v>0.41457085635599999</v>
      </c>
      <c r="F112" s="379">
        <v>4.5965631762869998</v>
      </c>
      <c r="G112" s="380">
        <v>1.9152346567859999</v>
      </c>
      <c r="H112" s="382">
        <v>126.16913</v>
      </c>
      <c r="I112" s="379">
        <v>336.471239999999</v>
      </c>
      <c r="J112" s="380">
        <v>334.55600534321297</v>
      </c>
      <c r="K112" s="383">
        <v>0</v>
      </c>
    </row>
    <row r="113" spans="1:11" ht="14.4" customHeight="1" thickBot="1" x14ac:dyDescent="0.35">
      <c r="A113" s="401" t="s">
        <v>326</v>
      </c>
      <c r="B113" s="379">
        <v>69.865076756744998</v>
      </c>
      <c r="C113" s="379">
        <v>7.6172000000000004</v>
      </c>
      <c r="D113" s="380">
        <v>-62.247876756745001</v>
      </c>
      <c r="E113" s="381">
        <v>0.109027290222</v>
      </c>
      <c r="F113" s="379">
        <v>12.331813544312</v>
      </c>
      <c r="G113" s="380">
        <v>5.1382556434630002</v>
      </c>
      <c r="H113" s="382">
        <v>4.3681000000000001</v>
      </c>
      <c r="I113" s="379">
        <v>111.90300999999999</v>
      </c>
      <c r="J113" s="380">
        <v>106.764754356536</v>
      </c>
      <c r="K113" s="383">
        <v>9.0743352223000002</v>
      </c>
    </row>
    <row r="114" spans="1:11" ht="14.4" customHeight="1" thickBot="1" x14ac:dyDescent="0.35">
      <c r="A114" s="401" t="s">
        <v>327</v>
      </c>
      <c r="B114" s="379">
        <v>54.179819915720003</v>
      </c>
      <c r="C114" s="379">
        <v>54.910240000000002</v>
      </c>
      <c r="D114" s="380">
        <v>0.73042008428000005</v>
      </c>
      <c r="E114" s="381">
        <v>1.0134814048</v>
      </c>
      <c r="F114" s="379">
        <v>42.468130445440003</v>
      </c>
      <c r="G114" s="380">
        <v>17.695054352267</v>
      </c>
      <c r="H114" s="382">
        <v>5.3181099999999999</v>
      </c>
      <c r="I114" s="379">
        <v>22.20027</v>
      </c>
      <c r="J114" s="380">
        <v>4.5052156477330003</v>
      </c>
      <c r="K114" s="383">
        <v>0.52275129060600001</v>
      </c>
    </row>
    <row r="115" spans="1:11" ht="14.4" customHeight="1" thickBot="1" x14ac:dyDescent="0.35">
      <c r="A115" s="401" t="s">
        <v>328</v>
      </c>
      <c r="B115" s="379">
        <v>0</v>
      </c>
      <c r="C115" s="379">
        <v>0</v>
      </c>
      <c r="D115" s="380">
        <v>0</v>
      </c>
      <c r="E115" s="381">
        <v>1</v>
      </c>
      <c r="F115" s="379">
        <v>2.6909043182839998</v>
      </c>
      <c r="G115" s="380">
        <v>1.121210132618</v>
      </c>
      <c r="H115" s="382">
        <v>0</v>
      </c>
      <c r="I115" s="379">
        <v>0</v>
      </c>
      <c r="J115" s="380">
        <v>-1.121210132618</v>
      </c>
      <c r="K115" s="383">
        <v>0</v>
      </c>
    </row>
    <row r="116" spans="1:11" ht="14.4" customHeight="1" thickBot="1" x14ac:dyDescent="0.35">
      <c r="A116" s="401" t="s">
        <v>329</v>
      </c>
      <c r="B116" s="379">
        <v>0</v>
      </c>
      <c r="C116" s="379">
        <v>0</v>
      </c>
      <c r="D116" s="380">
        <v>0</v>
      </c>
      <c r="E116" s="381">
        <v>1</v>
      </c>
      <c r="F116" s="379">
        <v>68.344534287452007</v>
      </c>
      <c r="G116" s="380">
        <v>28.476889286437999</v>
      </c>
      <c r="H116" s="382">
        <v>0</v>
      </c>
      <c r="I116" s="379">
        <v>0</v>
      </c>
      <c r="J116" s="380">
        <v>-28.476889286437999</v>
      </c>
      <c r="K116" s="383">
        <v>0</v>
      </c>
    </row>
    <row r="117" spans="1:11" ht="14.4" customHeight="1" thickBot="1" x14ac:dyDescent="0.35">
      <c r="A117" s="401" t="s">
        <v>330</v>
      </c>
      <c r="B117" s="379">
        <v>0</v>
      </c>
      <c r="C117" s="379">
        <v>0</v>
      </c>
      <c r="D117" s="380">
        <v>0</v>
      </c>
      <c r="E117" s="381">
        <v>1</v>
      </c>
      <c r="F117" s="379">
        <v>22.165794904037998</v>
      </c>
      <c r="G117" s="380">
        <v>9.2357478766819998</v>
      </c>
      <c r="H117" s="382">
        <v>0</v>
      </c>
      <c r="I117" s="379">
        <v>0</v>
      </c>
      <c r="J117" s="380">
        <v>-9.2357478766819998</v>
      </c>
      <c r="K117" s="383">
        <v>0</v>
      </c>
    </row>
    <row r="118" spans="1:11" ht="14.4" customHeight="1" thickBot="1" x14ac:dyDescent="0.35">
      <c r="A118" s="400" t="s">
        <v>331</v>
      </c>
      <c r="B118" s="384">
        <v>0</v>
      </c>
      <c r="C118" s="384">
        <v>0.23957000000000001</v>
      </c>
      <c r="D118" s="385">
        <v>0.23957000000000001</v>
      </c>
      <c r="E118" s="386" t="s">
        <v>219</v>
      </c>
      <c r="F118" s="384">
        <v>0</v>
      </c>
      <c r="G118" s="385">
        <v>0</v>
      </c>
      <c r="H118" s="387">
        <v>0</v>
      </c>
      <c r="I118" s="384">
        <v>0.21501999999900001</v>
      </c>
      <c r="J118" s="385">
        <v>0.21501999999900001</v>
      </c>
      <c r="K118" s="388" t="s">
        <v>219</v>
      </c>
    </row>
    <row r="119" spans="1:11" ht="14.4" customHeight="1" thickBot="1" x14ac:dyDescent="0.35">
      <c r="A119" s="401" t="s">
        <v>332</v>
      </c>
      <c r="B119" s="379">
        <v>0</v>
      </c>
      <c r="C119" s="379">
        <v>0.23957000000000001</v>
      </c>
      <c r="D119" s="380">
        <v>0.23957000000000001</v>
      </c>
      <c r="E119" s="389" t="s">
        <v>219</v>
      </c>
      <c r="F119" s="379">
        <v>0</v>
      </c>
      <c r="G119" s="380">
        <v>0</v>
      </c>
      <c r="H119" s="382">
        <v>0</v>
      </c>
      <c r="I119" s="379">
        <v>0.21501999999900001</v>
      </c>
      <c r="J119" s="380">
        <v>0.21501999999900001</v>
      </c>
      <c r="K119" s="390" t="s">
        <v>219</v>
      </c>
    </row>
    <row r="120" spans="1:11" ht="14.4" customHeight="1" thickBot="1" x14ac:dyDescent="0.35">
      <c r="A120" s="402" t="s">
        <v>28</v>
      </c>
      <c r="B120" s="384">
        <v>0</v>
      </c>
      <c r="C120" s="384">
        <v>56.634999999999998</v>
      </c>
      <c r="D120" s="385">
        <v>56.634999999999998</v>
      </c>
      <c r="E120" s="386" t="s">
        <v>219</v>
      </c>
      <c r="F120" s="384">
        <v>0</v>
      </c>
      <c r="G120" s="385">
        <v>0</v>
      </c>
      <c r="H120" s="387">
        <v>7.3220000000000001</v>
      </c>
      <c r="I120" s="384">
        <v>44.337000000000003</v>
      </c>
      <c r="J120" s="385">
        <v>44.337000000000003</v>
      </c>
      <c r="K120" s="388" t="s">
        <v>219</v>
      </c>
    </row>
    <row r="121" spans="1:11" ht="14.4" customHeight="1" thickBot="1" x14ac:dyDescent="0.35">
      <c r="A121" s="400" t="s">
        <v>333</v>
      </c>
      <c r="B121" s="384">
        <v>0</v>
      </c>
      <c r="C121" s="384">
        <v>56.634999999999998</v>
      </c>
      <c r="D121" s="385">
        <v>56.634999999999998</v>
      </c>
      <c r="E121" s="386" t="s">
        <v>219</v>
      </c>
      <c r="F121" s="384">
        <v>0</v>
      </c>
      <c r="G121" s="385">
        <v>0</v>
      </c>
      <c r="H121" s="387">
        <v>0.77800000000000002</v>
      </c>
      <c r="I121" s="384">
        <v>37.792999999999999</v>
      </c>
      <c r="J121" s="385">
        <v>37.792999999999999</v>
      </c>
      <c r="K121" s="388" t="s">
        <v>219</v>
      </c>
    </row>
    <row r="122" spans="1:11" ht="14.4" customHeight="1" thickBot="1" x14ac:dyDescent="0.35">
      <c r="A122" s="401" t="s">
        <v>334</v>
      </c>
      <c r="B122" s="379">
        <v>0</v>
      </c>
      <c r="C122" s="379">
        <v>43.424999999999997</v>
      </c>
      <c r="D122" s="380">
        <v>43.424999999999997</v>
      </c>
      <c r="E122" s="389" t="s">
        <v>219</v>
      </c>
      <c r="F122" s="379">
        <v>0</v>
      </c>
      <c r="G122" s="380">
        <v>0</v>
      </c>
      <c r="H122" s="382">
        <v>0.77800000000000002</v>
      </c>
      <c r="I122" s="379">
        <v>35.414000000000001</v>
      </c>
      <c r="J122" s="380">
        <v>35.414000000000001</v>
      </c>
      <c r="K122" s="390" t="s">
        <v>219</v>
      </c>
    </row>
    <row r="123" spans="1:11" ht="14.4" customHeight="1" thickBot="1" x14ac:dyDescent="0.35">
      <c r="A123" s="401" t="s">
        <v>335</v>
      </c>
      <c r="B123" s="379">
        <v>0</v>
      </c>
      <c r="C123" s="379">
        <v>13.21</v>
      </c>
      <c r="D123" s="380">
        <v>13.21</v>
      </c>
      <c r="E123" s="389" t="s">
        <v>219</v>
      </c>
      <c r="F123" s="379">
        <v>0</v>
      </c>
      <c r="G123" s="380">
        <v>0</v>
      </c>
      <c r="H123" s="382">
        <v>0</v>
      </c>
      <c r="I123" s="379">
        <v>2.379</v>
      </c>
      <c r="J123" s="380">
        <v>2.379</v>
      </c>
      <c r="K123" s="390" t="s">
        <v>219</v>
      </c>
    </row>
    <row r="124" spans="1:11" ht="14.4" customHeight="1" thickBot="1" x14ac:dyDescent="0.35">
      <c r="A124" s="400" t="s">
        <v>336</v>
      </c>
      <c r="B124" s="384">
        <v>0</v>
      </c>
      <c r="C124" s="384">
        <v>0</v>
      </c>
      <c r="D124" s="385">
        <v>0</v>
      </c>
      <c r="E124" s="391">
        <v>1</v>
      </c>
      <c r="F124" s="384">
        <v>0</v>
      </c>
      <c r="G124" s="385">
        <v>0</v>
      </c>
      <c r="H124" s="387">
        <v>6.5439999999999996</v>
      </c>
      <c r="I124" s="384">
        <v>6.5439999999999996</v>
      </c>
      <c r="J124" s="385">
        <v>6.5439999999999996</v>
      </c>
      <c r="K124" s="388" t="s">
        <v>231</v>
      </c>
    </row>
    <row r="125" spans="1:11" ht="14.4" customHeight="1" thickBot="1" x14ac:dyDescent="0.35">
      <c r="A125" s="401" t="s">
        <v>337</v>
      </c>
      <c r="B125" s="379">
        <v>0</v>
      </c>
      <c r="C125" s="379">
        <v>0</v>
      </c>
      <c r="D125" s="380">
        <v>0</v>
      </c>
      <c r="E125" s="381">
        <v>1</v>
      </c>
      <c r="F125" s="379">
        <v>0</v>
      </c>
      <c r="G125" s="380">
        <v>0</v>
      </c>
      <c r="H125" s="382">
        <v>6.5439999999999996</v>
      </c>
      <c r="I125" s="379">
        <v>6.5439999999999996</v>
      </c>
      <c r="J125" s="380">
        <v>6.5439999999999996</v>
      </c>
      <c r="K125" s="390" t="s">
        <v>231</v>
      </c>
    </row>
    <row r="126" spans="1:11" ht="14.4" customHeight="1" thickBot="1" x14ac:dyDescent="0.35">
      <c r="A126" s="399" t="s">
        <v>29</v>
      </c>
      <c r="B126" s="379">
        <v>1681.4033364987199</v>
      </c>
      <c r="C126" s="379">
        <v>1397.5468800000001</v>
      </c>
      <c r="D126" s="380">
        <v>-283.856456498721</v>
      </c>
      <c r="E126" s="381">
        <v>0.83117884309000001</v>
      </c>
      <c r="F126" s="379">
        <v>1458.8754551003799</v>
      </c>
      <c r="G126" s="380">
        <v>607.86477295849204</v>
      </c>
      <c r="H126" s="382">
        <v>169.94996</v>
      </c>
      <c r="I126" s="379">
        <v>1034.27243</v>
      </c>
      <c r="J126" s="380">
        <v>426.40765704150601</v>
      </c>
      <c r="K126" s="383">
        <v>0.70895183436200004</v>
      </c>
    </row>
    <row r="127" spans="1:11" ht="14.4" customHeight="1" thickBot="1" x14ac:dyDescent="0.35">
      <c r="A127" s="400" t="s">
        <v>338</v>
      </c>
      <c r="B127" s="384">
        <v>0</v>
      </c>
      <c r="C127" s="384">
        <v>-6.0403799999999999</v>
      </c>
      <c r="D127" s="385">
        <v>-6.0403799999999999</v>
      </c>
      <c r="E127" s="386" t="s">
        <v>219</v>
      </c>
      <c r="F127" s="384">
        <v>0</v>
      </c>
      <c r="G127" s="385">
        <v>0</v>
      </c>
      <c r="H127" s="387">
        <v>0</v>
      </c>
      <c r="I127" s="384">
        <v>-1.38971</v>
      </c>
      <c r="J127" s="385">
        <v>-1.38971</v>
      </c>
      <c r="K127" s="388" t="s">
        <v>219</v>
      </c>
    </row>
    <row r="128" spans="1:11" ht="14.4" customHeight="1" thickBot="1" x14ac:dyDescent="0.35">
      <c r="A128" s="401" t="s">
        <v>339</v>
      </c>
      <c r="B128" s="379">
        <v>0</v>
      </c>
      <c r="C128" s="379">
        <v>-6.0403799999999999</v>
      </c>
      <c r="D128" s="380">
        <v>-6.0403799999999999</v>
      </c>
      <c r="E128" s="389" t="s">
        <v>219</v>
      </c>
      <c r="F128" s="379">
        <v>0</v>
      </c>
      <c r="G128" s="380">
        <v>0</v>
      </c>
      <c r="H128" s="382">
        <v>0</v>
      </c>
      <c r="I128" s="379">
        <v>-1.38971</v>
      </c>
      <c r="J128" s="380">
        <v>-1.38971</v>
      </c>
      <c r="K128" s="390" t="s">
        <v>219</v>
      </c>
    </row>
    <row r="129" spans="1:11" ht="14.4" customHeight="1" thickBot="1" x14ac:dyDescent="0.35">
      <c r="A129" s="400" t="s">
        <v>340</v>
      </c>
      <c r="B129" s="384">
        <v>80.039227841916997</v>
      </c>
      <c r="C129" s="384">
        <v>56.863349999999997</v>
      </c>
      <c r="D129" s="385">
        <v>-23.175877841917</v>
      </c>
      <c r="E129" s="391">
        <v>0.71044351042800002</v>
      </c>
      <c r="F129" s="384">
        <v>57.041776191848001</v>
      </c>
      <c r="G129" s="385">
        <v>23.767406746603001</v>
      </c>
      <c r="H129" s="387">
        <v>2.8001100000000001</v>
      </c>
      <c r="I129" s="384">
        <v>15.18305</v>
      </c>
      <c r="J129" s="385">
        <v>-8.5843567466029995</v>
      </c>
      <c r="K129" s="392">
        <v>0.26617421499799998</v>
      </c>
    </row>
    <row r="130" spans="1:11" ht="14.4" customHeight="1" thickBot="1" x14ac:dyDescent="0.35">
      <c r="A130" s="401" t="s">
        <v>341</v>
      </c>
      <c r="B130" s="379">
        <v>40.023274550963997</v>
      </c>
      <c r="C130" s="379">
        <v>17.842860000000002</v>
      </c>
      <c r="D130" s="380">
        <v>-22.180414550963999</v>
      </c>
      <c r="E130" s="381">
        <v>0.44581209809</v>
      </c>
      <c r="F130" s="379">
        <v>17.813838615091999</v>
      </c>
      <c r="G130" s="380">
        <v>7.4224327562879999</v>
      </c>
      <c r="H130" s="382">
        <v>0.12609999999999999</v>
      </c>
      <c r="I130" s="379">
        <v>1.155</v>
      </c>
      <c r="J130" s="380">
        <v>-6.2674327562879997</v>
      </c>
      <c r="K130" s="383">
        <v>6.4837232723999993E-2</v>
      </c>
    </row>
    <row r="131" spans="1:11" ht="14.4" customHeight="1" thickBot="1" x14ac:dyDescent="0.35">
      <c r="A131" s="401" t="s">
        <v>342</v>
      </c>
      <c r="B131" s="379">
        <v>40.015953290953</v>
      </c>
      <c r="C131" s="379">
        <v>39.020490000000002</v>
      </c>
      <c r="D131" s="380">
        <v>-0.99546329095300001</v>
      </c>
      <c r="E131" s="381">
        <v>0.97512333934100004</v>
      </c>
      <c r="F131" s="379">
        <v>39.227937576755998</v>
      </c>
      <c r="G131" s="380">
        <v>16.344973990315001</v>
      </c>
      <c r="H131" s="382">
        <v>2.67401</v>
      </c>
      <c r="I131" s="379">
        <v>14.02805</v>
      </c>
      <c r="J131" s="380">
        <v>-2.3169239903149998</v>
      </c>
      <c r="K131" s="383">
        <v>0.35760355671299998</v>
      </c>
    </row>
    <row r="132" spans="1:11" ht="14.4" customHeight="1" thickBot="1" x14ac:dyDescent="0.35">
      <c r="A132" s="400" t="s">
        <v>343</v>
      </c>
      <c r="B132" s="384">
        <v>0</v>
      </c>
      <c r="C132" s="384">
        <v>1.62</v>
      </c>
      <c r="D132" s="385">
        <v>1.62</v>
      </c>
      <c r="E132" s="386" t="s">
        <v>231</v>
      </c>
      <c r="F132" s="384">
        <v>1.9999999999989999</v>
      </c>
      <c r="G132" s="385">
        <v>0.83333333333299997</v>
      </c>
      <c r="H132" s="387">
        <v>0</v>
      </c>
      <c r="I132" s="384">
        <v>0.80999999999899996</v>
      </c>
      <c r="J132" s="385">
        <v>-2.3333333333E-2</v>
      </c>
      <c r="K132" s="392">
        <v>0.40500000000000003</v>
      </c>
    </row>
    <row r="133" spans="1:11" ht="14.4" customHeight="1" thickBot="1" x14ac:dyDescent="0.35">
      <c r="A133" s="401" t="s">
        <v>344</v>
      </c>
      <c r="B133" s="379">
        <v>0</v>
      </c>
      <c r="C133" s="379">
        <v>1.62</v>
      </c>
      <c r="D133" s="380">
        <v>1.62</v>
      </c>
      <c r="E133" s="389" t="s">
        <v>231</v>
      </c>
      <c r="F133" s="379">
        <v>1.9999999999989999</v>
      </c>
      <c r="G133" s="380">
        <v>0.83333333333299997</v>
      </c>
      <c r="H133" s="382">
        <v>0</v>
      </c>
      <c r="I133" s="379">
        <v>0.80999999999899996</v>
      </c>
      <c r="J133" s="380">
        <v>-2.3333333333E-2</v>
      </c>
      <c r="K133" s="383">
        <v>0.40500000000000003</v>
      </c>
    </row>
    <row r="134" spans="1:11" ht="14.4" customHeight="1" thickBot="1" x14ac:dyDescent="0.35">
      <c r="A134" s="400" t="s">
        <v>345</v>
      </c>
      <c r="B134" s="384">
        <v>456.683952939373</v>
      </c>
      <c r="C134" s="384">
        <v>418.86836000000102</v>
      </c>
      <c r="D134" s="385">
        <v>-37.815592939372003</v>
      </c>
      <c r="E134" s="391">
        <v>0.91719526666899998</v>
      </c>
      <c r="F134" s="384">
        <v>427.604758258907</v>
      </c>
      <c r="G134" s="385">
        <v>178.16864927454401</v>
      </c>
      <c r="H134" s="387">
        <v>38.249229999999997</v>
      </c>
      <c r="I134" s="384">
        <v>196.64193</v>
      </c>
      <c r="J134" s="385">
        <v>18.473280725455002</v>
      </c>
      <c r="K134" s="392">
        <v>0.45986843271</v>
      </c>
    </row>
    <row r="135" spans="1:11" ht="14.4" customHeight="1" thickBot="1" x14ac:dyDescent="0.35">
      <c r="A135" s="401" t="s">
        <v>346</v>
      </c>
      <c r="B135" s="379">
        <v>411.67178664397602</v>
      </c>
      <c r="C135" s="379">
        <v>380.63688000000099</v>
      </c>
      <c r="D135" s="380">
        <v>-31.034906643974999</v>
      </c>
      <c r="E135" s="381">
        <v>0.92461250041599996</v>
      </c>
      <c r="F135" s="379">
        <v>393.76690511269499</v>
      </c>
      <c r="G135" s="380">
        <v>164.069543796956</v>
      </c>
      <c r="H135" s="382">
        <v>33.409649999999999</v>
      </c>
      <c r="I135" s="379">
        <v>161.87656999999999</v>
      </c>
      <c r="J135" s="380">
        <v>-2.1929737969560001</v>
      </c>
      <c r="K135" s="383">
        <v>0.411097448511</v>
      </c>
    </row>
    <row r="136" spans="1:11" ht="14.4" customHeight="1" thickBot="1" x14ac:dyDescent="0.35">
      <c r="A136" s="401" t="s">
        <v>347</v>
      </c>
      <c r="B136" s="379">
        <v>11.736888831096</v>
      </c>
      <c r="C136" s="379">
        <v>5.4691999999999998</v>
      </c>
      <c r="D136" s="380">
        <v>-6.2676888310959997</v>
      </c>
      <c r="E136" s="381">
        <v>0.46598379508400001</v>
      </c>
      <c r="F136" s="379">
        <v>0</v>
      </c>
      <c r="G136" s="380">
        <v>0</v>
      </c>
      <c r="H136" s="382">
        <v>0</v>
      </c>
      <c r="I136" s="379">
        <v>18.252849999999</v>
      </c>
      <c r="J136" s="380">
        <v>18.252849999999</v>
      </c>
      <c r="K136" s="390" t="s">
        <v>219</v>
      </c>
    </row>
    <row r="137" spans="1:11" ht="14.4" customHeight="1" thickBot="1" x14ac:dyDescent="0.35">
      <c r="A137" s="401" t="s">
        <v>348</v>
      </c>
      <c r="B137" s="379">
        <v>0.99009900989999999</v>
      </c>
      <c r="C137" s="379">
        <v>1.3069999999999999</v>
      </c>
      <c r="D137" s="380">
        <v>0.31690099009900002</v>
      </c>
      <c r="E137" s="381">
        <v>1.3200700000000001</v>
      </c>
      <c r="F137" s="379">
        <v>1.281348680759</v>
      </c>
      <c r="G137" s="380">
        <v>0.53389528364899996</v>
      </c>
      <c r="H137" s="382">
        <v>0</v>
      </c>
      <c r="I137" s="379">
        <v>0.36299999999999999</v>
      </c>
      <c r="J137" s="380">
        <v>-0.170895283649</v>
      </c>
      <c r="K137" s="383">
        <v>0.28329525401599998</v>
      </c>
    </row>
    <row r="138" spans="1:11" ht="14.4" customHeight="1" thickBot="1" x14ac:dyDescent="0.35">
      <c r="A138" s="401" t="s">
        <v>349</v>
      </c>
      <c r="B138" s="379">
        <v>32.285178454399002</v>
      </c>
      <c r="C138" s="379">
        <v>31.455279999999998</v>
      </c>
      <c r="D138" s="380">
        <v>-0.82989845439900001</v>
      </c>
      <c r="E138" s="381">
        <v>0.97429475399700005</v>
      </c>
      <c r="F138" s="379">
        <v>32.556504465450999</v>
      </c>
      <c r="G138" s="380">
        <v>13.565210193938</v>
      </c>
      <c r="H138" s="382">
        <v>2.0289199999999998</v>
      </c>
      <c r="I138" s="379">
        <v>9.6083599999999993</v>
      </c>
      <c r="J138" s="380">
        <v>-3.9568501939380001</v>
      </c>
      <c r="K138" s="383">
        <v>0.29512873564699998</v>
      </c>
    </row>
    <row r="139" spans="1:11" ht="14.4" customHeight="1" thickBot="1" x14ac:dyDescent="0.35">
      <c r="A139" s="401" t="s">
        <v>350</v>
      </c>
      <c r="B139" s="379">
        <v>0</v>
      </c>
      <c r="C139" s="379">
        <v>0</v>
      </c>
      <c r="D139" s="380">
        <v>0</v>
      </c>
      <c r="E139" s="381">
        <v>1</v>
      </c>
      <c r="F139" s="379">
        <v>0</v>
      </c>
      <c r="G139" s="380">
        <v>0</v>
      </c>
      <c r="H139" s="382">
        <v>2.8106599999999999</v>
      </c>
      <c r="I139" s="379">
        <v>6.5411499999989999</v>
      </c>
      <c r="J139" s="380">
        <v>6.5411499999989999</v>
      </c>
      <c r="K139" s="390" t="s">
        <v>231</v>
      </c>
    </row>
    <row r="140" spans="1:11" ht="14.4" customHeight="1" thickBot="1" x14ac:dyDescent="0.35">
      <c r="A140" s="400" t="s">
        <v>351</v>
      </c>
      <c r="B140" s="384">
        <v>1020.79290904397</v>
      </c>
      <c r="C140" s="384">
        <v>752.57517000000098</v>
      </c>
      <c r="D140" s="385">
        <v>-268.217739043964</v>
      </c>
      <c r="E140" s="391">
        <v>0.73724568747700003</v>
      </c>
      <c r="F140" s="384">
        <v>782.22892064962696</v>
      </c>
      <c r="G140" s="385">
        <v>325.92871693734401</v>
      </c>
      <c r="H140" s="387">
        <v>49.893619999999999</v>
      </c>
      <c r="I140" s="384">
        <v>708.43263999999897</v>
      </c>
      <c r="J140" s="385">
        <v>382.50392306265502</v>
      </c>
      <c r="K140" s="392">
        <v>0.90565897181499999</v>
      </c>
    </row>
    <row r="141" spans="1:11" ht="14.4" customHeight="1" thickBot="1" x14ac:dyDescent="0.35">
      <c r="A141" s="401" t="s">
        <v>352</v>
      </c>
      <c r="B141" s="379">
        <v>40.227738858510001</v>
      </c>
      <c r="C141" s="379">
        <v>0</v>
      </c>
      <c r="D141" s="380">
        <v>-40.227738858510001</v>
      </c>
      <c r="E141" s="381">
        <v>0</v>
      </c>
      <c r="F141" s="379">
        <v>0</v>
      </c>
      <c r="G141" s="380">
        <v>0</v>
      </c>
      <c r="H141" s="382">
        <v>0</v>
      </c>
      <c r="I141" s="379">
        <v>4.63</v>
      </c>
      <c r="J141" s="380">
        <v>4.63</v>
      </c>
      <c r="K141" s="390" t="s">
        <v>231</v>
      </c>
    </row>
    <row r="142" spans="1:11" ht="14.4" customHeight="1" thickBot="1" x14ac:dyDescent="0.35">
      <c r="A142" s="401" t="s">
        <v>353</v>
      </c>
      <c r="B142" s="379">
        <v>255.02253579304801</v>
      </c>
      <c r="C142" s="379">
        <v>278.29691000000099</v>
      </c>
      <c r="D142" s="380">
        <v>23.274374206952</v>
      </c>
      <c r="E142" s="381">
        <v>1.0912639901979999</v>
      </c>
      <c r="F142" s="379">
        <v>298.60065412739101</v>
      </c>
      <c r="G142" s="380">
        <v>124.416939219746</v>
      </c>
      <c r="H142" s="382">
        <v>27.212499999999999</v>
      </c>
      <c r="I142" s="379">
        <v>226.30456999999899</v>
      </c>
      <c r="J142" s="380">
        <v>101.88763078025301</v>
      </c>
      <c r="K142" s="383">
        <v>0.75788370478</v>
      </c>
    </row>
    <row r="143" spans="1:11" ht="14.4" customHeight="1" thickBot="1" x14ac:dyDescent="0.35">
      <c r="A143" s="401" t="s">
        <v>354</v>
      </c>
      <c r="B143" s="379">
        <v>180.990286483462</v>
      </c>
      <c r="C143" s="379">
        <v>77.230400000000003</v>
      </c>
      <c r="D143" s="380">
        <v>-103.759886483462</v>
      </c>
      <c r="E143" s="381">
        <v>0.42671019257699999</v>
      </c>
      <c r="F143" s="379">
        <v>103</v>
      </c>
      <c r="G143" s="380">
        <v>42.916666666666003</v>
      </c>
      <c r="H143" s="382">
        <v>22.68112</v>
      </c>
      <c r="I143" s="379">
        <v>34.439120000000003</v>
      </c>
      <c r="J143" s="380">
        <v>-8.4775466666660009</v>
      </c>
      <c r="K143" s="383">
        <v>0.334360388349</v>
      </c>
    </row>
    <row r="144" spans="1:11" ht="14.4" customHeight="1" thickBot="1" x14ac:dyDescent="0.35">
      <c r="A144" s="401" t="s">
        <v>355</v>
      </c>
      <c r="B144" s="379">
        <v>514.02897888179598</v>
      </c>
      <c r="C144" s="379">
        <v>356.16314999999997</v>
      </c>
      <c r="D144" s="380">
        <v>-157.86582888179601</v>
      </c>
      <c r="E144" s="381">
        <v>0.69288535205599999</v>
      </c>
      <c r="F144" s="379">
        <v>335.58393497401602</v>
      </c>
      <c r="G144" s="380">
        <v>139.82663957250699</v>
      </c>
      <c r="H144" s="382">
        <v>0</v>
      </c>
      <c r="I144" s="379">
        <v>443.05894999999998</v>
      </c>
      <c r="J144" s="380">
        <v>303.23231042749302</v>
      </c>
      <c r="K144" s="383">
        <v>1.3202626938449999</v>
      </c>
    </row>
    <row r="145" spans="1:11" ht="14.4" customHeight="1" thickBot="1" x14ac:dyDescent="0.35">
      <c r="A145" s="401" t="s">
        <v>356</v>
      </c>
      <c r="B145" s="379">
        <v>30.523369027148998</v>
      </c>
      <c r="C145" s="379">
        <v>40.884709999999998</v>
      </c>
      <c r="D145" s="380">
        <v>10.361340972851</v>
      </c>
      <c r="E145" s="381">
        <v>1.3394560070879999</v>
      </c>
      <c r="F145" s="379">
        <v>45.044331548218999</v>
      </c>
      <c r="G145" s="380">
        <v>18.768471478424001</v>
      </c>
      <c r="H145" s="382">
        <v>0</v>
      </c>
      <c r="I145" s="379">
        <v>0</v>
      </c>
      <c r="J145" s="380">
        <v>-18.768471478424001</v>
      </c>
      <c r="K145" s="383">
        <v>0</v>
      </c>
    </row>
    <row r="146" spans="1:11" ht="14.4" customHeight="1" thickBot="1" x14ac:dyDescent="0.35">
      <c r="A146" s="400" t="s">
        <v>357</v>
      </c>
      <c r="B146" s="384">
        <v>123.887246673467</v>
      </c>
      <c r="C146" s="384">
        <v>167.62</v>
      </c>
      <c r="D146" s="385">
        <v>43.732753326533</v>
      </c>
      <c r="E146" s="391">
        <v>1.3530044819039999</v>
      </c>
      <c r="F146" s="384">
        <v>190</v>
      </c>
      <c r="G146" s="385">
        <v>79.166666666666003</v>
      </c>
      <c r="H146" s="387">
        <v>79.007000000000005</v>
      </c>
      <c r="I146" s="384">
        <v>113.20480999999999</v>
      </c>
      <c r="J146" s="385">
        <v>34.038143333332997</v>
      </c>
      <c r="K146" s="392">
        <v>0.59581478947300004</v>
      </c>
    </row>
    <row r="147" spans="1:11" ht="14.4" customHeight="1" thickBot="1" x14ac:dyDescent="0.35">
      <c r="A147" s="401" t="s">
        <v>358</v>
      </c>
      <c r="B147" s="379">
        <v>3.8872466734670001</v>
      </c>
      <c r="C147" s="379">
        <v>0</v>
      </c>
      <c r="D147" s="380">
        <v>-3.8872466734670001</v>
      </c>
      <c r="E147" s="381">
        <v>0</v>
      </c>
      <c r="F147" s="379">
        <v>0</v>
      </c>
      <c r="G147" s="380">
        <v>0</v>
      </c>
      <c r="H147" s="382">
        <v>0</v>
      </c>
      <c r="I147" s="379">
        <v>2.6859999999999999</v>
      </c>
      <c r="J147" s="380">
        <v>2.6859999999999999</v>
      </c>
      <c r="K147" s="390" t="s">
        <v>219</v>
      </c>
    </row>
    <row r="148" spans="1:11" ht="14.4" customHeight="1" thickBot="1" x14ac:dyDescent="0.35">
      <c r="A148" s="401" t="s">
        <v>359</v>
      </c>
      <c r="B148" s="379">
        <v>70</v>
      </c>
      <c r="C148" s="379">
        <v>124.90600000000001</v>
      </c>
      <c r="D148" s="380">
        <v>54.905999999999999</v>
      </c>
      <c r="E148" s="381">
        <v>1.784371428571</v>
      </c>
      <c r="F148" s="379">
        <v>140</v>
      </c>
      <c r="G148" s="380">
        <v>58.333333333333002</v>
      </c>
      <c r="H148" s="382">
        <v>70.445999999999998</v>
      </c>
      <c r="I148" s="379">
        <v>84.156999999999996</v>
      </c>
      <c r="J148" s="380">
        <v>25.823666666666</v>
      </c>
      <c r="K148" s="383">
        <v>0.60112142857100004</v>
      </c>
    </row>
    <row r="149" spans="1:11" ht="14.4" customHeight="1" thickBot="1" x14ac:dyDescent="0.35">
      <c r="A149" s="401" t="s">
        <v>360</v>
      </c>
      <c r="B149" s="379">
        <v>50</v>
      </c>
      <c r="C149" s="379">
        <v>0</v>
      </c>
      <c r="D149" s="380">
        <v>-50</v>
      </c>
      <c r="E149" s="381">
        <v>0</v>
      </c>
      <c r="F149" s="379">
        <v>50</v>
      </c>
      <c r="G149" s="380">
        <v>20.833333333333002</v>
      </c>
      <c r="H149" s="382">
        <v>0</v>
      </c>
      <c r="I149" s="379">
        <v>0</v>
      </c>
      <c r="J149" s="380">
        <v>-20.833333333333002</v>
      </c>
      <c r="K149" s="383">
        <v>0</v>
      </c>
    </row>
    <row r="150" spans="1:11" ht="14.4" customHeight="1" thickBot="1" x14ac:dyDescent="0.35">
      <c r="A150" s="401" t="s">
        <v>361</v>
      </c>
      <c r="B150" s="379">
        <v>0</v>
      </c>
      <c r="C150" s="379">
        <v>42.713999999999999</v>
      </c>
      <c r="D150" s="380">
        <v>42.713999999999999</v>
      </c>
      <c r="E150" s="389" t="s">
        <v>219</v>
      </c>
      <c r="F150" s="379">
        <v>0</v>
      </c>
      <c r="G150" s="380">
        <v>0</v>
      </c>
      <c r="H150" s="382">
        <v>8.5609999999999999</v>
      </c>
      <c r="I150" s="379">
        <v>26.361809999999998</v>
      </c>
      <c r="J150" s="380">
        <v>26.361809999999998</v>
      </c>
      <c r="K150" s="390" t="s">
        <v>219</v>
      </c>
    </row>
    <row r="151" spans="1:11" ht="14.4" customHeight="1" thickBot="1" x14ac:dyDescent="0.35">
      <c r="A151" s="400" t="s">
        <v>362</v>
      </c>
      <c r="B151" s="384">
        <v>0</v>
      </c>
      <c r="C151" s="384">
        <v>6.0403799999999999</v>
      </c>
      <c r="D151" s="385">
        <v>6.0403799999999999</v>
      </c>
      <c r="E151" s="386" t="s">
        <v>219</v>
      </c>
      <c r="F151" s="384">
        <v>0</v>
      </c>
      <c r="G151" s="385">
        <v>0</v>
      </c>
      <c r="H151" s="387">
        <v>0</v>
      </c>
      <c r="I151" s="384">
        <v>1.38971</v>
      </c>
      <c r="J151" s="385">
        <v>1.38971</v>
      </c>
      <c r="K151" s="388" t="s">
        <v>219</v>
      </c>
    </row>
    <row r="152" spans="1:11" ht="14.4" customHeight="1" thickBot="1" x14ac:dyDescent="0.35">
      <c r="A152" s="401" t="s">
        <v>363</v>
      </c>
      <c r="B152" s="379">
        <v>0</v>
      </c>
      <c r="C152" s="379">
        <v>0.92071999999999998</v>
      </c>
      <c r="D152" s="380">
        <v>0.92071999999999998</v>
      </c>
      <c r="E152" s="389" t="s">
        <v>219</v>
      </c>
      <c r="F152" s="379">
        <v>0</v>
      </c>
      <c r="G152" s="380">
        <v>0</v>
      </c>
      <c r="H152" s="382">
        <v>0</v>
      </c>
      <c r="I152" s="379">
        <v>0.27413999999900002</v>
      </c>
      <c r="J152" s="380">
        <v>0.27413999999900002</v>
      </c>
      <c r="K152" s="390" t="s">
        <v>219</v>
      </c>
    </row>
    <row r="153" spans="1:11" ht="14.4" customHeight="1" thickBot="1" x14ac:dyDescent="0.35">
      <c r="A153" s="401" t="s">
        <v>364</v>
      </c>
      <c r="B153" s="379">
        <v>0</v>
      </c>
      <c r="C153" s="379">
        <v>3.3601700000000001</v>
      </c>
      <c r="D153" s="380">
        <v>3.3601700000000001</v>
      </c>
      <c r="E153" s="389" t="s">
        <v>219</v>
      </c>
      <c r="F153" s="379">
        <v>0</v>
      </c>
      <c r="G153" s="380">
        <v>0</v>
      </c>
      <c r="H153" s="382">
        <v>0</v>
      </c>
      <c r="I153" s="379">
        <v>0.89048999999900003</v>
      </c>
      <c r="J153" s="380">
        <v>0.89048999999900003</v>
      </c>
      <c r="K153" s="390" t="s">
        <v>219</v>
      </c>
    </row>
    <row r="154" spans="1:11" ht="14.4" customHeight="1" thickBot="1" x14ac:dyDescent="0.35">
      <c r="A154" s="401" t="s">
        <v>365</v>
      </c>
      <c r="B154" s="379">
        <v>0</v>
      </c>
      <c r="C154" s="379">
        <v>1.6462699999999999</v>
      </c>
      <c r="D154" s="380">
        <v>1.6462699999999999</v>
      </c>
      <c r="E154" s="389" t="s">
        <v>219</v>
      </c>
      <c r="F154" s="379">
        <v>0</v>
      </c>
      <c r="G154" s="380">
        <v>0</v>
      </c>
      <c r="H154" s="382">
        <v>0</v>
      </c>
      <c r="I154" s="379">
        <v>0.21448999999900001</v>
      </c>
      <c r="J154" s="380">
        <v>0.21448999999900001</v>
      </c>
      <c r="K154" s="390" t="s">
        <v>219</v>
      </c>
    </row>
    <row r="155" spans="1:11" ht="14.4" customHeight="1" thickBot="1" x14ac:dyDescent="0.35">
      <c r="A155" s="401" t="s">
        <v>366</v>
      </c>
      <c r="B155" s="379">
        <v>0</v>
      </c>
      <c r="C155" s="379">
        <v>0.11322</v>
      </c>
      <c r="D155" s="380">
        <v>0.11322</v>
      </c>
      <c r="E155" s="389" t="s">
        <v>219</v>
      </c>
      <c r="F155" s="379">
        <v>0</v>
      </c>
      <c r="G155" s="380">
        <v>0</v>
      </c>
      <c r="H155" s="382">
        <v>0</v>
      </c>
      <c r="I155" s="379">
        <v>1.059E-2</v>
      </c>
      <c r="J155" s="380">
        <v>1.059E-2</v>
      </c>
      <c r="K155" s="390" t="s">
        <v>219</v>
      </c>
    </row>
    <row r="156" spans="1:11" ht="14.4" customHeight="1" thickBot="1" x14ac:dyDescent="0.35">
      <c r="A156" s="398" t="s">
        <v>30</v>
      </c>
      <c r="B156" s="379">
        <v>42786.4841649265</v>
      </c>
      <c r="C156" s="379">
        <v>47998.9820700001</v>
      </c>
      <c r="D156" s="380">
        <v>5212.4979050736201</v>
      </c>
      <c r="E156" s="381">
        <v>1.1218258056670001</v>
      </c>
      <c r="F156" s="379">
        <v>49545.294642000103</v>
      </c>
      <c r="G156" s="380">
        <v>20643.872767500001</v>
      </c>
      <c r="H156" s="382">
        <v>4144.4396100000004</v>
      </c>
      <c r="I156" s="379">
        <v>20528.265370000001</v>
      </c>
      <c r="J156" s="380">
        <v>-115.607397500036</v>
      </c>
      <c r="K156" s="383">
        <v>0.414333298819</v>
      </c>
    </row>
    <row r="157" spans="1:11" ht="14.4" customHeight="1" thickBot="1" x14ac:dyDescent="0.35">
      <c r="A157" s="402" t="s">
        <v>367</v>
      </c>
      <c r="B157" s="384">
        <v>31511.284164926499</v>
      </c>
      <c r="C157" s="384">
        <v>35320.254000000103</v>
      </c>
      <c r="D157" s="385">
        <v>3808.9698350735898</v>
      </c>
      <c r="E157" s="391">
        <v>1.1208763760660001</v>
      </c>
      <c r="F157" s="384">
        <v>35562.020000000099</v>
      </c>
      <c r="G157" s="385">
        <v>14817.508333333401</v>
      </c>
      <c r="H157" s="387">
        <v>3049.0410000000002</v>
      </c>
      <c r="I157" s="384">
        <v>15110.075000000001</v>
      </c>
      <c r="J157" s="385">
        <v>292.56666666662898</v>
      </c>
      <c r="K157" s="392">
        <v>0.42489360840500001</v>
      </c>
    </row>
    <row r="158" spans="1:11" ht="14.4" customHeight="1" thickBot="1" x14ac:dyDescent="0.35">
      <c r="A158" s="400" t="s">
        <v>368</v>
      </c>
      <c r="B158" s="384">
        <v>0</v>
      </c>
      <c r="C158" s="384">
        <v>-167.39268999999999</v>
      </c>
      <c r="D158" s="385">
        <v>-167.39268999999999</v>
      </c>
      <c r="E158" s="386" t="s">
        <v>219</v>
      </c>
      <c r="F158" s="384">
        <v>0</v>
      </c>
      <c r="G158" s="385">
        <v>0</v>
      </c>
      <c r="H158" s="387">
        <v>0</v>
      </c>
      <c r="I158" s="384">
        <v>-44.728819999998997</v>
      </c>
      <c r="J158" s="385">
        <v>-44.728819999998997</v>
      </c>
      <c r="K158" s="388" t="s">
        <v>219</v>
      </c>
    </row>
    <row r="159" spans="1:11" ht="14.4" customHeight="1" thickBot="1" x14ac:dyDescent="0.35">
      <c r="A159" s="401" t="s">
        <v>369</v>
      </c>
      <c r="B159" s="379">
        <v>0</v>
      </c>
      <c r="C159" s="379">
        <v>-167.39268999999999</v>
      </c>
      <c r="D159" s="380">
        <v>-167.39268999999999</v>
      </c>
      <c r="E159" s="389" t="s">
        <v>219</v>
      </c>
      <c r="F159" s="379">
        <v>0</v>
      </c>
      <c r="G159" s="380">
        <v>0</v>
      </c>
      <c r="H159" s="382">
        <v>0</v>
      </c>
      <c r="I159" s="379">
        <v>-44.728819999998997</v>
      </c>
      <c r="J159" s="380">
        <v>-44.728819999998997</v>
      </c>
      <c r="K159" s="390" t="s">
        <v>219</v>
      </c>
    </row>
    <row r="160" spans="1:11" ht="14.4" customHeight="1" thickBot="1" x14ac:dyDescent="0.35">
      <c r="A160" s="400" t="s">
        <v>370</v>
      </c>
      <c r="B160" s="384">
        <v>31319.999999999902</v>
      </c>
      <c r="C160" s="384">
        <v>35011.289000000099</v>
      </c>
      <c r="D160" s="385">
        <v>3691.2890000001598</v>
      </c>
      <c r="E160" s="391">
        <v>1.117857247765</v>
      </c>
      <c r="F160" s="384">
        <v>35132.550000000097</v>
      </c>
      <c r="G160" s="385">
        <v>14638.5625</v>
      </c>
      <c r="H160" s="387">
        <v>3026.5479999999998</v>
      </c>
      <c r="I160" s="384">
        <v>14988.608</v>
      </c>
      <c r="J160" s="385">
        <v>350.04549999996198</v>
      </c>
      <c r="K160" s="392">
        <v>0.42663023321600002</v>
      </c>
    </row>
    <row r="161" spans="1:11" ht="14.4" customHeight="1" thickBot="1" x14ac:dyDescent="0.35">
      <c r="A161" s="401" t="s">
        <v>371</v>
      </c>
      <c r="B161" s="379">
        <v>31319.999999999902</v>
      </c>
      <c r="C161" s="379">
        <v>35011.289000000099</v>
      </c>
      <c r="D161" s="380">
        <v>3691.2890000001598</v>
      </c>
      <c r="E161" s="381">
        <v>1.117857247765</v>
      </c>
      <c r="F161" s="379">
        <v>35132.550000000097</v>
      </c>
      <c r="G161" s="380">
        <v>14638.5625</v>
      </c>
      <c r="H161" s="382">
        <v>3026.5479999999998</v>
      </c>
      <c r="I161" s="379">
        <v>14988.608</v>
      </c>
      <c r="J161" s="380">
        <v>350.04549999996198</v>
      </c>
      <c r="K161" s="383">
        <v>0.42663023321600002</v>
      </c>
    </row>
    <row r="162" spans="1:11" ht="14.4" customHeight="1" thickBot="1" x14ac:dyDescent="0.35">
      <c r="A162" s="400" t="s">
        <v>372</v>
      </c>
      <c r="B162" s="384">
        <v>116.64116492655999</v>
      </c>
      <c r="C162" s="384">
        <v>168.04</v>
      </c>
      <c r="D162" s="385">
        <v>51.398835073439997</v>
      </c>
      <c r="E162" s="391">
        <v>1.440657765256</v>
      </c>
      <c r="F162" s="384">
        <v>174.92</v>
      </c>
      <c r="G162" s="385">
        <v>72.883333333332999</v>
      </c>
      <c r="H162" s="387">
        <v>18.875</v>
      </c>
      <c r="I162" s="384">
        <v>74.224999999999994</v>
      </c>
      <c r="J162" s="385">
        <v>1.341666666666</v>
      </c>
      <c r="K162" s="392">
        <v>0.42433683969800001</v>
      </c>
    </row>
    <row r="163" spans="1:11" ht="14.4" customHeight="1" thickBot="1" x14ac:dyDescent="0.35">
      <c r="A163" s="401" t="s">
        <v>373</v>
      </c>
      <c r="B163" s="379">
        <v>116.64116492655999</v>
      </c>
      <c r="C163" s="379">
        <v>168.04</v>
      </c>
      <c r="D163" s="380">
        <v>51.398835073439997</v>
      </c>
      <c r="E163" s="381">
        <v>1.440657765256</v>
      </c>
      <c r="F163" s="379">
        <v>174.92</v>
      </c>
      <c r="G163" s="380">
        <v>72.883333333332999</v>
      </c>
      <c r="H163" s="382">
        <v>18.875</v>
      </c>
      <c r="I163" s="379">
        <v>74.224999999999994</v>
      </c>
      <c r="J163" s="380">
        <v>1.341666666666</v>
      </c>
      <c r="K163" s="383">
        <v>0.42433683969800001</v>
      </c>
    </row>
    <row r="164" spans="1:11" ht="14.4" customHeight="1" thickBot="1" x14ac:dyDescent="0.35">
      <c r="A164" s="400" t="s">
        <v>374</v>
      </c>
      <c r="B164" s="384">
        <v>74.643000000000001</v>
      </c>
      <c r="C164" s="384">
        <v>114.175</v>
      </c>
      <c r="D164" s="385">
        <v>39.531999999999996</v>
      </c>
      <c r="E164" s="391">
        <v>1.529614297388</v>
      </c>
      <c r="F164" s="384">
        <v>120.51</v>
      </c>
      <c r="G164" s="385">
        <v>50.212499999999999</v>
      </c>
      <c r="H164" s="387">
        <v>2.1179999999999999</v>
      </c>
      <c r="I164" s="384">
        <v>39.741999999999997</v>
      </c>
      <c r="J164" s="385">
        <v>-10.470499999999999</v>
      </c>
      <c r="K164" s="392">
        <v>0.32978176084900002</v>
      </c>
    </row>
    <row r="165" spans="1:11" ht="14.4" customHeight="1" thickBot="1" x14ac:dyDescent="0.35">
      <c r="A165" s="401" t="s">
        <v>375</v>
      </c>
      <c r="B165" s="379">
        <v>74.643000000000001</v>
      </c>
      <c r="C165" s="379">
        <v>114.175</v>
      </c>
      <c r="D165" s="380">
        <v>39.531999999999996</v>
      </c>
      <c r="E165" s="381">
        <v>1.529614297388</v>
      </c>
      <c r="F165" s="379">
        <v>120.51</v>
      </c>
      <c r="G165" s="380">
        <v>50.212499999999999</v>
      </c>
      <c r="H165" s="382">
        <v>2.1179999999999999</v>
      </c>
      <c r="I165" s="379">
        <v>39.741999999999997</v>
      </c>
      <c r="J165" s="380">
        <v>-10.470499999999999</v>
      </c>
      <c r="K165" s="383">
        <v>0.32978176084900002</v>
      </c>
    </row>
    <row r="166" spans="1:11" ht="14.4" customHeight="1" thickBot="1" x14ac:dyDescent="0.35">
      <c r="A166" s="403" t="s">
        <v>376</v>
      </c>
      <c r="B166" s="379">
        <v>0</v>
      </c>
      <c r="C166" s="379">
        <v>26.75</v>
      </c>
      <c r="D166" s="380">
        <v>26.75</v>
      </c>
      <c r="E166" s="389" t="s">
        <v>219</v>
      </c>
      <c r="F166" s="379">
        <v>134.04</v>
      </c>
      <c r="G166" s="380">
        <v>55.85</v>
      </c>
      <c r="H166" s="382">
        <v>1.5</v>
      </c>
      <c r="I166" s="379">
        <v>7.5</v>
      </c>
      <c r="J166" s="380">
        <v>-48.35</v>
      </c>
      <c r="K166" s="383">
        <v>5.5953446731999999E-2</v>
      </c>
    </row>
    <row r="167" spans="1:11" ht="14.4" customHeight="1" thickBot="1" x14ac:dyDescent="0.35">
      <c r="A167" s="401" t="s">
        <v>377</v>
      </c>
      <c r="B167" s="379">
        <v>0</v>
      </c>
      <c r="C167" s="379">
        <v>26.75</v>
      </c>
      <c r="D167" s="380">
        <v>26.75</v>
      </c>
      <c r="E167" s="389" t="s">
        <v>219</v>
      </c>
      <c r="F167" s="379">
        <v>134.04</v>
      </c>
      <c r="G167" s="380">
        <v>55.85</v>
      </c>
      <c r="H167" s="382">
        <v>1.5</v>
      </c>
      <c r="I167" s="379">
        <v>7.5</v>
      </c>
      <c r="J167" s="380">
        <v>-48.35</v>
      </c>
      <c r="K167" s="383">
        <v>5.5953446731999999E-2</v>
      </c>
    </row>
    <row r="168" spans="1:11" ht="14.4" customHeight="1" thickBot="1" x14ac:dyDescent="0.35">
      <c r="A168" s="400" t="s">
        <v>378</v>
      </c>
      <c r="B168" s="384">
        <v>0</v>
      </c>
      <c r="C168" s="384">
        <v>167.39268999999999</v>
      </c>
      <c r="D168" s="385">
        <v>167.39268999999999</v>
      </c>
      <c r="E168" s="386" t="s">
        <v>219</v>
      </c>
      <c r="F168" s="384">
        <v>0</v>
      </c>
      <c r="G168" s="385">
        <v>0</v>
      </c>
      <c r="H168" s="387">
        <v>0</v>
      </c>
      <c r="I168" s="384">
        <v>44.728819999998997</v>
      </c>
      <c r="J168" s="385">
        <v>44.728819999998997</v>
      </c>
      <c r="K168" s="388" t="s">
        <v>219</v>
      </c>
    </row>
    <row r="169" spans="1:11" ht="14.4" customHeight="1" thickBot="1" x14ac:dyDescent="0.35">
      <c r="A169" s="401" t="s">
        <v>379</v>
      </c>
      <c r="B169" s="379">
        <v>0</v>
      </c>
      <c r="C169" s="379">
        <v>167.08499</v>
      </c>
      <c r="D169" s="380">
        <v>167.08499</v>
      </c>
      <c r="E169" s="389" t="s">
        <v>219</v>
      </c>
      <c r="F169" s="379">
        <v>0</v>
      </c>
      <c r="G169" s="380">
        <v>0</v>
      </c>
      <c r="H169" s="382">
        <v>0</v>
      </c>
      <c r="I169" s="379">
        <v>44.470039999999003</v>
      </c>
      <c r="J169" s="380">
        <v>44.470039999999003</v>
      </c>
      <c r="K169" s="390" t="s">
        <v>219</v>
      </c>
    </row>
    <row r="170" spans="1:11" ht="14.4" customHeight="1" thickBot="1" x14ac:dyDescent="0.35">
      <c r="A170" s="401" t="s">
        <v>380</v>
      </c>
      <c r="B170" s="379">
        <v>0</v>
      </c>
      <c r="C170" s="379">
        <v>0.30769999999999997</v>
      </c>
      <c r="D170" s="380">
        <v>0.30769999999999997</v>
      </c>
      <c r="E170" s="389" t="s">
        <v>219</v>
      </c>
      <c r="F170" s="379">
        <v>0</v>
      </c>
      <c r="G170" s="380">
        <v>0</v>
      </c>
      <c r="H170" s="382">
        <v>0</v>
      </c>
      <c r="I170" s="379">
        <v>0.25877999999899998</v>
      </c>
      <c r="J170" s="380">
        <v>0.25877999999899998</v>
      </c>
      <c r="K170" s="390" t="s">
        <v>219</v>
      </c>
    </row>
    <row r="171" spans="1:11" ht="14.4" customHeight="1" thickBot="1" x14ac:dyDescent="0.35">
      <c r="A171" s="399" t="s">
        <v>381</v>
      </c>
      <c r="B171" s="379">
        <v>10648.8</v>
      </c>
      <c r="C171" s="379">
        <v>11977.128409999999</v>
      </c>
      <c r="D171" s="380">
        <v>1328.3284100000201</v>
      </c>
      <c r="E171" s="381">
        <v>1.124739727481</v>
      </c>
      <c r="F171" s="379">
        <v>13053.56</v>
      </c>
      <c r="G171" s="380">
        <v>5438.9833333333299</v>
      </c>
      <c r="H171" s="382">
        <v>1034.9749099999999</v>
      </c>
      <c r="I171" s="379">
        <v>5119.0142599999999</v>
      </c>
      <c r="J171" s="380">
        <v>-319.96907333333297</v>
      </c>
      <c r="K171" s="383">
        <v>0.39215465053199999</v>
      </c>
    </row>
    <row r="172" spans="1:11" ht="14.4" customHeight="1" thickBot="1" x14ac:dyDescent="0.35">
      <c r="A172" s="400" t="s">
        <v>382</v>
      </c>
      <c r="B172" s="384">
        <v>0</v>
      </c>
      <c r="C172" s="384">
        <v>-56.81015</v>
      </c>
      <c r="D172" s="385">
        <v>-56.81015</v>
      </c>
      <c r="E172" s="386" t="s">
        <v>219</v>
      </c>
      <c r="F172" s="384">
        <v>0</v>
      </c>
      <c r="G172" s="385">
        <v>0</v>
      </c>
      <c r="H172" s="387">
        <v>0</v>
      </c>
      <c r="I172" s="384">
        <v>-15.11979</v>
      </c>
      <c r="J172" s="385">
        <v>-15.11979</v>
      </c>
      <c r="K172" s="388" t="s">
        <v>219</v>
      </c>
    </row>
    <row r="173" spans="1:11" ht="14.4" customHeight="1" thickBot="1" x14ac:dyDescent="0.35">
      <c r="A173" s="401" t="s">
        <v>383</v>
      </c>
      <c r="B173" s="379">
        <v>0</v>
      </c>
      <c r="C173" s="379">
        <v>-56.81015</v>
      </c>
      <c r="D173" s="380">
        <v>-56.81015</v>
      </c>
      <c r="E173" s="389" t="s">
        <v>219</v>
      </c>
      <c r="F173" s="379">
        <v>0</v>
      </c>
      <c r="G173" s="380">
        <v>0</v>
      </c>
      <c r="H173" s="382">
        <v>0</v>
      </c>
      <c r="I173" s="379">
        <v>-15.11979</v>
      </c>
      <c r="J173" s="380">
        <v>-15.11979</v>
      </c>
      <c r="K173" s="390" t="s">
        <v>219</v>
      </c>
    </row>
    <row r="174" spans="1:11" ht="14.4" customHeight="1" thickBot="1" x14ac:dyDescent="0.35">
      <c r="A174" s="400" t="s">
        <v>384</v>
      </c>
      <c r="B174" s="384">
        <v>2818.8000000000102</v>
      </c>
      <c r="C174" s="384">
        <v>3170.1024300000099</v>
      </c>
      <c r="D174" s="385">
        <v>351.30243000000002</v>
      </c>
      <c r="E174" s="391">
        <v>1.1246283631330001</v>
      </c>
      <c r="F174" s="384">
        <v>3455.3599999999901</v>
      </c>
      <c r="G174" s="385">
        <v>1439.7333333333299</v>
      </c>
      <c r="H174" s="387">
        <v>273.96291000000002</v>
      </c>
      <c r="I174" s="384">
        <v>1355.02476</v>
      </c>
      <c r="J174" s="385">
        <v>-84.708573333331998</v>
      </c>
      <c r="K174" s="392">
        <v>0.392151544267</v>
      </c>
    </row>
    <row r="175" spans="1:11" ht="14.4" customHeight="1" thickBot="1" x14ac:dyDescent="0.35">
      <c r="A175" s="401" t="s">
        <v>385</v>
      </c>
      <c r="B175" s="379">
        <v>2818.8000000000102</v>
      </c>
      <c r="C175" s="379">
        <v>3170.1024300000099</v>
      </c>
      <c r="D175" s="380">
        <v>351.30243000000002</v>
      </c>
      <c r="E175" s="381">
        <v>1.1246283631330001</v>
      </c>
      <c r="F175" s="379">
        <v>3455.3599999999901</v>
      </c>
      <c r="G175" s="380">
        <v>1439.7333333333299</v>
      </c>
      <c r="H175" s="382">
        <v>273.96291000000002</v>
      </c>
      <c r="I175" s="379">
        <v>1355.02476</v>
      </c>
      <c r="J175" s="380">
        <v>-84.708573333331998</v>
      </c>
      <c r="K175" s="383">
        <v>0.392151544267</v>
      </c>
    </row>
    <row r="176" spans="1:11" ht="14.4" customHeight="1" thickBot="1" x14ac:dyDescent="0.35">
      <c r="A176" s="400" t="s">
        <v>386</v>
      </c>
      <c r="B176" s="384">
        <v>7829.99999999999</v>
      </c>
      <c r="C176" s="384">
        <v>8807.0259800000094</v>
      </c>
      <c r="D176" s="385">
        <v>977.02598000002399</v>
      </c>
      <c r="E176" s="391">
        <v>1.1247798186460001</v>
      </c>
      <c r="F176" s="384">
        <v>9598.1999999999898</v>
      </c>
      <c r="G176" s="385">
        <v>3999.25</v>
      </c>
      <c r="H176" s="387">
        <v>761.01199999999994</v>
      </c>
      <c r="I176" s="384">
        <v>3763.9895000000001</v>
      </c>
      <c r="J176" s="385">
        <v>-235.26049999999901</v>
      </c>
      <c r="K176" s="392">
        <v>0.39215576878899999</v>
      </c>
    </row>
    <row r="177" spans="1:11" ht="14.4" customHeight="1" thickBot="1" x14ac:dyDescent="0.35">
      <c r="A177" s="401" t="s">
        <v>387</v>
      </c>
      <c r="B177" s="379">
        <v>7829.99999999999</v>
      </c>
      <c r="C177" s="379">
        <v>8807.0259800000094</v>
      </c>
      <c r="D177" s="380">
        <v>977.02598000002399</v>
      </c>
      <c r="E177" s="381">
        <v>1.1247798186460001</v>
      </c>
      <c r="F177" s="379">
        <v>9598.1999999999898</v>
      </c>
      <c r="G177" s="380">
        <v>3999.25</v>
      </c>
      <c r="H177" s="382">
        <v>761.01199999999994</v>
      </c>
      <c r="I177" s="379">
        <v>3763.9895000000001</v>
      </c>
      <c r="J177" s="380">
        <v>-235.26049999999901</v>
      </c>
      <c r="K177" s="383">
        <v>0.39215576878899999</v>
      </c>
    </row>
    <row r="178" spans="1:11" ht="14.4" customHeight="1" thickBot="1" x14ac:dyDescent="0.35">
      <c r="A178" s="400" t="s">
        <v>388</v>
      </c>
      <c r="B178" s="384">
        <v>0</v>
      </c>
      <c r="C178" s="384">
        <v>56.81015</v>
      </c>
      <c r="D178" s="385">
        <v>56.81015</v>
      </c>
      <c r="E178" s="386" t="s">
        <v>219</v>
      </c>
      <c r="F178" s="384">
        <v>0</v>
      </c>
      <c r="G178" s="385">
        <v>0</v>
      </c>
      <c r="H178" s="387">
        <v>0</v>
      </c>
      <c r="I178" s="384">
        <v>15.11979</v>
      </c>
      <c r="J178" s="385">
        <v>15.11979</v>
      </c>
      <c r="K178" s="388" t="s">
        <v>219</v>
      </c>
    </row>
    <row r="179" spans="1:11" ht="14.4" customHeight="1" thickBot="1" x14ac:dyDescent="0.35">
      <c r="A179" s="401" t="s">
        <v>389</v>
      </c>
      <c r="B179" s="379">
        <v>0</v>
      </c>
      <c r="C179" s="379">
        <v>15.03763</v>
      </c>
      <c r="D179" s="380">
        <v>15.03763</v>
      </c>
      <c r="E179" s="389" t="s">
        <v>219</v>
      </c>
      <c r="F179" s="379">
        <v>0</v>
      </c>
      <c r="G179" s="380">
        <v>0</v>
      </c>
      <c r="H179" s="382">
        <v>0</v>
      </c>
      <c r="I179" s="379">
        <v>4.0022799999989997</v>
      </c>
      <c r="J179" s="380">
        <v>4.0022799999989997</v>
      </c>
      <c r="K179" s="390" t="s">
        <v>219</v>
      </c>
    </row>
    <row r="180" spans="1:11" ht="14.4" customHeight="1" thickBot="1" x14ac:dyDescent="0.35">
      <c r="A180" s="401" t="s">
        <v>390</v>
      </c>
      <c r="B180" s="379">
        <v>0</v>
      </c>
      <c r="C180" s="379">
        <v>41.77252</v>
      </c>
      <c r="D180" s="380">
        <v>41.77252</v>
      </c>
      <c r="E180" s="389" t="s">
        <v>219</v>
      </c>
      <c r="F180" s="379">
        <v>0</v>
      </c>
      <c r="G180" s="380">
        <v>0</v>
      </c>
      <c r="H180" s="382">
        <v>0</v>
      </c>
      <c r="I180" s="379">
        <v>11.117509999999999</v>
      </c>
      <c r="J180" s="380">
        <v>11.117509999999999</v>
      </c>
      <c r="K180" s="390" t="s">
        <v>219</v>
      </c>
    </row>
    <row r="181" spans="1:11" ht="14.4" customHeight="1" thickBot="1" x14ac:dyDescent="0.35">
      <c r="A181" s="399" t="s">
        <v>391</v>
      </c>
      <c r="B181" s="379">
        <v>0</v>
      </c>
      <c r="C181" s="379">
        <v>0</v>
      </c>
      <c r="D181" s="380">
        <v>0</v>
      </c>
      <c r="E181" s="381">
        <v>1</v>
      </c>
      <c r="F181" s="379">
        <v>159.864642</v>
      </c>
      <c r="G181" s="380">
        <v>66.610267500000006</v>
      </c>
      <c r="H181" s="382">
        <v>0</v>
      </c>
      <c r="I181" s="379">
        <v>0</v>
      </c>
      <c r="J181" s="380">
        <v>-66.610267500000006</v>
      </c>
      <c r="K181" s="383">
        <v>0</v>
      </c>
    </row>
    <row r="182" spans="1:11" ht="14.4" customHeight="1" thickBot="1" x14ac:dyDescent="0.35">
      <c r="A182" s="400" t="s">
        <v>392</v>
      </c>
      <c r="B182" s="384">
        <v>0</v>
      </c>
      <c r="C182" s="384">
        <v>0</v>
      </c>
      <c r="D182" s="385">
        <v>0</v>
      </c>
      <c r="E182" s="391">
        <v>1</v>
      </c>
      <c r="F182" s="384">
        <v>159.864642</v>
      </c>
      <c r="G182" s="385">
        <v>66.610267500000006</v>
      </c>
      <c r="H182" s="387">
        <v>0</v>
      </c>
      <c r="I182" s="384">
        <v>0</v>
      </c>
      <c r="J182" s="385">
        <v>-66.610267500000006</v>
      </c>
      <c r="K182" s="392">
        <v>0</v>
      </c>
    </row>
    <row r="183" spans="1:11" ht="14.4" customHeight="1" thickBot="1" x14ac:dyDescent="0.35">
      <c r="A183" s="401" t="s">
        <v>393</v>
      </c>
      <c r="B183" s="379">
        <v>0</v>
      </c>
      <c r="C183" s="379">
        <v>0</v>
      </c>
      <c r="D183" s="380">
        <v>0</v>
      </c>
      <c r="E183" s="381">
        <v>1</v>
      </c>
      <c r="F183" s="379">
        <v>159.864642</v>
      </c>
      <c r="G183" s="380">
        <v>66.610267500000006</v>
      </c>
      <c r="H183" s="382">
        <v>0</v>
      </c>
      <c r="I183" s="379">
        <v>0</v>
      </c>
      <c r="J183" s="380">
        <v>-66.610267500000006</v>
      </c>
      <c r="K183" s="383">
        <v>0</v>
      </c>
    </row>
    <row r="184" spans="1:11" ht="14.4" customHeight="1" thickBot="1" x14ac:dyDescent="0.35">
      <c r="A184" s="399" t="s">
        <v>394</v>
      </c>
      <c r="B184" s="379">
        <v>626.40000000000202</v>
      </c>
      <c r="C184" s="379">
        <v>701.59966000000099</v>
      </c>
      <c r="D184" s="380">
        <v>75.199659999998005</v>
      </c>
      <c r="E184" s="381">
        <v>1.120050542784</v>
      </c>
      <c r="F184" s="379">
        <v>769.849999999999</v>
      </c>
      <c r="G184" s="380">
        <v>320.77083333333297</v>
      </c>
      <c r="H184" s="382">
        <v>60.423699999999997</v>
      </c>
      <c r="I184" s="379">
        <v>299.17610999999999</v>
      </c>
      <c r="J184" s="380">
        <v>-21.594723333333</v>
      </c>
      <c r="K184" s="383">
        <v>0.38861610703299998</v>
      </c>
    </row>
    <row r="185" spans="1:11" ht="14.4" customHeight="1" thickBot="1" x14ac:dyDescent="0.35">
      <c r="A185" s="400" t="s">
        <v>395</v>
      </c>
      <c r="B185" s="384">
        <v>0</v>
      </c>
      <c r="C185" s="384">
        <v>-3.3452899999999999</v>
      </c>
      <c r="D185" s="385">
        <v>-3.3452899999999999</v>
      </c>
      <c r="E185" s="386" t="s">
        <v>219</v>
      </c>
      <c r="F185" s="384">
        <v>0</v>
      </c>
      <c r="G185" s="385">
        <v>0</v>
      </c>
      <c r="H185" s="387">
        <v>0</v>
      </c>
      <c r="I185" s="384">
        <v>-0.89464999999899997</v>
      </c>
      <c r="J185" s="385">
        <v>-0.89464999999899997</v>
      </c>
      <c r="K185" s="388" t="s">
        <v>219</v>
      </c>
    </row>
    <row r="186" spans="1:11" ht="14.4" customHeight="1" thickBot="1" x14ac:dyDescent="0.35">
      <c r="A186" s="401" t="s">
        <v>396</v>
      </c>
      <c r="B186" s="379">
        <v>0</v>
      </c>
      <c r="C186" s="379">
        <v>-3.3452899999999999</v>
      </c>
      <c r="D186" s="380">
        <v>-3.3452899999999999</v>
      </c>
      <c r="E186" s="389" t="s">
        <v>219</v>
      </c>
      <c r="F186" s="379">
        <v>0</v>
      </c>
      <c r="G186" s="380">
        <v>0</v>
      </c>
      <c r="H186" s="382">
        <v>0</v>
      </c>
      <c r="I186" s="379">
        <v>-0.89464999999899997</v>
      </c>
      <c r="J186" s="380">
        <v>-0.89464999999899997</v>
      </c>
      <c r="K186" s="390" t="s">
        <v>219</v>
      </c>
    </row>
    <row r="187" spans="1:11" ht="14.4" customHeight="1" thickBot="1" x14ac:dyDescent="0.35">
      <c r="A187" s="400" t="s">
        <v>397</v>
      </c>
      <c r="B187" s="384">
        <v>626.40000000000202</v>
      </c>
      <c r="C187" s="384">
        <v>701.59966000000099</v>
      </c>
      <c r="D187" s="385">
        <v>75.199659999998005</v>
      </c>
      <c r="E187" s="391">
        <v>1.120050542784</v>
      </c>
      <c r="F187" s="384">
        <v>769.849999999999</v>
      </c>
      <c r="G187" s="385">
        <v>320.77083333333297</v>
      </c>
      <c r="H187" s="387">
        <v>60.423699999999997</v>
      </c>
      <c r="I187" s="384">
        <v>299.17610999999999</v>
      </c>
      <c r="J187" s="385">
        <v>-21.594723333333</v>
      </c>
      <c r="K187" s="392">
        <v>0.38861610703299998</v>
      </c>
    </row>
    <row r="188" spans="1:11" ht="14.4" customHeight="1" thickBot="1" x14ac:dyDescent="0.35">
      <c r="A188" s="401" t="s">
        <v>398</v>
      </c>
      <c r="B188" s="379">
        <v>626.40000000000202</v>
      </c>
      <c r="C188" s="379">
        <v>701.59966000000099</v>
      </c>
      <c r="D188" s="380">
        <v>75.199659999998005</v>
      </c>
      <c r="E188" s="381">
        <v>1.120050542784</v>
      </c>
      <c r="F188" s="379">
        <v>769.849999999999</v>
      </c>
      <c r="G188" s="380">
        <v>320.77083333333297</v>
      </c>
      <c r="H188" s="382">
        <v>60.423699999999997</v>
      </c>
      <c r="I188" s="379">
        <v>299.17610999999999</v>
      </c>
      <c r="J188" s="380">
        <v>-21.594723333333</v>
      </c>
      <c r="K188" s="383">
        <v>0.38861610703299998</v>
      </c>
    </row>
    <row r="189" spans="1:11" ht="14.4" customHeight="1" thickBot="1" x14ac:dyDescent="0.35">
      <c r="A189" s="400" t="s">
        <v>399</v>
      </c>
      <c r="B189" s="384">
        <v>0</v>
      </c>
      <c r="C189" s="384">
        <v>3.3452899999999999</v>
      </c>
      <c r="D189" s="385">
        <v>3.3452899999999999</v>
      </c>
      <c r="E189" s="386" t="s">
        <v>219</v>
      </c>
      <c r="F189" s="384">
        <v>0</v>
      </c>
      <c r="G189" s="385">
        <v>0</v>
      </c>
      <c r="H189" s="387">
        <v>0</v>
      </c>
      <c r="I189" s="384">
        <v>0.89464999999899997</v>
      </c>
      <c r="J189" s="385">
        <v>0.89464999999899997</v>
      </c>
      <c r="K189" s="388" t="s">
        <v>219</v>
      </c>
    </row>
    <row r="190" spans="1:11" ht="14.4" customHeight="1" thickBot="1" x14ac:dyDescent="0.35">
      <c r="A190" s="401" t="s">
        <v>400</v>
      </c>
      <c r="B190" s="379">
        <v>0</v>
      </c>
      <c r="C190" s="379">
        <v>3.3452899999999999</v>
      </c>
      <c r="D190" s="380">
        <v>3.3452899999999999</v>
      </c>
      <c r="E190" s="389" t="s">
        <v>219</v>
      </c>
      <c r="F190" s="379">
        <v>0</v>
      </c>
      <c r="G190" s="380">
        <v>0</v>
      </c>
      <c r="H190" s="382">
        <v>0</v>
      </c>
      <c r="I190" s="379">
        <v>0.89464999999899997</v>
      </c>
      <c r="J190" s="380">
        <v>0.89464999999899997</v>
      </c>
      <c r="K190" s="390" t="s">
        <v>219</v>
      </c>
    </row>
    <row r="191" spans="1:11" ht="14.4" customHeight="1" thickBot="1" x14ac:dyDescent="0.35">
      <c r="A191" s="398" t="s">
        <v>401</v>
      </c>
      <c r="B191" s="379">
        <v>0</v>
      </c>
      <c r="C191" s="379">
        <v>789.24213000000202</v>
      </c>
      <c r="D191" s="380">
        <v>789.24213000000202</v>
      </c>
      <c r="E191" s="389" t="s">
        <v>219</v>
      </c>
      <c r="F191" s="379">
        <v>0</v>
      </c>
      <c r="G191" s="380">
        <v>0</v>
      </c>
      <c r="H191" s="382">
        <v>22.77749</v>
      </c>
      <c r="I191" s="379">
        <v>308.19288999999998</v>
      </c>
      <c r="J191" s="380">
        <v>308.19288999999998</v>
      </c>
      <c r="K191" s="390" t="s">
        <v>219</v>
      </c>
    </row>
    <row r="192" spans="1:11" ht="14.4" customHeight="1" thickBot="1" x14ac:dyDescent="0.35">
      <c r="A192" s="399" t="s">
        <v>402</v>
      </c>
      <c r="B192" s="379">
        <v>0</v>
      </c>
      <c r="C192" s="379">
        <v>789.24213000000202</v>
      </c>
      <c r="D192" s="380">
        <v>789.24213000000202</v>
      </c>
      <c r="E192" s="389" t="s">
        <v>219</v>
      </c>
      <c r="F192" s="379">
        <v>0</v>
      </c>
      <c r="G192" s="380">
        <v>0</v>
      </c>
      <c r="H192" s="382">
        <v>22.77749</v>
      </c>
      <c r="I192" s="379">
        <v>308.19288999999998</v>
      </c>
      <c r="J192" s="380">
        <v>308.19288999999998</v>
      </c>
      <c r="K192" s="390" t="s">
        <v>219</v>
      </c>
    </row>
    <row r="193" spans="1:11" ht="14.4" customHeight="1" thickBot="1" x14ac:dyDescent="0.35">
      <c r="A193" s="400" t="s">
        <v>403</v>
      </c>
      <c r="B193" s="384">
        <v>0</v>
      </c>
      <c r="C193" s="384">
        <v>-7.3539599999999998</v>
      </c>
      <c r="D193" s="385">
        <v>-7.3539599999999998</v>
      </c>
      <c r="E193" s="386" t="s">
        <v>219</v>
      </c>
      <c r="F193" s="384">
        <v>0</v>
      </c>
      <c r="G193" s="385">
        <v>0</v>
      </c>
      <c r="H193" s="387">
        <v>0</v>
      </c>
      <c r="I193" s="384">
        <v>-2.8438599999990002</v>
      </c>
      <c r="J193" s="385">
        <v>-2.8438599999990002</v>
      </c>
      <c r="K193" s="388" t="s">
        <v>219</v>
      </c>
    </row>
    <row r="194" spans="1:11" ht="14.4" customHeight="1" thickBot="1" x14ac:dyDescent="0.35">
      <c r="A194" s="401" t="s">
        <v>404</v>
      </c>
      <c r="B194" s="379">
        <v>0</v>
      </c>
      <c r="C194" s="379">
        <v>-7.3539599999999998</v>
      </c>
      <c r="D194" s="380">
        <v>-7.3539599999999998</v>
      </c>
      <c r="E194" s="389" t="s">
        <v>219</v>
      </c>
      <c r="F194" s="379">
        <v>0</v>
      </c>
      <c r="G194" s="380">
        <v>0</v>
      </c>
      <c r="H194" s="382">
        <v>0</v>
      </c>
      <c r="I194" s="379">
        <v>-2.8438599999990002</v>
      </c>
      <c r="J194" s="380">
        <v>-2.8438599999990002</v>
      </c>
      <c r="K194" s="390" t="s">
        <v>219</v>
      </c>
    </row>
    <row r="195" spans="1:11" ht="14.4" customHeight="1" thickBot="1" x14ac:dyDescent="0.35">
      <c r="A195" s="400" t="s">
        <v>405</v>
      </c>
      <c r="B195" s="384">
        <v>0</v>
      </c>
      <c r="C195" s="384">
        <v>0.88934999999999997</v>
      </c>
      <c r="D195" s="385">
        <v>0.88934999999999997</v>
      </c>
      <c r="E195" s="386" t="s">
        <v>231</v>
      </c>
      <c r="F195" s="384">
        <v>0</v>
      </c>
      <c r="G195" s="385">
        <v>0</v>
      </c>
      <c r="H195" s="387">
        <v>0</v>
      </c>
      <c r="I195" s="384">
        <v>0</v>
      </c>
      <c r="J195" s="385">
        <v>0</v>
      </c>
      <c r="K195" s="388" t="s">
        <v>219</v>
      </c>
    </row>
    <row r="196" spans="1:11" ht="14.4" customHeight="1" thickBot="1" x14ac:dyDescent="0.35">
      <c r="A196" s="401" t="s">
        <v>406</v>
      </c>
      <c r="B196" s="379">
        <v>0</v>
      </c>
      <c r="C196" s="379">
        <v>0.88934999999999997</v>
      </c>
      <c r="D196" s="380">
        <v>0.88934999999999997</v>
      </c>
      <c r="E196" s="389" t="s">
        <v>231</v>
      </c>
      <c r="F196" s="379">
        <v>0</v>
      </c>
      <c r="G196" s="380">
        <v>0</v>
      </c>
      <c r="H196" s="382">
        <v>0</v>
      </c>
      <c r="I196" s="379">
        <v>0</v>
      </c>
      <c r="J196" s="380">
        <v>0</v>
      </c>
      <c r="K196" s="390" t="s">
        <v>219</v>
      </c>
    </row>
    <row r="197" spans="1:11" ht="14.4" customHeight="1" thickBot="1" x14ac:dyDescent="0.35">
      <c r="A197" s="400" t="s">
        <v>407</v>
      </c>
      <c r="B197" s="384">
        <v>0</v>
      </c>
      <c r="C197" s="384">
        <v>788.35278000000199</v>
      </c>
      <c r="D197" s="385">
        <v>788.35278000000199</v>
      </c>
      <c r="E197" s="386" t="s">
        <v>219</v>
      </c>
      <c r="F197" s="384">
        <v>0</v>
      </c>
      <c r="G197" s="385">
        <v>0</v>
      </c>
      <c r="H197" s="387">
        <v>22.77749</v>
      </c>
      <c r="I197" s="384">
        <v>308.19288999999998</v>
      </c>
      <c r="J197" s="385">
        <v>308.19288999999998</v>
      </c>
      <c r="K197" s="388" t="s">
        <v>219</v>
      </c>
    </row>
    <row r="198" spans="1:11" ht="14.4" customHeight="1" thickBot="1" x14ac:dyDescent="0.35">
      <c r="A198" s="401" t="s">
        <v>408</v>
      </c>
      <c r="B198" s="379">
        <v>0</v>
      </c>
      <c r="C198" s="379">
        <v>3.9788399999999999</v>
      </c>
      <c r="D198" s="380">
        <v>3.9788399999999999</v>
      </c>
      <c r="E198" s="389" t="s">
        <v>219</v>
      </c>
      <c r="F198" s="379">
        <v>0</v>
      </c>
      <c r="G198" s="380">
        <v>0</v>
      </c>
      <c r="H198" s="382">
        <v>0</v>
      </c>
      <c r="I198" s="379">
        <v>0</v>
      </c>
      <c r="J198" s="380">
        <v>0</v>
      </c>
      <c r="K198" s="390" t="s">
        <v>219</v>
      </c>
    </row>
    <row r="199" spans="1:11" ht="14.4" customHeight="1" thickBot="1" x14ac:dyDescent="0.35">
      <c r="A199" s="401" t="s">
        <v>409</v>
      </c>
      <c r="B199" s="379">
        <v>0</v>
      </c>
      <c r="C199" s="379">
        <v>388.33331000000101</v>
      </c>
      <c r="D199" s="380">
        <v>388.33331000000101</v>
      </c>
      <c r="E199" s="389" t="s">
        <v>219</v>
      </c>
      <c r="F199" s="379">
        <v>0</v>
      </c>
      <c r="G199" s="380">
        <v>0</v>
      </c>
      <c r="H199" s="382">
        <v>13.22748</v>
      </c>
      <c r="I199" s="379">
        <v>141.43424999999999</v>
      </c>
      <c r="J199" s="380">
        <v>141.43424999999999</v>
      </c>
      <c r="K199" s="390" t="s">
        <v>219</v>
      </c>
    </row>
    <row r="200" spans="1:11" ht="14.4" customHeight="1" thickBot="1" x14ac:dyDescent="0.35">
      <c r="A200" s="401" t="s">
        <v>410</v>
      </c>
      <c r="B200" s="379">
        <v>0</v>
      </c>
      <c r="C200" s="379">
        <v>113.25317</v>
      </c>
      <c r="D200" s="380">
        <v>113.25317</v>
      </c>
      <c r="E200" s="389" t="s">
        <v>219</v>
      </c>
      <c r="F200" s="379">
        <v>0</v>
      </c>
      <c r="G200" s="380">
        <v>0</v>
      </c>
      <c r="H200" s="382">
        <v>0</v>
      </c>
      <c r="I200" s="379">
        <v>0</v>
      </c>
      <c r="J200" s="380">
        <v>0</v>
      </c>
      <c r="K200" s="390" t="s">
        <v>219</v>
      </c>
    </row>
    <row r="201" spans="1:11" ht="14.4" customHeight="1" thickBot="1" x14ac:dyDescent="0.35">
      <c r="A201" s="401" t="s">
        <v>411</v>
      </c>
      <c r="B201" s="379">
        <v>0</v>
      </c>
      <c r="C201" s="379">
        <v>100.629</v>
      </c>
      <c r="D201" s="380">
        <v>100.629</v>
      </c>
      <c r="E201" s="389" t="s">
        <v>219</v>
      </c>
      <c r="F201" s="379">
        <v>0</v>
      </c>
      <c r="G201" s="380">
        <v>0</v>
      </c>
      <c r="H201" s="382">
        <v>1.75</v>
      </c>
      <c r="I201" s="379">
        <v>35.599999999999</v>
      </c>
      <c r="J201" s="380">
        <v>35.599999999999</v>
      </c>
      <c r="K201" s="390" t="s">
        <v>219</v>
      </c>
    </row>
    <row r="202" spans="1:11" ht="14.4" customHeight="1" thickBot="1" x14ac:dyDescent="0.35">
      <c r="A202" s="401" t="s">
        <v>412</v>
      </c>
      <c r="B202" s="379">
        <v>0</v>
      </c>
      <c r="C202" s="379">
        <v>0.88</v>
      </c>
      <c r="D202" s="380">
        <v>0.88</v>
      </c>
      <c r="E202" s="389" t="s">
        <v>231</v>
      </c>
      <c r="F202" s="379">
        <v>0</v>
      </c>
      <c r="G202" s="380">
        <v>0</v>
      </c>
      <c r="H202" s="382">
        <v>0</v>
      </c>
      <c r="I202" s="379">
        <v>0</v>
      </c>
      <c r="J202" s="380">
        <v>0</v>
      </c>
      <c r="K202" s="390" t="s">
        <v>219</v>
      </c>
    </row>
    <row r="203" spans="1:11" ht="14.4" customHeight="1" thickBot="1" x14ac:dyDescent="0.35">
      <c r="A203" s="401" t="s">
        <v>413</v>
      </c>
      <c r="B203" s="379">
        <v>0</v>
      </c>
      <c r="C203" s="379">
        <v>181.27846</v>
      </c>
      <c r="D203" s="380">
        <v>181.27846</v>
      </c>
      <c r="E203" s="389" t="s">
        <v>219</v>
      </c>
      <c r="F203" s="379">
        <v>0</v>
      </c>
      <c r="G203" s="380">
        <v>0</v>
      </c>
      <c r="H203" s="382">
        <v>7.8000100000000003</v>
      </c>
      <c r="I203" s="379">
        <v>131.15863999999999</v>
      </c>
      <c r="J203" s="380">
        <v>131.15863999999999</v>
      </c>
      <c r="K203" s="390" t="s">
        <v>219</v>
      </c>
    </row>
    <row r="204" spans="1:11" ht="14.4" customHeight="1" thickBot="1" x14ac:dyDescent="0.35">
      <c r="A204" s="400" t="s">
        <v>414</v>
      </c>
      <c r="B204" s="384">
        <v>0</v>
      </c>
      <c r="C204" s="384">
        <v>7.3539599999999998</v>
      </c>
      <c r="D204" s="385">
        <v>7.3539599999999998</v>
      </c>
      <c r="E204" s="386" t="s">
        <v>219</v>
      </c>
      <c r="F204" s="384">
        <v>0</v>
      </c>
      <c r="G204" s="385">
        <v>0</v>
      </c>
      <c r="H204" s="387">
        <v>0</v>
      </c>
      <c r="I204" s="384">
        <v>2.8438599999990002</v>
      </c>
      <c r="J204" s="385">
        <v>2.8438599999990002</v>
      </c>
      <c r="K204" s="388" t="s">
        <v>219</v>
      </c>
    </row>
    <row r="205" spans="1:11" ht="14.4" customHeight="1" thickBot="1" x14ac:dyDescent="0.35">
      <c r="A205" s="401" t="s">
        <v>415</v>
      </c>
      <c r="B205" s="379">
        <v>0</v>
      </c>
      <c r="C205" s="379">
        <v>7.3539599999999998</v>
      </c>
      <c r="D205" s="380">
        <v>7.3539599999999998</v>
      </c>
      <c r="E205" s="389" t="s">
        <v>219</v>
      </c>
      <c r="F205" s="379">
        <v>0</v>
      </c>
      <c r="G205" s="380">
        <v>0</v>
      </c>
      <c r="H205" s="382">
        <v>0</v>
      </c>
      <c r="I205" s="379">
        <v>2.8438599999990002</v>
      </c>
      <c r="J205" s="380">
        <v>2.8438599999990002</v>
      </c>
      <c r="K205" s="390" t="s">
        <v>219</v>
      </c>
    </row>
    <row r="206" spans="1:11" ht="14.4" customHeight="1" thickBot="1" x14ac:dyDescent="0.35">
      <c r="A206" s="398" t="s">
        <v>416</v>
      </c>
      <c r="B206" s="379">
        <v>5368.7134035573499</v>
      </c>
      <c r="C206" s="379">
        <v>4803.7514200000096</v>
      </c>
      <c r="D206" s="380">
        <v>-564.96198355733804</v>
      </c>
      <c r="E206" s="381">
        <v>0.89476771414400003</v>
      </c>
      <c r="F206" s="379">
        <v>4534.99999999993</v>
      </c>
      <c r="G206" s="380">
        <v>1889.5833333333101</v>
      </c>
      <c r="H206" s="382">
        <v>417.08765</v>
      </c>
      <c r="I206" s="379">
        <v>1920.1822199999999</v>
      </c>
      <c r="J206" s="380">
        <v>30.598886666693002</v>
      </c>
      <c r="K206" s="383">
        <v>0.42341394046300002</v>
      </c>
    </row>
    <row r="207" spans="1:11" ht="14.4" customHeight="1" thickBot="1" x14ac:dyDescent="0.35">
      <c r="A207" s="399" t="s">
        <v>417</v>
      </c>
      <c r="B207" s="379">
        <v>5359.7134035573499</v>
      </c>
      <c r="C207" s="379">
        <v>4647.15600000001</v>
      </c>
      <c r="D207" s="380">
        <v>-712.55740355733803</v>
      </c>
      <c r="E207" s="381">
        <v>0.86705307729900005</v>
      </c>
      <c r="F207" s="379">
        <v>4534.99999999993</v>
      </c>
      <c r="G207" s="380">
        <v>1889.5833333333101</v>
      </c>
      <c r="H207" s="382">
        <v>375.44200999999998</v>
      </c>
      <c r="I207" s="379">
        <v>1877.20858</v>
      </c>
      <c r="J207" s="380">
        <v>-12.374753333306</v>
      </c>
      <c r="K207" s="383">
        <v>0.41393794487300001</v>
      </c>
    </row>
    <row r="208" spans="1:11" ht="14.4" customHeight="1" thickBot="1" x14ac:dyDescent="0.35">
      <c r="A208" s="400" t="s">
        <v>418</v>
      </c>
      <c r="B208" s="384">
        <v>0</v>
      </c>
      <c r="C208" s="384">
        <v>-23.890619999999998</v>
      </c>
      <c r="D208" s="385">
        <v>-23.890619999999998</v>
      </c>
      <c r="E208" s="386" t="s">
        <v>219</v>
      </c>
      <c r="F208" s="384">
        <v>0</v>
      </c>
      <c r="G208" s="385">
        <v>0</v>
      </c>
      <c r="H208" s="387">
        <v>0</v>
      </c>
      <c r="I208" s="384">
        <v>-5.5804299999989997</v>
      </c>
      <c r="J208" s="385">
        <v>-5.5804299999989997</v>
      </c>
      <c r="K208" s="388" t="s">
        <v>219</v>
      </c>
    </row>
    <row r="209" spans="1:11" ht="14.4" customHeight="1" thickBot="1" x14ac:dyDescent="0.35">
      <c r="A209" s="401" t="s">
        <v>419</v>
      </c>
      <c r="B209" s="379">
        <v>0</v>
      </c>
      <c r="C209" s="379">
        <v>-23.890619999999998</v>
      </c>
      <c r="D209" s="380">
        <v>-23.890619999999998</v>
      </c>
      <c r="E209" s="389" t="s">
        <v>219</v>
      </c>
      <c r="F209" s="379">
        <v>0</v>
      </c>
      <c r="G209" s="380">
        <v>0</v>
      </c>
      <c r="H209" s="382">
        <v>0</v>
      </c>
      <c r="I209" s="379">
        <v>-5.5804299999989997</v>
      </c>
      <c r="J209" s="380">
        <v>-5.5804299999989997</v>
      </c>
      <c r="K209" s="390" t="s">
        <v>219</v>
      </c>
    </row>
    <row r="210" spans="1:11" ht="14.4" customHeight="1" thickBot="1" x14ac:dyDescent="0.35">
      <c r="A210" s="400" t="s">
        <v>420</v>
      </c>
      <c r="B210" s="384">
        <v>5359.7134035573499</v>
      </c>
      <c r="C210" s="384">
        <v>4647.15600000001</v>
      </c>
      <c r="D210" s="385">
        <v>-712.55740355733803</v>
      </c>
      <c r="E210" s="391">
        <v>0.86705307729900005</v>
      </c>
      <c r="F210" s="384">
        <v>4534.99999999993</v>
      </c>
      <c r="G210" s="385">
        <v>1889.5833333333101</v>
      </c>
      <c r="H210" s="387">
        <v>375.44200999999998</v>
      </c>
      <c r="I210" s="384">
        <v>1877.20858</v>
      </c>
      <c r="J210" s="385">
        <v>-12.374753333306</v>
      </c>
      <c r="K210" s="392">
        <v>0.41393794487300001</v>
      </c>
    </row>
    <row r="211" spans="1:11" ht="14.4" customHeight="1" thickBot="1" x14ac:dyDescent="0.35">
      <c r="A211" s="401" t="s">
        <v>421</v>
      </c>
      <c r="B211" s="379">
        <v>1418.3871100439901</v>
      </c>
      <c r="C211" s="379">
        <v>1267.1120000000001</v>
      </c>
      <c r="D211" s="380">
        <v>-151.27511004398499</v>
      </c>
      <c r="E211" s="381">
        <v>0.89334709193700002</v>
      </c>
      <c r="F211" s="379">
        <v>1274.99999999998</v>
      </c>
      <c r="G211" s="380">
        <v>531.24999999999204</v>
      </c>
      <c r="H211" s="382">
        <v>106.22557</v>
      </c>
      <c r="I211" s="379">
        <v>531.11644999999999</v>
      </c>
      <c r="J211" s="380">
        <v>-0.13354999999200001</v>
      </c>
      <c r="K211" s="383">
        <v>0.41656192156799998</v>
      </c>
    </row>
    <row r="212" spans="1:11" ht="14.4" customHeight="1" thickBot="1" x14ac:dyDescent="0.35">
      <c r="A212" s="401" t="s">
        <v>422</v>
      </c>
      <c r="B212" s="379">
        <v>1024.3650073172</v>
      </c>
      <c r="C212" s="379">
        <v>953.75400000000104</v>
      </c>
      <c r="D212" s="380">
        <v>-70.611007317195003</v>
      </c>
      <c r="E212" s="381">
        <v>0.93106850896600002</v>
      </c>
      <c r="F212" s="379">
        <v>980.99999999998602</v>
      </c>
      <c r="G212" s="380">
        <v>408.74999999999397</v>
      </c>
      <c r="H212" s="382">
        <v>79.475999999999999</v>
      </c>
      <c r="I212" s="379">
        <v>397.38299999999998</v>
      </c>
      <c r="J212" s="380">
        <v>-11.366999999994</v>
      </c>
      <c r="K212" s="383">
        <v>0.40507951070300002</v>
      </c>
    </row>
    <row r="213" spans="1:11" ht="14.4" customHeight="1" thickBot="1" x14ac:dyDescent="0.35">
      <c r="A213" s="401" t="s">
        <v>423</v>
      </c>
      <c r="B213" s="379">
        <v>2431.40613424913</v>
      </c>
      <c r="C213" s="379">
        <v>2292.5590000000002</v>
      </c>
      <c r="D213" s="380">
        <v>-138.84713424912101</v>
      </c>
      <c r="E213" s="381">
        <v>0.94289430618199999</v>
      </c>
      <c r="F213" s="379">
        <v>2137.99999999997</v>
      </c>
      <c r="G213" s="380">
        <v>890.83333333332098</v>
      </c>
      <c r="H213" s="382">
        <v>178.22</v>
      </c>
      <c r="I213" s="379">
        <v>891.10699999999997</v>
      </c>
      <c r="J213" s="380">
        <v>0.27366666667799999</v>
      </c>
      <c r="K213" s="383">
        <v>0.41679466791300002</v>
      </c>
    </row>
    <row r="214" spans="1:11" ht="14.4" customHeight="1" thickBot="1" x14ac:dyDescent="0.35">
      <c r="A214" s="401" t="s">
        <v>424</v>
      </c>
      <c r="B214" s="379">
        <v>435.865994921533</v>
      </c>
      <c r="C214" s="379">
        <v>133.73099999999999</v>
      </c>
      <c r="D214" s="380">
        <v>-302.13499492153301</v>
      </c>
      <c r="E214" s="381">
        <v>0.30681677753699999</v>
      </c>
      <c r="F214" s="379">
        <v>140.99999999999801</v>
      </c>
      <c r="G214" s="380">
        <v>58.749999999998998</v>
      </c>
      <c r="H214" s="382">
        <v>11.520440000000001</v>
      </c>
      <c r="I214" s="379">
        <v>57.602130000000002</v>
      </c>
      <c r="J214" s="380">
        <v>-1.1478699999990001</v>
      </c>
      <c r="K214" s="383">
        <v>0.40852574468000002</v>
      </c>
    </row>
    <row r="215" spans="1:11" ht="14.4" customHeight="1" thickBot="1" x14ac:dyDescent="0.35">
      <c r="A215" s="401" t="s">
        <v>425</v>
      </c>
      <c r="B215" s="379">
        <v>49.689157025504002</v>
      </c>
      <c r="C215" s="379">
        <v>0</v>
      </c>
      <c r="D215" s="380">
        <v>-49.689157025504002</v>
      </c>
      <c r="E215" s="381">
        <v>0</v>
      </c>
      <c r="F215" s="379">
        <v>0</v>
      </c>
      <c r="G215" s="380">
        <v>0</v>
      </c>
      <c r="H215" s="382">
        <v>0</v>
      </c>
      <c r="I215" s="379">
        <v>0</v>
      </c>
      <c r="J215" s="380">
        <v>0</v>
      </c>
      <c r="K215" s="383">
        <v>0</v>
      </c>
    </row>
    <row r="216" spans="1:11" ht="14.4" customHeight="1" thickBot="1" x14ac:dyDescent="0.35">
      <c r="A216" s="400" t="s">
        <v>426</v>
      </c>
      <c r="B216" s="384">
        <v>0</v>
      </c>
      <c r="C216" s="384">
        <v>23.890619999999998</v>
      </c>
      <c r="D216" s="385">
        <v>23.890619999999998</v>
      </c>
      <c r="E216" s="386" t="s">
        <v>219</v>
      </c>
      <c r="F216" s="384">
        <v>0</v>
      </c>
      <c r="G216" s="385">
        <v>0</v>
      </c>
      <c r="H216" s="387">
        <v>0</v>
      </c>
      <c r="I216" s="384">
        <v>5.5804299999989997</v>
      </c>
      <c r="J216" s="385">
        <v>5.5804299999989997</v>
      </c>
      <c r="K216" s="388" t="s">
        <v>219</v>
      </c>
    </row>
    <row r="217" spans="1:11" ht="14.4" customHeight="1" thickBot="1" x14ac:dyDescent="0.35">
      <c r="A217" s="401" t="s">
        <v>427</v>
      </c>
      <c r="B217" s="379">
        <v>0</v>
      </c>
      <c r="C217" s="379">
        <v>23.890619999999998</v>
      </c>
      <c r="D217" s="380">
        <v>23.890619999999998</v>
      </c>
      <c r="E217" s="389" t="s">
        <v>219</v>
      </c>
      <c r="F217" s="379">
        <v>0</v>
      </c>
      <c r="G217" s="380">
        <v>0</v>
      </c>
      <c r="H217" s="382">
        <v>0</v>
      </c>
      <c r="I217" s="379">
        <v>5.5804299999989997</v>
      </c>
      <c r="J217" s="380">
        <v>5.5804299999989997</v>
      </c>
      <c r="K217" s="390" t="s">
        <v>219</v>
      </c>
    </row>
    <row r="218" spans="1:11" ht="14.4" customHeight="1" thickBot="1" x14ac:dyDescent="0.35">
      <c r="A218" s="399" t="s">
        <v>428</v>
      </c>
      <c r="B218" s="379">
        <v>9</v>
      </c>
      <c r="C218" s="379">
        <v>156.59541999999999</v>
      </c>
      <c r="D218" s="380">
        <v>147.59541999999999</v>
      </c>
      <c r="E218" s="381">
        <v>17.399491111111001</v>
      </c>
      <c r="F218" s="379">
        <v>0</v>
      </c>
      <c r="G218" s="380">
        <v>0</v>
      </c>
      <c r="H218" s="382">
        <v>41.64564</v>
      </c>
      <c r="I218" s="379">
        <v>42.973640000000003</v>
      </c>
      <c r="J218" s="380">
        <v>42.973640000000003</v>
      </c>
      <c r="K218" s="390" t="s">
        <v>219</v>
      </c>
    </row>
    <row r="219" spans="1:11" ht="14.4" customHeight="1" thickBot="1" x14ac:dyDescent="0.35">
      <c r="A219" s="400" t="s">
        <v>429</v>
      </c>
      <c r="B219" s="384">
        <v>0</v>
      </c>
      <c r="C219" s="384">
        <v>-0.56455999999999995</v>
      </c>
      <c r="D219" s="385">
        <v>-0.56455999999999995</v>
      </c>
      <c r="E219" s="386" t="s">
        <v>219</v>
      </c>
      <c r="F219" s="384">
        <v>0</v>
      </c>
      <c r="G219" s="385">
        <v>0</v>
      </c>
      <c r="H219" s="387">
        <v>0</v>
      </c>
      <c r="I219" s="384">
        <v>0</v>
      </c>
      <c r="J219" s="385">
        <v>0</v>
      </c>
      <c r="K219" s="388" t="s">
        <v>219</v>
      </c>
    </row>
    <row r="220" spans="1:11" ht="14.4" customHeight="1" thickBot="1" x14ac:dyDescent="0.35">
      <c r="A220" s="401" t="s">
        <v>430</v>
      </c>
      <c r="B220" s="379">
        <v>0</v>
      </c>
      <c r="C220" s="379">
        <v>-0.56455999999999995</v>
      </c>
      <c r="D220" s="380">
        <v>-0.56455999999999995</v>
      </c>
      <c r="E220" s="389" t="s">
        <v>219</v>
      </c>
      <c r="F220" s="379">
        <v>0</v>
      </c>
      <c r="G220" s="380">
        <v>0</v>
      </c>
      <c r="H220" s="382">
        <v>0</v>
      </c>
      <c r="I220" s="379">
        <v>0</v>
      </c>
      <c r="J220" s="380">
        <v>0</v>
      </c>
      <c r="K220" s="390" t="s">
        <v>219</v>
      </c>
    </row>
    <row r="221" spans="1:11" ht="14.4" customHeight="1" thickBot="1" x14ac:dyDescent="0.35">
      <c r="A221" s="400" t="s">
        <v>431</v>
      </c>
      <c r="B221" s="384">
        <v>9</v>
      </c>
      <c r="C221" s="384">
        <v>104.93640000000001</v>
      </c>
      <c r="D221" s="385">
        <v>95.936400000000006</v>
      </c>
      <c r="E221" s="391">
        <v>11.659599999999999</v>
      </c>
      <c r="F221" s="384">
        <v>0</v>
      </c>
      <c r="G221" s="385">
        <v>0</v>
      </c>
      <c r="H221" s="387">
        <v>0</v>
      </c>
      <c r="I221" s="384">
        <v>0</v>
      </c>
      <c r="J221" s="385">
        <v>0</v>
      </c>
      <c r="K221" s="388" t="s">
        <v>219</v>
      </c>
    </row>
    <row r="222" spans="1:11" ht="14.4" customHeight="1" thickBot="1" x14ac:dyDescent="0.35">
      <c r="A222" s="401" t="s">
        <v>432</v>
      </c>
      <c r="B222" s="379">
        <v>9</v>
      </c>
      <c r="C222" s="379">
        <v>104.93640000000001</v>
      </c>
      <c r="D222" s="380">
        <v>95.936400000000006</v>
      </c>
      <c r="E222" s="381">
        <v>11.659599999999999</v>
      </c>
      <c r="F222" s="379">
        <v>0</v>
      </c>
      <c r="G222" s="380">
        <v>0</v>
      </c>
      <c r="H222" s="382">
        <v>0</v>
      </c>
      <c r="I222" s="379">
        <v>0</v>
      </c>
      <c r="J222" s="380">
        <v>0</v>
      </c>
      <c r="K222" s="390" t="s">
        <v>219</v>
      </c>
    </row>
    <row r="223" spans="1:11" ht="14.4" customHeight="1" thickBot="1" x14ac:dyDescent="0.35">
      <c r="A223" s="400" t="s">
        <v>433</v>
      </c>
      <c r="B223" s="384">
        <v>0</v>
      </c>
      <c r="C223" s="384">
        <v>3.0249999999999999</v>
      </c>
      <c r="D223" s="385">
        <v>3.0249999999999999</v>
      </c>
      <c r="E223" s="386" t="s">
        <v>219</v>
      </c>
      <c r="F223" s="384">
        <v>0</v>
      </c>
      <c r="G223" s="385">
        <v>0</v>
      </c>
      <c r="H223" s="387">
        <v>41.64564</v>
      </c>
      <c r="I223" s="384">
        <v>41.64564</v>
      </c>
      <c r="J223" s="385">
        <v>41.64564</v>
      </c>
      <c r="K223" s="388" t="s">
        <v>219</v>
      </c>
    </row>
    <row r="224" spans="1:11" ht="14.4" customHeight="1" thickBot="1" x14ac:dyDescent="0.35">
      <c r="A224" s="401" t="s">
        <v>434</v>
      </c>
      <c r="B224" s="379">
        <v>0</v>
      </c>
      <c r="C224" s="379">
        <v>3.0249999999999999</v>
      </c>
      <c r="D224" s="380">
        <v>3.0249999999999999</v>
      </c>
      <c r="E224" s="389" t="s">
        <v>231</v>
      </c>
      <c r="F224" s="379">
        <v>0</v>
      </c>
      <c r="G224" s="380">
        <v>0</v>
      </c>
      <c r="H224" s="382">
        <v>0</v>
      </c>
      <c r="I224" s="379">
        <v>0</v>
      </c>
      <c r="J224" s="380">
        <v>0</v>
      </c>
      <c r="K224" s="390" t="s">
        <v>219</v>
      </c>
    </row>
    <row r="225" spans="1:11" ht="14.4" customHeight="1" thickBot="1" x14ac:dyDescent="0.35">
      <c r="A225" s="401" t="s">
        <v>435</v>
      </c>
      <c r="B225" s="379">
        <v>0</v>
      </c>
      <c r="C225" s="379">
        <v>0</v>
      </c>
      <c r="D225" s="380">
        <v>0</v>
      </c>
      <c r="E225" s="389" t="s">
        <v>219</v>
      </c>
      <c r="F225" s="379">
        <v>0</v>
      </c>
      <c r="G225" s="380">
        <v>0</v>
      </c>
      <c r="H225" s="382">
        <v>31.823</v>
      </c>
      <c r="I225" s="379">
        <v>31.823</v>
      </c>
      <c r="J225" s="380">
        <v>31.823</v>
      </c>
      <c r="K225" s="390" t="s">
        <v>219</v>
      </c>
    </row>
    <row r="226" spans="1:11" ht="14.4" customHeight="1" thickBot="1" x14ac:dyDescent="0.35">
      <c r="A226" s="401" t="s">
        <v>436</v>
      </c>
      <c r="B226" s="379">
        <v>0</v>
      </c>
      <c r="C226" s="379">
        <v>0</v>
      </c>
      <c r="D226" s="380">
        <v>0</v>
      </c>
      <c r="E226" s="381">
        <v>1</v>
      </c>
      <c r="F226" s="379">
        <v>0</v>
      </c>
      <c r="G226" s="380">
        <v>0</v>
      </c>
      <c r="H226" s="382">
        <v>9.8226399999999998</v>
      </c>
      <c r="I226" s="379">
        <v>9.8226399999999998</v>
      </c>
      <c r="J226" s="380">
        <v>9.8226399999999998</v>
      </c>
      <c r="K226" s="390" t="s">
        <v>231</v>
      </c>
    </row>
    <row r="227" spans="1:11" ht="14.4" customHeight="1" thickBot="1" x14ac:dyDescent="0.35">
      <c r="A227" s="400" t="s">
        <v>437</v>
      </c>
      <c r="B227" s="384">
        <v>0</v>
      </c>
      <c r="C227" s="384">
        <v>16.763819999999999</v>
      </c>
      <c r="D227" s="385">
        <v>16.763819999999999</v>
      </c>
      <c r="E227" s="386" t="s">
        <v>231</v>
      </c>
      <c r="F227" s="384">
        <v>0</v>
      </c>
      <c r="G227" s="385">
        <v>0</v>
      </c>
      <c r="H227" s="387">
        <v>0</v>
      </c>
      <c r="I227" s="384">
        <v>0</v>
      </c>
      <c r="J227" s="385">
        <v>0</v>
      </c>
      <c r="K227" s="388" t="s">
        <v>219</v>
      </c>
    </row>
    <row r="228" spans="1:11" ht="14.4" customHeight="1" thickBot="1" x14ac:dyDescent="0.35">
      <c r="A228" s="401" t="s">
        <v>438</v>
      </c>
      <c r="B228" s="379">
        <v>0</v>
      </c>
      <c r="C228" s="379">
        <v>16.763819999999999</v>
      </c>
      <c r="D228" s="380">
        <v>16.763819999999999</v>
      </c>
      <c r="E228" s="389" t="s">
        <v>231</v>
      </c>
      <c r="F228" s="379">
        <v>0</v>
      </c>
      <c r="G228" s="380">
        <v>0</v>
      </c>
      <c r="H228" s="382">
        <v>0</v>
      </c>
      <c r="I228" s="379">
        <v>0</v>
      </c>
      <c r="J228" s="380">
        <v>0</v>
      </c>
      <c r="K228" s="390" t="s">
        <v>219</v>
      </c>
    </row>
    <row r="229" spans="1:11" ht="14.4" customHeight="1" thickBot="1" x14ac:dyDescent="0.35">
      <c r="A229" s="400" t="s">
        <v>439</v>
      </c>
      <c r="B229" s="384">
        <v>0</v>
      </c>
      <c r="C229" s="384">
        <v>26.135999999999999</v>
      </c>
      <c r="D229" s="385">
        <v>26.135999999999999</v>
      </c>
      <c r="E229" s="386" t="s">
        <v>231</v>
      </c>
      <c r="F229" s="384">
        <v>0</v>
      </c>
      <c r="G229" s="385">
        <v>0</v>
      </c>
      <c r="H229" s="387">
        <v>0</v>
      </c>
      <c r="I229" s="384">
        <v>1.327999999999</v>
      </c>
      <c r="J229" s="385">
        <v>1.327999999999</v>
      </c>
      <c r="K229" s="388" t="s">
        <v>219</v>
      </c>
    </row>
    <row r="230" spans="1:11" ht="14.4" customHeight="1" thickBot="1" x14ac:dyDescent="0.35">
      <c r="A230" s="401" t="s">
        <v>440</v>
      </c>
      <c r="B230" s="379">
        <v>0</v>
      </c>
      <c r="C230" s="379">
        <v>26.135999999999999</v>
      </c>
      <c r="D230" s="380">
        <v>26.135999999999999</v>
      </c>
      <c r="E230" s="389" t="s">
        <v>231</v>
      </c>
      <c r="F230" s="379">
        <v>0</v>
      </c>
      <c r="G230" s="380">
        <v>0</v>
      </c>
      <c r="H230" s="382">
        <v>0</v>
      </c>
      <c r="I230" s="379">
        <v>1.327999999999</v>
      </c>
      <c r="J230" s="380">
        <v>1.327999999999</v>
      </c>
      <c r="K230" s="390" t="s">
        <v>219</v>
      </c>
    </row>
    <row r="231" spans="1:11" ht="14.4" customHeight="1" thickBot="1" x14ac:dyDescent="0.35">
      <c r="A231" s="400" t="s">
        <v>441</v>
      </c>
      <c r="B231" s="384">
        <v>0</v>
      </c>
      <c r="C231" s="384">
        <v>5.7342000000000004</v>
      </c>
      <c r="D231" s="385">
        <v>5.7342000000000004</v>
      </c>
      <c r="E231" s="386" t="s">
        <v>231</v>
      </c>
      <c r="F231" s="384">
        <v>0</v>
      </c>
      <c r="G231" s="385">
        <v>0</v>
      </c>
      <c r="H231" s="387">
        <v>0</v>
      </c>
      <c r="I231" s="384">
        <v>0</v>
      </c>
      <c r="J231" s="385">
        <v>0</v>
      </c>
      <c r="K231" s="388" t="s">
        <v>219</v>
      </c>
    </row>
    <row r="232" spans="1:11" ht="14.4" customHeight="1" thickBot="1" x14ac:dyDescent="0.35">
      <c r="A232" s="401" t="s">
        <v>442</v>
      </c>
      <c r="B232" s="379">
        <v>0</v>
      </c>
      <c r="C232" s="379">
        <v>0.232049999999</v>
      </c>
      <c r="D232" s="380">
        <v>0.232049999999</v>
      </c>
      <c r="E232" s="389" t="s">
        <v>231</v>
      </c>
      <c r="F232" s="379">
        <v>0</v>
      </c>
      <c r="G232" s="380">
        <v>0</v>
      </c>
      <c r="H232" s="382">
        <v>0</v>
      </c>
      <c r="I232" s="379">
        <v>0</v>
      </c>
      <c r="J232" s="380">
        <v>0</v>
      </c>
      <c r="K232" s="390" t="s">
        <v>219</v>
      </c>
    </row>
    <row r="233" spans="1:11" ht="14.4" customHeight="1" thickBot="1" x14ac:dyDescent="0.35">
      <c r="A233" s="401" t="s">
        <v>443</v>
      </c>
      <c r="B233" s="379">
        <v>0</v>
      </c>
      <c r="C233" s="379">
        <v>5.5021500000000003</v>
      </c>
      <c r="D233" s="380">
        <v>5.5021500000000003</v>
      </c>
      <c r="E233" s="389" t="s">
        <v>231</v>
      </c>
      <c r="F233" s="379">
        <v>0</v>
      </c>
      <c r="G233" s="380">
        <v>0</v>
      </c>
      <c r="H233" s="382">
        <v>0</v>
      </c>
      <c r="I233" s="379">
        <v>0</v>
      </c>
      <c r="J233" s="380">
        <v>0</v>
      </c>
      <c r="K233" s="390" t="s">
        <v>219</v>
      </c>
    </row>
    <row r="234" spans="1:11" ht="14.4" customHeight="1" thickBot="1" x14ac:dyDescent="0.35">
      <c r="A234" s="400" t="s">
        <v>444</v>
      </c>
      <c r="B234" s="384">
        <v>0</v>
      </c>
      <c r="C234" s="384">
        <v>0.56455999999999995</v>
      </c>
      <c r="D234" s="385">
        <v>0.56455999999999995</v>
      </c>
      <c r="E234" s="386" t="s">
        <v>219</v>
      </c>
      <c r="F234" s="384">
        <v>0</v>
      </c>
      <c r="G234" s="385">
        <v>0</v>
      </c>
      <c r="H234" s="387">
        <v>0</v>
      </c>
      <c r="I234" s="384">
        <v>0</v>
      </c>
      <c r="J234" s="385">
        <v>0</v>
      </c>
      <c r="K234" s="388" t="s">
        <v>219</v>
      </c>
    </row>
    <row r="235" spans="1:11" ht="14.4" customHeight="1" thickBot="1" x14ac:dyDescent="0.35">
      <c r="A235" s="401" t="s">
        <v>445</v>
      </c>
      <c r="B235" s="379">
        <v>0</v>
      </c>
      <c r="C235" s="379">
        <v>0.56455999999999995</v>
      </c>
      <c r="D235" s="380">
        <v>0.56455999999999995</v>
      </c>
      <c r="E235" s="389" t="s">
        <v>219</v>
      </c>
      <c r="F235" s="379">
        <v>0</v>
      </c>
      <c r="G235" s="380">
        <v>0</v>
      </c>
      <c r="H235" s="382">
        <v>0</v>
      </c>
      <c r="I235" s="379">
        <v>0</v>
      </c>
      <c r="J235" s="380">
        <v>0</v>
      </c>
      <c r="K235" s="390" t="s">
        <v>219</v>
      </c>
    </row>
    <row r="236" spans="1:11" ht="14.4" customHeight="1" thickBot="1" x14ac:dyDescent="0.35">
      <c r="A236" s="398" t="s">
        <v>446</v>
      </c>
      <c r="B236" s="379">
        <v>0</v>
      </c>
      <c r="C236" s="379">
        <v>4.7046299999999999</v>
      </c>
      <c r="D236" s="380">
        <v>4.7046299999999999</v>
      </c>
      <c r="E236" s="389" t="s">
        <v>219</v>
      </c>
      <c r="F236" s="379">
        <v>0</v>
      </c>
      <c r="G236" s="380">
        <v>0</v>
      </c>
      <c r="H236" s="382">
        <v>1.4458500000000001</v>
      </c>
      <c r="I236" s="379">
        <v>1.8131699999999999</v>
      </c>
      <c r="J236" s="380">
        <v>1.8131699999999999</v>
      </c>
      <c r="K236" s="390" t="s">
        <v>219</v>
      </c>
    </row>
    <row r="237" spans="1:11" ht="14.4" customHeight="1" thickBot="1" x14ac:dyDescent="0.35">
      <c r="A237" s="399" t="s">
        <v>447</v>
      </c>
      <c r="B237" s="379">
        <v>0</v>
      </c>
      <c r="C237" s="379">
        <v>4.7046299999999999</v>
      </c>
      <c r="D237" s="380">
        <v>4.7046299999999999</v>
      </c>
      <c r="E237" s="389" t="s">
        <v>219</v>
      </c>
      <c r="F237" s="379">
        <v>0</v>
      </c>
      <c r="G237" s="380">
        <v>0</v>
      </c>
      <c r="H237" s="382">
        <v>1.4458500000000001</v>
      </c>
      <c r="I237" s="379">
        <v>1.8131699999999999</v>
      </c>
      <c r="J237" s="380">
        <v>1.8131699999999999</v>
      </c>
      <c r="K237" s="390" t="s">
        <v>219</v>
      </c>
    </row>
    <row r="238" spans="1:11" ht="14.4" customHeight="1" thickBot="1" x14ac:dyDescent="0.35">
      <c r="A238" s="400" t="s">
        <v>448</v>
      </c>
      <c r="B238" s="384">
        <v>0</v>
      </c>
      <c r="C238" s="384">
        <v>-9.9059999999999995E-2</v>
      </c>
      <c r="D238" s="385">
        <v>-9.9059999999999995E-2</v>
      </c>
      <c r="E238" s="386" t="s">
        <v>231</v>
      </c>
      <c r="F238" s="384">
        <v>0</v>
      </c>
      <c r="G238" s="385">
        <v>0</v>
      </c>
      <c r="H238" s="387">
        <v>0</v>
      </c>
      <c r="I238" s="384">
        <v>0</v>
      </c>
      <c r="J238" s="385">
        <v>0</v>
      </c>
      <c r="K238" s="388" t="s">
        <v>219</v>
      </c>
    </row>
    <row r="239" spans="1:11" ht="14.4" customHeight="1" thickBot="1" x14ac:dyDescent="0.35">
      <c r="A239" s="401" t="s">
        <v>449</v>
      </c>
      <c r="B239" s="379">
        <v>0</v>
      </c>
      <c r="C239" s="379">
        <v>-9.9059999999999995E-2</v>
      </c>
      <c r="D239" s="380">
        <v>-9.9059999999999995E-2</v>
      </c>
      <c r="E239" s="389" t="s">
        <v>231</v>
      </c>
      <c r="F239" s="379">
        <v>0</v>
      </c>
      <c r="G239" s="380">
        <v>0</v>
      </c>
      <c r="H239" s="382">
        <v>0</v>
      </c>
      <c r="I239" s="379">
        <v>0</v>
      </c>
      <c r="J239" s="380">
        <v>0</v>
      </c>
      <c r="K239" s="390" t="s">
        <v>219</v>
      </c>
    </row>
    <row r="240" spans="1:11" ht="14.4" customHeight="1" thickBot="1" x14ac:dyDescent="0.35">
      <c r="A240" s="400" t="s">
        <v>450</v>
      </c>
      <c r="B240" s="384">
        <v>0</v>
      </c>
      <c r="C240" s="384">
        <v>4.7046299999999999</v>
      </c>
      <c r="D240" s="385">
        <v>4.7046299999999999</v>
      </c>
      <c r="E240" s="386" t="s">
        <v>219</v>
      </c>
      <c r="F240" s="384">
        <v>0</v>
      </c>
      <c r="G240" s="385">
        <v>0</v>
      </c>
      <c r="H240" s="387">
        <v>1.4458500000000001</v>
      </c>
      <c r="I240" s="384">
        <v>1.8131699999999999</v>
      </c>
      <c r="J240" s="385">
        <v>1.8131699999999999</v>
      </c>
      <c r="K240" s="388" t="s">
        <v>219</v>
      </c>
    </row>
    <row r="241" spans="1:11" ht="14.4" customHeight="1" thickBot="1" x14ac:dyDescent="0.35">
      <c r="A241" s="401" t="s">
        <v>451</v>
      </c>
      <c r="B241" s="379">
        <v>0</v>
      </c>
      <c r="C241" s="379">
        <v>4.7046299999999999</v>
      </c>
      <c r="D241" s="380">
        <v>4.7046299999999999</v>
      </c>
      <c r="E241" s="389" t="s">
        <v>219</v>
      </c>
      <c r="F241" s="379">
        <v>0</v>
      </c>
      <c r="G241" s="380">
        <v>0</v>
      </c>
      <c r="H241" s="382">
        <v>1.4458500000000001</v>
      </c>
      <c r="I241" s="379">
        <v>1.8131699999999999</v>
      </c>
      <c r="J241" s="380">
        <v>1.8131699999999999</v>
      </c>
      <c r="K241" s="390" t="s">
        <v>219</v>
      </c>
    </row>
    <row r="242" spans="1:11" ht="14.4" customHeight="1" thickBot="1" x14ac:dyDescent="0.35">
      <c r="A242" s="400" t="s">
        <v>452</v>
      </c>
      <c r="B242" s="384">
        <v>0</v>
      </c>
      <c r="C242" s="384">
        <v>9.9059999999999995E-2</v>
      </c>
      <c r="D242" s="385">
        <v>9.9059999999999995E-2</v>
      </c>
      <c r="E242" s="386" t="s">
        <v>231</v>
      </c>
      <c r="F242" s="384">
        <v>0</v>
      </c>
      <c r="G242" s="385">
        <v>0</v>
      </c>
      <c r="H242" s="387">
        <v>0</v>
      </c>
      <c r="I242" s="384">
        <v>0</v>
      </c>
      <c r="J242" s="385">
        <v>0</v>
      </c>
      <c r="K242" s="388" t="s">
        <v>219</v>
      </c>
    </row>
    <row r="243" spans="1:11" ht="14.4" customHeight="1" thickBot="1" x14ac:dyDescent="0.35">
      <c r="A243" s="401" t="s">
        <v>453</v>
      </c>
      <c r="B243" s="379">
        <v>0</v>
      </c>
      <c r="C243" s="379">
        <v>9.9059999999999995E-2</v>
      </c>
      <c r="D243" s="380">
        <v>9.9059999999999995E-2</v>
      </c>
      <c r="E243" s="389" t="s">
        <v>231</v>
      </c>
      <c r="F243" s="379">
        <v>0</v>
      </c>
      <c r="G243" s="380">
        <v>0</v>
      </c>
      <c r="H243" s="382">
        <v>0</v>
      </c>
      <c r="I243" s="379">
        <v>0</v>
      </c>
      <c r="J243" s="380">
        <v>0</v>
      </c>
      <c r="K243" s="390" t="s">
        <v>219</v>
      </c>
    </row>
    <row r="244" spans="1:11" ht="14.4" customHeight="1" thickBot="1" x14ac:dyDescent="0.35">
      <c r="A244" s="397" t="s">
        <v>454</v>
      </c>
      <c r="B244" s="379">
        <v>416411.51602051401</v>
      </c>
      <c r="C244" s="379">
        <v>428054.11437999998</v>
      </c>
      <c r="D244" s="380">
        <v>11642.598359486101</v>
      </c>
      <c r="E244" s="381">
        <v>1.0279593572979999</v>
      </c>
      <c r="F244" s="379">
        <v>442008.781400087</v>
      </c>
      <c r="G244" s="380">
        <v>184170.32558336901</v>
      </c>
      <c r="H244" s="382">
        <v>37542.48833</v>
      </c>
      <c r="I244" s="379">
        <v>183767.65982</v>
      </c>
      <c r="J244" s="380">
        <v>-402.66576336941199</v>
      </c>
      <c r="K244" s="383">
        <v>0.41575567625100002</v>
      </c>
    </row>
    <row r="245" spans="1:11" ht="14.4" customHeight="1" thickBot="1" x14ac:dyDescent="0.35">
      <c r="A245" s="398" t="s">
        <v>455</v>
      </c>
      <c r="B245" s="379">
        <v>415029</v>
      </c>
      <c r="C245" s="379">
        <v>423273.43913000001</v>
      </c>
      <c r="D245" s="380">
        <v>8244.4391300002499</v>
      </c>
      <c r="E245" s="381">
        <v>1.0198647302470001</v>
      </c>
      <c r="F245" s="379">
        <v>438802.662211043</v>
      </c>
      <c r="G245" s="380">
        <v>182834.44258793499</v>
      </c>
      <c r="H245" s="382">
        <v>37231.786919999999</v>
      </c>
      <c r="I245" s="379">
        <v>182154.70121999999</v>
      </c>
      <c r="J245" s="380">
        <v>-679.74136793459195</v>
      </c>
      <c r="K245" s="383">
        <v>0.41511758452399999</v>
      </c>
    </row>
    <row r="246" spans="1:11" ht="14.4" customHeight="1" thickBot="1" x14ac:dyDescent="0.35">
      <c r="A246" s="399" t="s">
        <v>456</v>
      </c>
      <c r="B246" s="379">
        <v>12448</v>
      </c>
      <c r="C246" s="379">
        <v>14559.47085</v>
      </c>
      <c r="D246" s="380">
        <v>2111.4708500000002</v>
      </c>
      <c r="E246" s="381">
        <v>1.169623300931</v>
      </c>
      <c r="F246" s="379">
        <v>13702.662211043</v>
      </c>
      <c r="G246" s="380">
        <v>5709.4425879345699</v>
      </c>
      <c r="H246" s="382">
        <v>1483.6104700000001</v>
      </c>
      <c r="I246" s="379">
        <v>6066.4226399999998</v>
      </c>
      <c r="J246" s="380">
        <v>356.98005206543002</v>
      </c>
      <c r="K246" s="383">
        <v>0.442718542321</v>
      </c>
    </row>
    <row r="247" spans="1:11" ht="14.4" customHeight="1" thickBot="1" x14ac:dyDescent="0.35">
      <c r="A247" s="400" t="s">
        <v>457</v>
      </c>
      <c r="B247" s="384">
        <v>0</v>
      </c>
      <c r="C247" s="384">
        <v>20.618230000000001</v>
      </c>
      <c r="D247" s="385">
        <v>20.618230000000001</v>
      </c>
      <c r="E247" s="386" t="s">
        <v>231</v>
      </c>
      <c r="F247" s="384">
        <v>22.399594083126001</v>
      </c>
      <c r="G247" s="385">
        <v>9.3331642013020009</v>
      </c>
      <c r="H247" s="387">
        <v>0</v>
      </c>
      <c r="I247" s="384">
        <v>1.8736299999999999</v>
      </c>
      <c r="J247" s="385">
        <v>-7.4595342013019996</v>
      </c>
      <c r="K247" s="392">
        <v>8.3645712196000005E-2</v>
      </c>
    </row>
    <row r="248" spans="1:11" ht="14.4" customHeight="1" thickBot="1" x14ac:dyDescent="0.35">
      <c r="A248" s="401" t="s">
        <v>458</v>
      </c>
      <c r="B248" s="379">
        <v>0</v>
      </c>
      <c r="C248" s="379">
        <v>10.174440000000001</v>
      </c>
      <c r="D248" s="380">
        <v>10.174440000000001</v>
      </c>
      <c r="E248" s="389" t="s">
        <v>231</v>
      </c>
      <c r="F248" s="379">
        <v>12.467392451774</v>
      </c>
      <c r="G248" s="380">
        <v>5.1947468549050004</v>
      </c>
      <c r="H248" s="382">
        <v>0</v>
      </c>
      <c r="I248" s="379">
        <v>0.72531999999999996</v>
      </c>
      <c r="J248" s="380">
        <v>-4.4694268549049996</v>
      </c>
      <c r="K248" s="383">
        <v>5.8177361689999998E-2</v>
      </c>
    </row>
    <row r="249" spans="1:11" ht="14.4" customHeight="1" thickBot="1" x14ac:dyDescent="0.35">
      <c r="A249" s="401" t="s">
        <v>459</v>
      </c>
      <c r="B249" s="379">
        <v>0</v>
      </c>
      <c r="C249" s="379">
        <v>10.44379</v>
      </c>
      <c r="D249" s="380">
        <v>10.44379</v>
      </c>
      <c r="E249" s="389" t="s">
        <v>231</v>
      </c>
      <c r="F249" s="379">
        <v>9.9322016313510009</v>
      </c>
      <c r="G249" s="380">
        <v>4.1384173463960003</v>
      </c>
      <c r="H249" s="382">
        <v>0</v>
      </c>
      <c r="I249" s="379">
        <v>1.1483099999999999</v>
      </c>
      <c r="J249" s="380">
        <v>-2.990107346396</v>
      </c>
      <c r="K249" s="383">
        <v>0.11561484982</v>
      </c>
    </row>
    <row r="250" spans="1:11" ht="14.4" customHeight="1" thickBot="1" x14ac:dyDescent="0.35">
      <c r="A250" s="400" t="s">
        <v>460</v>
      </c>
      <c r="B250" s="384">
        <v>12448</v>
      </c>
      <c r="C250" s="384">
        <v>13962.978880000001</v>
      </c>
      <c r="D250" s="385">
        <v>1514.9788799999999</v>
      </c>
      <c r="E250" s="391">
        <v>1.121704601542</v>
      </c>
      <c r="F250" s="384">
        <v>13000</v>
      </c>
      <c r="G250" s="385">
        <v>5416.6666666666697</v>
      </c>
      <c r="H250" s="387">
        <v>1337.2564600000001</v>
      </c>
      <c r="I250" s="384">
        <v>5424.9434799999999</v>
      </c>
      <c r="J250" s="385">
        <v>8.2768133333290006</v>
      </c>
      <c r="K250" s="392">
        <v>0.41730334461500002</v>
      </c>
    </row>
    <row r="251" spans="1:11" ht="14.4" customHeight="1" thickBot="1" x14ac:dyDescent="0.35">
      <c r="A251" s="401" t="s">
        <v>461</v>
      </c>
      <c r="B251" s="379">
        <v>5397</v>
      </c>
      <c r="C251" s="379">
        <v>5016.9059999999999</v>
      </c>
      <c r="D251" s="380">
        <v>-380.09399999999903</v>
      </c>
      <c r="E251" s="381">
        <v>0.92957309616399997</v>
      </c>
      <c r="F251" s="379">
        <v>0</v>
      </c>
      <c r="G251" s="380">
        <v>0</v>
      </c>
      <c r="H251" s="382">
        <v>0</v>
      </c>
      <c r="I251" s="379">
        <v>0</v>
      </c>
      <c r="J251" s="380">
        <v>0</v>
      </c>
      <c r="K251" s="390" t="s">
        <v>219</v>
      </c>
    </row>
    <row r="252" spans="1:11" ht="14.4" customHeight="1" thickBot="1" x14ac:dyDescent="0.35">
      <c r="A252" s="401" t="s">
        <v>462</v>
      </c>
      <c r="B252" s="379">
        <v>5127</v>
      </c>
      <c r="C252" s="379">
        <v>6566.8155399999996</v>
      </c>
      <c r="D252" s="380">
        <v>1439.8155400000001</v>
      </c>
      <c r="E252" s="381">
        <v>1.280830025355</v>
      </c>
      <c r="F252" s="379">
        <v>10500</v>
      </c>
      <c r="G252" s="380">
        <v>4375</v>
      </c>
      <c r="H252" s="382">
        <v>954.68499999999995</v>
      </c>
      <c r="I252" s="379">
        <v>3786.8409999999999</v>
      </c>
      <c r="J252" s="380">
        <v>-588.15900000000295</v>
      </c>
      <c r="K252" s="383">
        <v>0.36065152380900001</v>
      </c>
    </row>
    <row r="253" spans="1:11" ht="14.4" customHeight="1" thickBot="1" x14ac:dyDescent="0.35">
      <c r="A253" s="401" t="s">
        <v>463</v>
      </c>
      <c r="B253" s="379">
        <v>1924</v>
      </c>
      <c r="C253" s="379">
        <v>2379.2573400000001</v>
      </c>
      <c r="D253" s="380">
        <v>455.25734000000102</v>
      </c>
      <c r="E253" s="381">
        <v>1.2366202390850001</v>
      </c>
      <c r="F253" s="379">
        <v>2500</v>
      </c>
      <c r="G253" s="380">
        <v>1041.6666666666699</v>
      </c>
      <c r="H253" s="382">
        <v>382.57146</v>
      </c>
      <c r="I253" s="379">
        <v>1638.10248</v>
      </c>
      <c r="J253" s="380">
        <v>596.43581333333304</v>
      </c>
      <c r="K253" s="383">
        <v>0.65524099199999997</v>
      </c>
    </row>
    <row r="254" spans="1:11" ht="14.4" customHeight="1" thickBot="1" x14ac:dyDescent="0.35">
      <c r="A254" s="400" t="s">
        <v>464</v>
      </c>
      <c r="B254" s="384">
        <v>0</v>
      </c>
      <c r="C254" s="384">
        <v>1.14873</v>
      </c>
      <c r="D254" s="385">
        <v>1.14873</v>
      </c>
      <c r="E254" s="386" t="s">
        <v>231</v>
      </c>
      <c r="F254" s="384">
        <v>0</v>
      </c>
      <c r="G254" s="385">
        <v>0</v>
      </c>
      <c r="H254" s="387">
        <v>0</v>
      </c>
      <c r="I254" s="384">
        <v>0</v>
      </c>
      <c r="J254" s="385">
        <v>0</v>
      </c>
      <c r="K254" s="388" t="s">
        <v>219</v>
      </c>
    </row>
    <row r="255" spans="1:11" ht="14.4" customHeight="1" thickBot="1" x14ac:dyDescent="0.35">
      <c r="A255" s="401" t="s">
        <v>465</v>
      </c>
      <c r="B255" s="379">
        <v>0</v>
      </c>
      <c r="C255" s="379">
        <v>1.14873</v>
      </c>
      <c r="D255" s="380">
        <v>1.14873</v>
      </c>
      <c r="E255" s="389" t="s">
        <v>231</v>
      </c>
      <c r="F255" s="379">
        <v>0</v>
      </c>
      <c r="G255" s="380">
        <v>0</v>
      </c>
      <c r="H255" s="382">
        <v>0</v>
      </c>
      <c r="I255" s="379">
        <v>0</v>
      </c>
      <c r="J255" s="380">
        <v>0</v>
      </c>
      <c r="K255" s="390" t="s">
        <v>219</v>
      </c>
    </row>
    <row r="256" spans="1:11" ht="14.4" customHeight="1" thickBot="1" x14ac:dyDescent="0.35">
      <c r="A256" s="403" t="s">
        <v>466</v>
      </c>
      <c r="B256" s="379">
        <v>0</v>
      </c>
      <c r="C256" s="379">
        <v>1.0678300000000001</v>
      </c>
      <c r="D256" s="380">
        <v>1.0678300000000001</v>
      </c>
      <c r="E256" s="389" t="s">
        <v>231</v>
      </c>
      <c r="F256" s="379">
        <v>1.4672741653600001</v>
      </c>
      <c r="G256" s="380">
        <v>0.61136423556599995</v>
      </c>
      <c r="H256" s="382">
        <v>0.80164000000000002</v>
      </c>
      <c r="I256" s="379">
        <v>3.0924700000000001</v>
      </c>
      <c r="J256" s="380">
        <v>2.4811057644329999</v>
      </c>
      <c r="K256" s="383">
        <v>2.1076292849740002</v>
      </c>
    </row>
    <row r="257" spans="1:11" ht="14.4" customHeight="1" thickBot="1" x14ac:dyDescent="0.35">
      <c r="A257" s="401" t="s">
        <v>467</v>
      </c>
      <c r="B257" s="379">
        <v>0</v>
      </c>
      <c r="C257" s="379">
        <v>0</v>
      </c>
      <c r="D257" s="380">
        <v>0</v>
      </c>
      <c r="E257" s="381">
        <v>1</v>
      </c>
      <c r="F257" s="379">
        <v>1.4672741653600001</v>
      </c>
      <c r="G257" s="380">
        <v>0.61136423556599995</v>
      </c>
      <c r="H257" s="382">
        <v>0.80164000000000002</v>
      </c>
      <c r="I257" s="379">
        <v>3.0924700000000001</v>
      </c>
      <c r="J257" s="380">
        <v>2.4811057644329999</v>
      </c>
      <c r="K257" s="383">
        <v>2.1076292849740002</v>
      </c>
    </row>
    <row r="258" spans="1:11" ht="14.4" customHeight="1" thickBot="1" x14ac:dyDescent="0.35">
      <c r="A258" s="401" t="s">
        <v>468</v>
      </c>
      <c r="B258" s="379">
        <v>0</v>
      </c>
      <c r="C258" s="379">
        <v>0.17810999999999999</v>
      </c>
      <c r="D258" s="380">
        <v>0.17810999999999999</v>
      </c>
      <c r="E258" s="389" t="s">
        <v>231</v>
      </c>
      <c r="F258" s="379">
        <v>0</v>
      </c>
      <c r="G258" s="380">
        <v>0</v>
      </c>
      <c r="H258" s="382">
        <v>0</v>
      </c>
      <c r="I258" s="379">
        <v>0</v>
      </c>
      <c r="J258" s="380">
        <v>0</v>
      </c>
      <c r="K258" s="390" t="s">
        <v>219</v>
      </c>
    </row>
    <row r="259" spans="1:11" ht="14.4" customHeight="1" thickBot="1" x14ac:dyDescent="0.35">
      <c r="A259" s="401" t="s">
        <v>469</v>
      </c>
      <c r="B259" s="379">
        <v>0</v>
      </c>
      <c r="C259" s="379">
        <v>0.88971999999999996</v>
      </c>
      <c r="D259" s="380">
        <v>0.88971999999999996</v>
      </c>
      <c r="E259" s="389" t="s">
        <v>231</v>
      </c>
      <c r="F259" s="379">
        <v>0</v>
      </c>
      <c r="G259" s="380">
        <v>0</v>
      </c>
      <c r="H259" s="382">
        <v>0</v>
      </c>
      <c r="I259" s="379">
        <v>0</v>
      </c>
      <c r="J259" s="380">
        <v>0</v>
      </c>
      <c r="K259" s="390" t="s">
        <v>219</v>
      </c>
    </row>
    <row r="260" spans="1:11" ht="14.4" customHeight="1" thickBot="1" x14ac:dyDescent="0.35">
      <c r="A260" s="400" t="s">
        <v>470</v>
      </c>
      <c r="B260" s="384">
        <v>0</v>
      </c>
      <c r="C260" s="384">
        <v>573.65718000000004</v>
      </c>
      <c r="D260" s="385">
        <v>573.65718000000004</v>
      </c>
      <c r="E260" s="386" t="s">
        <v>231</v>
      </c>
      <c r="F260" s="384">
        <v>678.79534279447296</v>
      </c>
      <c r="G260" s="385">
        <v>282.831392831031</v>
      </c>
      <c r="H260" s="387">
        <v>149.98106000000001</v>
      </c>
      <c r="I260" s="384">
        <v>640.90302999999994</v>
      </c>
      <c r="J260" s="385">
        <v>358.071637168969</v>
      </c>
      <c r="K260" s="392">
        <v>0.94417711730499998</v>
      </c>
    </row>
    <row r="261" spans="1:11" ht="14.4" customHeight="1" thickBot="1" x14ac:dyDescent="0.35">
      <c r="A261" s="401" t="s">
        <v>471</v>
      </c>
      <c r="B261" s="379">
        <v>0</v>
      </c>
      <c r="C261" s="379">
        <v>301.12216000000001</v>
      </c>
      <c r="D261" s="380">
        <v>301.12216000000001</v>
      </c>
      <c r="E261" s="389" t="s">
        <v>231</v>
      </c>
      <c r="F261" s="379">
        <v>0</v>
      </c>
      <c r="G261" s="380">
        <v>0</v>
      </c>
      <c r="H261" s="382">
        <v>0</v>
      </c>
      <c r="I261" s="379">
        <v>0</v>
      </c>
      <c r="J261" s="380">
        <v>0</v>
      </c>
      <c r="K261" s="390" t="s">
        <v>219</v>
      </c>
    </row>
    <row r="262" spans="1:11" ht="14.4" customHeight="1" thickBot="1" x14ac:dyDescent="0.35">
      <c r="A262" s="401" t="s">
        <v>472</v>
      </c>
      <c r="B262" s="379">
        <v>0</v>
      </c>
      <c r="C262" s="379">
        <v>272.53501999999997</v>
      </c>
      <c r="D262" s="380">
        <v>272.53501999999997</v>
      </c>
      <c r="E262" s="389" t="s">
        <v>231</v>
      </c>
      <c r="F262" s="379">
        <v>678.79534279447296</v>
      </c>
      <c r="G262" s="380">
        <v>282.831392831031</v>
      </c>
      <c r="H262" s="382">
        <v>149.98106000000001</v>
      </c>
      <c r="I262" s="379">
        <v>640.90302999999994</v>
      </c>
      <c r="J262" s="380">
        <v>358.071637168969</v>
      </c>
      <c r="K262" s="383">
        <v>0.94417711730499998</v>
      </c>
    </row>
    <row r="263" spans="1:11" ht="14.4" customHeight="1" thickBot="1" x14ac:dyDescent="0.35">
      <c r="A263" s="400" t="s">
        <v>473</v>
      </c>
      <c r="B263" s="384">
        <v>0</v>
      </c>
      <c r="C263" s="384">
        <v>0</v>
      </c>
      <c r="D263" s="385">
        <v>0</v>
      </c>
      <c r="E263" s="391">
        <v>1</v>
      </c>
      <c r="F263" s="384">
        <v>0</v>
      </c>
      <c r="G263" s="385">
        <v>0</v>
      </c>
      <c r="H263" s="387">
        <v>-4.4286899999999996</v>
      </c>
      <c r="I263" s="384">
        <v>-4.3899699999999999</v>
      </c>
      <c r="J263" s="385">
        <v>-4.3899699999999999</v>
      </c>
      <c r="K263" s="388" t="s">
        <v>231</v>
      </c>
    </row>
    <row r="264" spans="1:11" ht="14.4" customHeight="1" thickBot="1" x14ac:dyDescent="0.35">
      <c r="A264" s="401" t="s">
        <v>474</v>
      </c>
      <c r="B264" s="379">
        <v>0</v>
      </c>
      <c r="C264" s="379">
        <v>0</v>
      </c>
      <c r="D264" s="380">
        <v>0</v>
      </c>
      <c r="E264" s="381">
        <v>1</v>
      </c>
      <c r="F264" s="379">
        <v>0</v>
      </c>
      <c r="G264" s="380">
        <v>0</v>
      </c>
      <c r="H264" s="382">
        <v>-4.4286899999999996</v>
      </c>
      <c r="I264" s="379">
        <v>-4.3899699999999999</v>
      </c>
      <c r="J264" s="380">
        <v>-4.3899699999999999</v>
      </c>
      <c r="K264" s="390" t="s">
        <v>231</v>
      </c>
    </row>
    <row r="265" spans="1:11" ht="14.4" customHeight="1" thickBot="1" x14ac:dyDescent="0.35">
      <c r="A265" s="399" t="s">
        <v>475</v>
      </c>
      <c r="B265" s="379">
        <v>402581</v>
      </c>
      <c r="C265" s="379">
        <v>408713.96827999997</v>
      </c>
      <c r="D265" s="380">
        <v>6132.9682800002602</v>
      </c>
      <c r="E265" s="381">
        <v>1.015234122524</v>
      </c>
      <c r="F265" s="379">
        <v>425100</v>
      </c>
      <c r="G265" s="380">
        <v>177125</v>
      </c>
      <c r="H265" s="382">
        <v>35748.176449999999</v>
      </c>
      <c r="I265" s="379">
        <v>176088.27858000001</v>
      </c>
      <c r="J265" s="380">
        <v>-1036.7214200000201</v>
      </c>
      <c r="K265" s="383">
        <v>0.41422789597699999</v>
      </c>
    </row>
    <row r="266" spans="1:11" ht="14.4" customHeight="1" thickBot="1" x14ac:dyDescent="0.35">
      <c r="A266" s="400" t="s">
        <v>476</v>
      </c>
      <c r="B266" s="384">
        <v>402581</v>
      </c>
      <c r="C266" s="384">
        <v>408713.96827999997</v>
      </c>
      <c r="D266" s="385">
        <v>6132.9682800002602</v>
      </c>
      <c r="E266" s="391">
        <v>1.015234122524</v>
      </c>
      <c r="F266" s="384">
        <v>425100</v>
      </c>
      <c r="G266" s="385">
        <v>177125</v>
      </c>
      <c r="H266" s="387">
        <v>35748.176449999999</v>
      </c>
      <c r="I266" s="384">
        <v>176088.27858000001</v>
      </c>
      <c r="J266" s="385">
        <v>-1036.7214200000201</v>
      </c>
      <c r="K266" s="392">
        <v>0.41422789597699999</v>
      </c>
    </row>
    <row r="267" spans="1:11" ht="14.4" customHeight="1" thickBot="1" x14ac:dyDescent="0.35">
      <c r="A267" s="401" t="s">
        <v>477</v>
      </c>
      <c r="B267" s="379">
        <v>32761.9186203059</v>
      </c>
      <c r="C267" s="379">
        <v>33321.246829999996</v>
      </c>
      <c r="D267" s="380">
        <v>559.32820969409704</v>
      </c>
      <c r="E267" s="381">
        <v>1.0170725108059999</v>
      </c>
      <c r="F267" s="379">
        <v>34300</v>
      </c>
      <c r="G267" s="380">
        <v>14291.666666666701</v>
      </c>
      <c r="H267" s="382">
        <v>3274.5192400000001</v>
      </c>
      <c r="I267" s="379">
        <v>15560.977860000001</v>
      </c>
      <c r="J267" s="380">
        <v>1269.31119333333</v>
      </c>
      <c r="K267" s="383">
        <v>0.453672823906</v>
      </c>
    </row>
    <row r="268" spans="1:11" ht="14.4" customHeight="1" thickBot="1" x14ac:dyDescent="0.35">
      <c r="A268" s="401" t="s">
        <v>478</v>
      </c>
      <c r="B268" s="379">
        <v>990.997538389694</v>
      </c>
      <c r="C268" s="379">
        <v>1394.87833</v>
      </c>
      <c r="D268" s="380">
        <v>403.88079161030601</v>
      </c>
      <c r="E268" s="381">
        <v>1.407549742521</v>
      </c>
      <c r="F268" s="379">
        <v>1400</v>
      </c>
      <c r="G268" s="380">
        <v>583.33333333333303</v>
      </c>
      <c r="H268" s="382">
        <v>150.41605000000001</v>
      </c>
      <c r="I268" s="379">
        <v>653.68789000000004</v>
      </c>
      <c r="J268" s="380">
        <v>70.354556666665999</v>
      </c>
      <c r="K268" s="383">
        <v>0.46691992142799998</v>
      </c>
    </row>
    <row r="269" spans="1:11" ht="14.4" customHeight="1" thickBot="1" x14ac:dyDescent="0.35">
      <c r="A269" s="401" t="s">
        <v>479</v>
      </c>
      <c r="B269" s="379">
        <v>7415.9815789081404</v>
      </c>
      <c r="C269" s="379">
        <v>4617.0579799999996</v>
      </c>
      <c r="D269" s="380">
        <v>-2798.9235989081499</v>
      </c>
      <c r="E269" s="381">
        <v>0.62258218023699996</v>
      </c>
      <c r="F269" s="379">
        <v>5300</v>
      </c>
      <c r="G269" s="380">
        <v>2208.3333333333298</v>
      </c>
      <c r="H269" s="382">
        <v>89.845579999999998</v>
      </c>
      <c r="I269" s="379">
        <v>558.79596000000004</v>
      </c>
      <c r="J269" s="380">
        <v>-1649.5373733333299</v>
      </c>
      <c r="K269" s="383">
        <v>0.1054332</v>
      </c>
    </row>
    <row r="270" spans="1:11" ht="14.4" customHeight="1" thickBot="1" x14ac:dyDescent="0.35">
      <c r="A270" s="401" t="s">
        <v>480</v>
      </c>
      <c r="B270" s="379">
        <v>120016.70188185301</v>
      </c>
      <c r="C270" s="379">
        <v>122455.35662999999</v>
      </c>
      <c r="D270" s="380">
        <v>2438.6547481474099</v>
      </c>
      <c r="E270" s="381">
        <v>1.0203192948140001</v>
      </c>
      <c r="F270" s="379">
        <v>0</v>
      </c>
      <c r="G270" s="380">
        <v>0</v>
      </c>
      <c r="H270" s="382">
        <v>0</v>
      </c>
      <c r="I270" s="379">
        <v>0</v>
      </c>
      <c r="J270" s="380">
        <v>0</v>
      </c>
      <c r="K270" s="390" t="s">
        <v>219</v>
      </c>
    </row>
    <row r="271" spans="1:11" ht="14.4" customHeight="1" thickBot="1" x14ac:dyDescent="0.35">
      <c r="A271" s="401" t="s">
        <v>481</v>
      </c>
      <c r="B271" s="379">
        <v>176651.561202438</v>
      </c>
      <c r="C271" s="379">
        <v>179798.75249000001</v>
      </c>
      <c r="D271" s="380">
        <v>3147.19128756179</v>
      </c>
      <c r="E271" s="381">
        <v>1.017815813605</v>
      </c>
      <c r="F271" s="379">
        <v>314300</v>
      </c>
      <c r="G271" s="380">
        <v>130958.33333333299</v>
      </c>
      <c r="H271" s="382">
        <v>25341.234349999999</v>
      </c>
      <c r="I271" s="379">
        <v>128184.6502</v>
      </c>
      <c r="J271" s="380">
        <v>-2773.6831333333098</v>
      </c>
      <c r="K271" s="383">
        <v>0.40784171237599998</v>
      </c>
    </row>
    <row r="272" spans="1:11" ht="14.4" customHeight="1" thickBot="1" x14ac:dyDescent="0.35">
      <c r="A272" s="401" t="s">
        <v>482</v>
      </c>
      <c r="B272" s="379">
        <v>6422.9840454863797</v>
      </c>
      <c r="C272" s="379">
        <v>6695.9842099999996</v>
      </c>
      <c r="D272" s="380">
        <v>273.00016451362001</v>
      </c>
      <c r="E272" s="381">
        <v>1.0425036342259999</v>
      </c>
      <c r="F272" s="379">
        <v>7000</v>
      </c>
      <c r="G272" s="380">
        <v>2916.6666666666702</v>
      </c>
      <c r="H272" s="382">
        <v>700.07521999999994</v>
      </c>
      <c r="I272" s="379">
        <v>3138.3207400000001</v>
      </c>
      <c r="J272" s="380">
        <v>221.65407333333201</v>
      </c>
      <c r="K272" s="383">
        <v>0.448331534285</v>
      </c>
    </row>
    <row r="273" spans="1:11" ht="14.4" customHeight="1" thickBot="1" x14ac:dyDescent="0.35">
      <c r="A273" s="401" t="s">
        <v>483</v>
      </c>
      <c r="B273" s="379">
        <v>19703.9510559339</v>
      </c>
      <c r="C273" s="379">
        <v>20084.519359999998</v>
      </c>
      <c r="D273" s="380">
        <v>380.56830406606201</v>
      </c>
      <c r="E273" s="381">
        <v>1.0193143143209999</v>
      </c>
      <c r="F273" s="379">
        <v>0</v>
      </c>
      <c r="G273" s="380">
        <v>0</v>
      </c>
      <c r="H273" s="382">
        <v>0</v>
      </c>
      <c r="I273" s="379">
        <v>0</v>
      </c>
      <c r="J273" s="380">
        <v>0</v>
      </c>
      <c r="K273" s="390" t="s">
        <v>219</v>
      </c>
    </row>
    <row r="274" spans="1:11" ht="14.4" customHeight="1" thickBot="1" x14ac:dyDescent="0.35">
      <c r="A274" s="401" t="s">
        <v>484</v>
      </c>
      <c r="B274" s="379">
        <v>23794.940894029001</v>
      </c>
      <c r="C274" s="379">
        <v>24788.67929</v>
      </c>
      <c r="D274" s="380">
        <v>993.73839597097003</v>
      </c>
      <c r="E274" s="381">
        <v>1.0417625914849999</v>
      </c>
      <c r="F274" s="379">
        <v>46800</v>
      </c>
      <c r="G274" s="380">
        <v>19500</v>
      </c>
      <c r="H274" s="382">
        <v>4790.3133900000003</v>
      </c>
      <c r="I274" s="379">
        <v>20906.474330000001</v>
      </c>
      <c r="J274" s="380">
        <v>1406.47433</v>
      </c>
      <c r="K274" s="383">
        <v>0.446719536965</v>
      </c>
    </row>
    <row r="275" spans="1:11" ht="14.4" customHeight="1" thickBot="1" x14ac:dyDescent="0.35">
      <c r="A275" s="401" t="s">
        <v>485</v>
      </c>
      <c r="B275" s="379">
        <v>214.99946594731</v>
      </c>
      <c r="C275" s="379">
        <v>516.00257999999997</v>
      </c>
      <c r="D275" s="380">
        <v>301.00311405269002</v>
      </c>
      <c r="E275" s="381">
        <v>2.400017961563</v>
      </c>
      <c r="F275" s="379">
        <v>600</v>
      </c>
      <c r="G275" s="380">
        <v>250</v>
      </c>
      <c r="H275" s="382">
        <v>24.145879999999998</v>
      </c>
      <c r="I275" s="379">
        <v>166.48990000000001</v>
      </c>
      <c r="J275" s="380">
        <v>-83.510099999999994</v>
      </c>
      <c r="K275" s="383">
        <v>0.27748316666599998</v>
      </c>
    </row>
    <row r="276" spans="1:11" ht="14.4" customHeight="1" thickBot="1" x14ac:dyDescent="0.35">
      <c r="A276" s="401" t="s">
        <v>486</v>
      </c>
      <c r="B276" s="379">
        <v>17.999955288612</v>
      </c>
      <c r="C276" s="379">
        <v>4.4910199999999998</v>
      </c>
      <c r="D276" s="380">
        <v>-13.508935288611999</v>
      </c>
      <c r="E276" s="381">
        <v>0.24950173086399999</v>
      </c>
      <c r="F276" s="379">
        <v>0</v>
      </c>
      <c r="G276" s="380">
        <v>0</v>
      </c>
      <c r="H276" s="382">
        <v>0</v>
      </c>
      <c r="I276" s="379">
        <v>0</v>
      </c>
      <c r="J276" s="380">
        <v>0</v>
      </c>
      <c r="K276" s="390" t="s">
        <v>219</v>
      </c>
    </row>
    <row r="277" spans="1:11" ht="14.4" customHeight="1" thickBot="1" x14ac:dyDescent="0.35">
      <c r="A277" s="401" t="s">
        <v>487</v>
      </c>
      <c r="B277" s="379">
        <v>379.99905609292</v>
      </c>
      <c r="C277" s="379">
        <v>148.03446</v>
      </c>
      <c r="D277" s="380">
        <v>-231.96459609292</v>
      </c>
      <c r="E277" s="381">
        <v>0.38956533608799998</v>
      </c>
      <c r="F277" s="379">
        <v>250</v>
      </c>
      <c r="G277" s="380">
        <v>104.166666666667</v>
      </c>
      <c r="H277" s="382">
        <v>0</v>
      </c>
      <c r="I277" s="379">
        <v>0</v>
      </c>
      <c r="J277" s="380">
        <v>-104.166666666667</v>
      </c>
      <c r="K277" s="383">
        <v>0</v>
      </c>
    </row>
    <row r="278" spans="1:11" ht="14.4" customHeight="1" thickBot="1" x14ac:dyDescent="0.35">
      <c r="A278" s="401" t="s">
        <v>488</v>
      </c>
      <c r="B278" s="379">
        <v>48.999878285666</v>
      </c>
      <c r="C278" s="379">
        <v>163.10499999999999</v>
      </c>
      <c r="D278" s="380">
        <v>114.105121714334</v>
      </c>
      <c r="E278" s="381">
        <v>3.3286817377200002</v>
      </c>
      <c r="F278" s="379">
        <v>0</v>
      </c>
      <c r="G278" s="380">
        <v>0</v>
      </c>
      <c r="H278" s="382">
        <v>0</v>
      </c>
      <c r="I278" s="379">
        <v>0</v>
      </c>
      <c r="J278" s="380">
        <v>0</v>
      </c>
      <c r="K278" s="390" t="s">
        <v>219</v>
      </c>
    </row>
    <row r="279" spans="1:11" ht="14.4" customHeight="1" thickBot="1" x14ac:dyDescent="0.35">
      <c r="A279" s="401" t="s">
        <v>489</v>
      </c>
      <c r="B279" s="379">
        <v>193.999518110596</v>
      </c>
      <c r="C279" s="379">
        <v>178.25091</v>
      </c>
      <c r="D279" s="380">
        <v>-15.748608110596001</v>
      </c>
      <c r="E279" s="381">
        <v>0.91882140603200002</v>
      </c>
      <c r="F279" s="379">
        <v>400</v>
      </c>
      <c r="G279" s="380">
        <v>166.666666666667</v>
      </c>
      <c r="H279" s="382">
        <v>37.40361</v>
      </c>
      <c r="I279" s="379">
        <v>211.82344000000001</v>
      </c>
      <c r="J279" s="380">
        <v>45.156773333333</v>
      </c>
      <c r="K279" s="383">
        <v>0.52955859999999999</v>
      </c>
    </row>
    <row r="280" spans="1:11" ht="14.4" customHeight="1" thickBot="1" x14ac:dyDescent="0.35">
      <c r="A280" s="401" t="s">
        <v>490</v>
      </c>
      <c r="B280" s="379">
        <v>513.998723241476</v>
      </c>
      <c r="C280" s="379">
        <v>663.02521999999999</v>
      </c>
      <c r="D280" s="380">
        <v>149.02649675852399</v>
      </c>
      <c r="E280" s="381">
        <v>1.2899355387860001</v>
      </c>
      <c r="F280" s="379">
        <v>0</v>
      </c>
      <c r="G280" s="380">
        <v>0</v>
      </c>
      <c r="H280" s="382">
        <v>0</v>
      </c>
      <c r="I280" s="379">
        <v>0</v>
      </c>
      <c r="J280" s="380">
        <v>0</v>
      </c>
      <c r="K280" s="390" t="s">
        <v>219</v>
      </c>
    </row>
    <row r="281" spans="1:11" ht="14.4" customHeight="1" thickBot="1" x14ac:dyDescent="0.35">
      <c r="A281" s="401" t="s">
        <v>491</v>
      </c>
      <c r="B281" s="379">
        <v>607.998489748672</v>
      </c>
      <c r="C281" s="379">
        <v>625.56682000000001</v>
      </c>
      <c r="D281" s="380">
        <v>17.568330251327001</v>
      </c>
      <c r="E281" s="381">
        <v>1.028895351793</v>
      </c>
      <c r="F281" s="379">
        <v>1350</v>
      </c>
      <c r="G281" s="380">
        <v>562.5</v>
      </c>
      <c r="H281" s="382">
        <v>79.117559999999997</v>
      </c>
      <c r="I281" s="379">
        <v>466.07279</v>
      </c>
      <c r="J281" s="380">
        <v>-96.427209999998993</v>
      </c>
      <c r="K281" s="383">
        <v>0.34523910370299998</v>
      </c>
    </row>
    <row r="282" spans="1:11" ht="14.4" customHeight="1" thickBot="1" x14ac:dyDescent="0.35">
      <c r="A282" s="401" t="s">
        <v>492</v>
      </c>
      <c r="B282" s="379">
        <v>1472.99634111808</v>
      </c>
      <c r="C282" s="379">
        <v>1693.23332</v>
      </c>
      <c r="D282" s="380">
        <v>220.23697888191799</v>
      </c>
      <c r="E282" s="381">
        <v>1.1495163108919999</v>
      </c>
      <c r="F282" s="379">
        <v>1700</v>
      </c>
      <c r="G282" s="380">
        <v>708.33333333333303</v>
      </c>
      <c r="H282" s="382">
        <v>140.00765000000001</v>
      </c>
      <c r="I282" s="379">
        <v>783.61294999999996</v>
      </c>
      <c r="J282" s="380">
        <v>75.279616666666001</v>
      </c>
      <c r="K282" s="383">
        <v>0.46094879411700002</v>
      </c>
    </row>
    <row r="283" spans="1:11" ht="14.4" customHeight="1" thickBot="1" x14ac:dyDescent="0.35">
      <c r="A283" s="401" t="s">
        <v>493</v>
      </c>
      <c r="B283" s="379">
        <v>11370.9717548226</v>
      </c>
      <c r="C283" s="379">
        <v>11565.78383</v>
      </c>
      <c r="D283" s="380">
        <v>194.812075177384</v>
      </c>
      <c r="E283" s="381">
        <v>1.017132403402</v>
      </c>
      <c r="F283" s="379">
        <v>11700</v>
      </c>
      <c r="G283" s="380">
        <v>4875</v>
      </c>
      <c r="H283" s="382">
        <v>1121.0979199999999</v>
      </c>
      <c r="I283" s="379">
        <v>5457.3725199999999</v>
      </c>
      <c r="J283" s="380">
        <v>582.37252000000103</v>
      </c>
      <c r="K283" s="383">
        <v>0.46644209572599998</v>
      </c>
    </row>
    <row r="284" spans="1:11" ht="14.4" customHeight="1" thickBot="1" x14ac:dyDescent="0.35">
      <c r="A284" s="398" t="s">
        <v>494</v>
      </c>
      <c r="B284" s="379">
        <v>1382.5160205140501</v>
      </c>
      <c r="C284" s="379">
        <v>3780.6293500000002</v>
      </c>
      <c r="D284" s="380">
        <v>2398.1133294859501</v>
      </c>
      <c r="E284" s="381">
        <v>2.73460075247</v>
      </c>
      <c r="F284" s="379">
        <v>2764.4201550407902</v>
      </c>
      <c r="G284" s="380">
        <v>1151.8417312669999</v>
      </c>
      <c r="H284" s="382">
        <v>310.70141000000001</v>
      </c>
      <c r="I284" s="379">
        <v>1612.95162</v>
      </c>
      <c r="J284" s="380">
        <v>461.10988873300198</v>
      </c>
      <c r="K284" s="383">
        <v>0.58346833315400004</v>
      </c>
    </row>
    <row r="285" spans="1:11" ht="14.4" customHeight="1" thickBot="1" x14ac:dyDescent="0.35">
      <c r="A285" s="399" t="s">
        <v>495</v>
      </c>
      <c r="B285" s="379">
        <v>0</v>
      </c>
      <c r="C285" s="379">
        <v>898.24639000000002</v>
      </c>
      <c r="D285" s="380">
        <v>898.24639000000002</v>
      </c>
      <c r="E285" s="389" t="s">
        <v>231</v>
      </c>
      <c r="F285" s="379">
        <v>0</v>
      </c>
      <c r="G285" s="380">
        <v>0</v>
      </c>
      <c r="H285" s="382">
        <v>142.50001</v>
      </c>
      <c r="I285" s="379">
        <v>223.29217</v>
      </c>
      <c r="J285" s="380">
        <v>223.29217</v>
      </c>
      <c r="K285" s="390" t="s">
        <v>219</v>
      </c>
    </row>
    <row r="286" spans="1:11" ht="14.4" customHeight="1" thickBot="1" x14ac:dyDescent="0.35">
      <c r="A286" s="400" t="s">
        <v>496</v>
      </c>
      <c r="B286" s="384">
        <v>0</v>
      </c>
      <c r="C286" s="384">
        <v>898.24639000000002</v>
      </c>
      <c r="D286" s="385">
        <v>898.24639000000002</v>
      </c>
      <c r="E286" s="386" t="s">
        <v>231</v>
      </c>
      <c r="F286" s="384">
        <v>0</v>
      </c>
      <c r="G286" s="385">
        <v>0</v>
      </c>
      <c r="H286" s="387">
        <v>142.50001</v>
      </c>
      <c r="I286" s="384">
        <v>223.29217</v>
      </c>
      <c r="J286" s="385">
        <v>223.29217</v>
      </c>
      <c r="K286" s="388" t="s">
        <v>219</v>
      </c>
    </row>
    <row r="287" spans="1:11" ht="14.4" customHeight="1" thickBot="1" x14ac:dyDescent="0.35">
      <c r="A287" s="401" t="s">
        <v>497</v>
      </c>
      <c r="B287" s="379">
        <v>0</v>
      </c>
      <c r="C287" s="379">
        <v>898.24639000000002</v>
      </c>
      <c r="D287" s="380">
        <v>898.24639000000002</v>
      </c>
      <c r="E287" s="389" t="s">
        <v>231</v>
      </c>
      <c r="F287" s="379">
        <v>0</v>
      </c>
      <c r="G287" s="380">
        <v>0</v>
      </c>
      <c r="H287" s="382">
        <v>142.50001</v>
      </c>
      <c r="I287" s="379">
        <v>223.29217</v>
      </c>
      <c r="J287" s="380">
        <v>223.29217</v>
      </c>
      <c r="K287" s="390" t="s">
        <v>219</v>
      </c>
    </row>
    <row r="288" spans="1:11" ht="14.4" customHeight="1" thickBot="1" x14ac:dyDescent="0.35">
      <c r="A288" s="399" t="s">
        <v>498</v>
      </c>
      <c r="B288" s="379">
        <v>0</v>
      </c>
      <c r="C288" s="379">
        <v>49.015970000000003</v>
      </c>
      <c r="D288" s="380">
        <v>49.015970000000003</v>
      </c>
      <c r="E288" s="389" t="s">
        <v>219</v>
      </c>
      <c r="F288" s="379">
        <v>0</v>
      </c>
      <c r="G288" s="380">
        <v>0</v>
      </c>
      <c r="H288" s="382">
        <v>1.5</v>
      </c>
      <c r="I288" s="379">
        <v>7.5</v>
      </c>
      <c r="J288" s="380">
        <v>7.5</v>
      </c>
      <c r="K288" s="390" t="s">
        <v>219</v>
      </c>
    </row>
    <row r="289" spans="1:11" ht="14.4" customHeight="1" thickBot="1" x14ac:dyDescent="0.35">
      <c r="A289" s="400" t="s">
        <v>499</v>
      </c>
      <c r="B289" s="384">
        <v>0</v>
      </c>
      <c r="C289" s="384">
        <v>22.265969999999999</v>
      </c>
      <c r="D289" s="385">
        <v>22.265969999999999</v>
      </c>
      <c r="E289" s="386" t="s">
        <v>219</v>
      </c>
      <c r="F289" s="384">
        <v>0</v>
      </c>
      <c r="G289" s="385">
        <v>0</v>
      </c>
      <c r="H289" s="387">
        <v>0</v>
      </c>
      <c r="I289" s="384">
        <v>0</v>
      </c>
      <c r="J289" s="385">
        <v>0</v>
      </c>
      <c r="K289" s="388" t="s">
        <v>219</v>
      </c>
    </row>
    <row r="290" spans="1:11" ht="14.4" customHeight="1" thickBot="1" x14ac:dyDescent="0.35">
      <c r="A290" s="401" t="s">
        <v>500</v>
      </c>
      <c r="B290" s="379">
        <v>0</v>
      </c>
      <c r="C290" s="379">
        <v>22.265969999999999</v>
      </c>
      <c r="D290" s="380">
        <v>22.265969999999999</v>
      </c>
      <c r="E290" s="389" t="s">
        <v>219</v>
      </c>
      <c r="F290" s="379">
        <v>0</v>
      </c>
      <c r="G290" s="380">
        <v>0</v>
      </c>
      <c r="H290" s="382">
        <v>0</v>
      </c>
      <c r="I290" s="379">
        <v>0</v>
      </c>
      <c r="J290" s="380">
        <v>0</v>
      </c>
      <c r="K290" s="390" t="s">
        <v>219</v>
      </c>
    </row>
    <row r="291" spans="1:11" ht="14.4" customHeight="1" thickBot="1" x14ac:dyDescent="0.35">
      <c r="A291" s="400" t="s">
        <v>501</v>
      </c>
      <c r="B291" s="384">
        <v>0</v>
      </c>
      <c r="C291" s="384">
        <v>26.75</v>
      </c>
      <c r="D291" s="385">
        <v>26.75</v>
      </c>
      <c r="E291" s="386" t="s">
        <v>219</v>
      </c>
      <c r="F291" s="384">
        <v>0</v>
      </c>
      <c r="G291" s="385">
        <v>0</v>
      </c>
      <c r="H291" s="387">
        <v>1.5</v>
      </c>
      <c r="I291" s="384">
        <v>7.5</v>
      </c>
      <c r="J291" s="385">
        <v>7.5</v>
      </c>
      <c r="K291" s="388" t="s">
        <v>219</v>
      </c>
    </row>
    <row r="292" spans="1:11" ht="14.4" customHeight="1" thickBot="1" x14ac:dyDescent="0.35">
      <c r="A292" s="401" t="s">
        <v>502</v>
      </c>
      <c r="B292" s="379">
        <v>0</v>
      </c>
      <c r="C292" s="379">
        <v>26.75</v>
      </c>
      <c r="D292" s="380">
        <v>26.75</v>
      </c>
      <c r="E292" s="389" t="s">
        <v>219</v>
      </c>
      <c r="F292" s="379">
        <v>0</v>
      </c>
      <c r="G292" s="380">
        <v>0</v>
      </c>
      <c r="H292" s="382">
        <v>1.5</v>
      </c>
      <c r="I292" s="379">
        <v>7.5</v>
      </c>
      <c r="J292" s="380">
        <v>7.5</v>
      </c>
      <c r="K292" s="390" t="s">
        <v>219</v>
      </c>
    </row>
    <row r="293" spans="1:11" ht="14.4" customHeight="1" thickBot="1" x14ac:dyDescent="0.35">
      <c r="A293" s="402" t="s">
        <v>503</v>
      </c>
      <c r="B293" s="384">
        <v>1382.5160205140501</v>
      </c>
      <c r="C293" s="384">
        <v>2833.36699</v>
      </c>
      <c r="D293" s="385">
        <v>1450.8509694859499</v>
      </c>
      <c r="E293" s="391">
        <v>2.049427961743</v>
      </c>
      <c r="F293" s="384">
        <v>2764.4201550407902</v>
      </c>
      <c r="G293" s="385">
        <v>1151.8417312669999</v>
      </c>
      <c r="H293" s="387">
        <v>166.70140000000001</v>
      </c>
      <c r="I293" s="384">
        <v>1382.1594500000001</v>
      </c>
      <c r="J293" s="385">
        <v>230.31771873300201</v>
      </c>
      <c r="K293" s="392">
        <v>0.49998168602499998</v>
      </c>
    </row>
    <row r="294" spans="1:11" ht="14.4" customHeight="1" thickBot="1" x14ac:dyDescent="0.35">
      <c r="A294" s="400" t="s">
        <v>504</v>
      </c>
      <c r="B294" s="384">
        <v>0</v>
      </c>
      <c r="C294" s="384">
        <v>0</v>
      </c>
      <c r="D294" s="385">
        <v>0</v>
      </c>
      <c r="E294" s="391">
        <v>1</v>
      </c>
      <c r="F294" s="384">
        <v>0</v>
      </c>
      <c r="G294" s="385">
        <v>0</v>
      </c>
      <c r="H294" s="387">
        <v>0</v>
      </c>
      <c r="I294" s="384">
        <v>0.68999999999899997</v>
      </c>
      <c r="J294" s="385">
        <v>0.68999999999899997</v>
      </c>
      <c r="K294" s="388" t="s">
        <v>231</v>
      </c>
    </row>
    <row r="295" spans="1:11" ht="14.4" customHeight="1" thickBot="1" x14ac:dyDescent="0.35">
      <c r="A295" s="401" t="s">
        <v>505</v>
      </c>
      <c r="B295" s="379">
        <v>0</v>
      </c>
      <c r="C295" s="379">
        <v>0</v>
      </c>
      <c r="D295" s="380">
        <v>0</v>
      </c>
      <c r="E295" s="381">
        <v>1</v>
      </c>
      <c r="F295" s="379">
        <v>0</v>
      </c>
      <c r="G295" s="380">
        <v>0</v>
      </c>
      <c r="H295" s="382">
        <v>0</v>
      </c>
      <c r="I295" s="379">
        <v>0.68999999999899997</v>
      </c>
      <c r="J295" s="380">
        <v>0.68999999999899997</v>
      </c>
      <c r="K295" s="390" t="s">
        <v>231</v>
      </c>
    </row>
    <row r="296" spans="1:11" ht="14.4" customHeight="1" thickBot="1" x14ac:dyDescent="0.35">
      <c r="A296" s="400" t="s">
        <v>506</v>
      </c>
      <c r="B296" s="384">
        <v>0</v>
      </c>
      <c r="C296" s="384">
        <v>98.009770000000003</v>
      </c>
      <c r="D296" s="385">
        <v>98.009770000000003</v>
      </c>
      <c r="E296" s="386" t="s">
        <v>219</v>
      </c>
      <c r="F296" s="384">
        <v>0</v>
      </c>
      <c r="G296" s="385">
        <v>0</v>
      </c>
      <c r="H296" s="387">
        <v>-5.9999999999999995E-4</v>
      </c>
      <c r="I296" s="384">
        <v>56.405009999999997</v>
      </c>
      <c r="J296" s="385">
        <v>56.405009999999997</v>
      </c>
      <c r="K296" s="388" t="s">
        <v>219</v>
      </c>
    </row>
    <row r="297" spans="1:11" ht="14.4" customHeight="1" thickBot="1" x14ac:dyDescent="0.35">
      <c r="A297" s="401" t="s">
        <v>507</v>
      </c>
      <c r="B297" s="379">
        <v>0</v>
      </c>
      <c r="C297" s="379">
        <v>8.3499999999999998E-3</v>
      </c>
      <c r="D297" s="380">
        <v>8.3499999999999998E-3</v>
      </c>
      <c r="E297" s="389" t="s">
        <v>219</v>
      </c>
      <c r="F297" s="379">
        <v>0</v>
      </c>
      <c r="G297" s="380">
        <v>0</v>
      </c>
      <c r="H297" s="382">
        <v>-5.9999999999999995E-4</v>
      </c>
      <c r="I297" s="379">
        <v>4.0099999999999997E-3</v>
      </c>
      <c r="J297" s="380">
        <v>4.0099999999999997E-3</v>
      </c>
      <c r="K297" s="390" t="s">
        <v>219</v>
      </c>
    </row>
    <row r="298" spans="1:11" ht="14.4" customHeight="1" thickBot="1" x14ac:dyDescent="0.35">
      <c r="A298" s="401" t="s">
        <v>508</v>
      </c>
      <c r="B298" s="379">
        <v>0</v>
      </c>
      <c r="C298" s="379">
        <v>12.90042</v>
      </c>
      <c r="D298" s="380">
        <v>12.90042</v>
      </c>
      <c r="E298" s="389" t="s">
        <v>219</v>
      </c>
      <c r="F298" s="379">
        <v>0</v>
      </c>
      <c r="G298" s="380">
        <v>0</v>
      </c>
      <c r="H298" s="382">
        <v>0</v>
      </c>
      <c r="I298" s="379">
        <v>0</v>
      </c>
      <c r="J298" s="380">
        <v>0</v>
      </c>
      <c r="K298" s="390" t="s">
        <v>219</v>
      </c>
    </row>
    <row r="299" spans="1:11" ht="14.4" customHeight="1" thickBot="1" x14ac:dyDescent="0.35">
      <c r="A299" s="401" t="s">
        <v>509</v>
      </c>
      <c r="B299" s="379">
        <v>0</v>
      </c>
      <c r="C299" s="379">
        <v>85.100999999999999</v>
      </c>
      <c r="D299" s="380">
        <v>85.100999999999999</v>
      </c>
      <c r="E299" s="389" t="s">
        <v>231</v>
      </c>
      <c r="F299" s="379">
        <v>0</v>
      </c>
      <c r="G299" s="380">
        <v>0</v>
      </c>
      <c r="H299" s="382">
        <v>0</v>
      </c>
      <c r="I299" s="379">
        <v>56.401000000000003</v>
      </c>
      <c r="J299" s="380">
        <v>56.401000000000003</v>
      </c>
      <c r="K299" s="390" t="s">
        <v>219</v>
      </c>
    </row>
    <row r="300" spans="1:11" ht="14.4" customHeight="1" thickBot="1" x14ac:dyDescent="0.35">
      <c r="A300" s="403" t="s">
        <v>510</v>
      </c>
      <c r="B300" s="379">
        <v>0</v>
      </c>
      <c r="C300" s="379">
        <v>41.202739999999999</v>
      </c>
      <c r="D300" s="380">
        <v>41.202739999999999</v>
      </c>
      <c r="E300" s="389" t="s">
        <v>231</v>
      </c>
      <c r="F300" s="379">
        <v>0</v>
      </c>
      <c r="G300" s="380">
        <v>0</v>
      </c>
      <c r="H300" s="382">
        <v>0</v>
      </c>
      <c r="I300" s="379">
        <v>0</v>
      </c>
      <c r="J300" s="380">
        <v>0</v>
      </c>
      <c r="K300" s="390" t="s">
        <v>219</v>
      </c>
    </row>
    <row r="301" spans="1:11" ht="14.4" customHeight="1" thickBot="1" x14ac:dyDescent="0.35">
      <c r="A301" s="401" t="s">
        <v>511</v>
      </c>
      <c r="B301" s="379">
        <v>0</v>
      </c>
      <c r="C301" s="379">
        <v>41.202739999999999</v>
      </c>
      <c r="D301" s="380">
        <v>41.202739999999999</v>
      </c>
      <c r="E301" s="389" t="s">
        <v>231</v>
      </c>
      <c r="F301" s="379">
        <v>0</v>
      </c>
      <c r="G301" s="380">
        <v>0</v>
      </c>
      <c r="H301" s="382">
        <v>0</v>
      </c>
      <c r="I301" s="379">
        <v>0</v>
      </c>
      <c r="J301" s="380">
        <v>0</v>
      </c>
      <c r="K301" s="390" t="s">
        <v>219</v>
      </c>
    </row>
    <row r="302" spans="1:11" ht="14.4" customHeight="1" thickBot="1" x14ac:dyDescent="0.35">
      <c r="A302" s="400" t="s">
        <v>512</v>
      </c>
      <c r="B302" s="384">
        <v>1382.5160205140501</v>
      </c>
      <c r="C302" s="384">
        <v>2393.2398499999999</v>
      </c>
      <c r="D302" s="385">
        <v>1010.72382948595</v>
      </c>
      <c r="E302" s="391">
        <v>1.7310756725330001</v>
      </c>
      <c r="F302" s="384">
        <v>2764.4201550407902</v>
      </c>
      <c r="G302" s="385">
        <v>1151.8417312669999</v>
      </c>
      <c r="H302" s="387">
        <v>166.702</v>
      </c>
      <c r="I302" s="384">
        <v>593.58370000000002</v>
      </c>
      <c r="J302" s="385">
        <v>-558.25803126699702</v>
      </c>
      <c r="K302" s="392">
        <v>0.21472267843100001</v>
      </c>
    </row>
    <row r="303" spans="1:11" ht="14.4" customHeight="1" thickBot="1" x14ac:dyDescent="0.35">
      <c r="A303" s="401" t="s">
        <v>513</v>
      </c>
      <c r="B303" s="379">
        <v>0</v>
      </c>
      <c r="C303" s="379">
        <v>28</v>
      </c>
      <c r="D303" s="380">
        <v>28</v>
      </c>
      <c r="E303" s="389" t="s">
        <v>219</v>
      </c>
      <c r="F303" s="379">
        <v>1000</v>
      </c>
      <c r="G303" s="380">
        <v>416.66666666666703</v>
      </c>
      <c r="H303" s="382">
        <v>0</v>
      </c>
      <c r="I303" s="379">
        <v>0</v>
      </c>
      <c r="J303" s="380">
        <v>-416.66666666666703</v>
      </c>
      <c r="K303" s="383">
        <v>0</v>
      </c>
    </row>
    <row r="304" spans="1:11" ht="14.4" customHeight="1" thickBot="1" x14ac:dyDescent="0.35">
      <c r="A304" s="401" t="s">
        <v>514</v>
      </c>
      <c r="B304" s="379">
        <v>1380.2986303389</v>
      </c>
      <c r="C304" s="379">
        <v>2365.2398499999999</v>
      </c>
      <c r="D304" s="380">
        <v>984.94121966110595</v>
      </c>
      <c r="E304" s="381">
        <v>1.713571105565</v>
      </c>
      <c r="F304" s="379">
        <v>1764.42015504079</v>
      </c>
      <c r="G304" s="380">
        <v>735.17506460032996</v>
      </c>
      <c r="H304" s="382">
        <v>166.702</v>
      </c>
      <c r="I304" s="379">
        <v>593.58370000000002</v>
      </c>
      <c r="J304" s="380">
        <v>-141.59136460033</v>
      </c>
      <c r="K304" s="383">
        <v>0.33641856691700001</v>
      </c>
    </row>
    <row r="305" spans="1:11" ht="14.4" customHeight="1" thickBot="1" x14ac:dyDescent="0.35">
      <c r="A305" s="401" t="s">
        <v>515</v>
      </c>
      <c r="B305" s="379">
        <v>2.2173901751509999</v>
      </c>
      <c r="C305" s="379">
        <v>0</v>
      </c>
      <c r="D305" s="380">
        <v>-2.2173901751509999</v>
      </c>
      <c r="E305" s="381">
        <v>0</v>
      </c>
      <c r="F305" s="379">
        <v>0</v>
      </c>
      <c r="G305" s="380">
        <v>0</v>
      </c>
      <c r="H305" s="382">
        <v>0</v>
      </c>
      <c r="I305" s="379">
        <v>0</v>
      </c>
      <c r="J305" s="380">
        <v>0</v>
      </c>
      <c r="K305" s="383">
        <v>5</v>
      </c>
    </row>
    <row r="306" spans="1:11" ht="14.4" customHeight="1" thickBot="1" x14ac:dyDescent="0.35">
      <c r="A306" s="400" t="s">
        <v>516</v>
      </c>
      <c r="B306" s="384">
        <v>0</v>
      </c>
      <c r="C306" s="384">
        <v>300.91462999999999</v>
      </c>
      <c r="D306" s="385">
        <v>300.91462999999999</v>
      </c>
      <c r="E306" s="386" t="s">
        <v>231</v>
      </c>
      <c r="F306" s="384">
        <v>0</v>
      </c>
      <c r="G306" s="385">
        <v>0</v>
      </c>
      <c r="H306" s="387">
        <v>0</v>
      </c>
      <c r="I306" s="384">
        <v>731.48073999999895</v>
      </c>
      <c r="J306" s="385">
        <v>731.48073999999895</v>
      </c>
      <c r="K306" s="388" t="s">
        <v>219</v>
      </c>
    </row>
    <row r="307" spans="1:11" ht="14.4" customHeight="1" thickBot="1" x14ac:dyDescent="0.35">
      <c r="A307" s="401" t="s">
        <v>517</v>
      </c>
      <c r="B307" s="379">
        <v>0</v>
      </c>
      <c r="C307" s="379">
        <v>300.91462999999999</v>
      </c>
      <c r="D307" s="380">
        <v>300.91462999999999</v>
      </c>
      <c r="E307" s="389" t="s">
        <v>231</v>
      </c>
      <c r="F307" s="379">
        <v>0</v>
      </c>
      <c r="G307" s="380">
        <v>0</v>
      </c>
      <c r="H307" s="382">
        <v>0</v>
      </c>
      <c r="I307" s="379">
        <v>731.48073999999895</v>
      </c>
      <c r="J307" s="380">
        <v>731.48073999999895</v>
      </c>
      <c r="K307" s="390" t="s">
        <v>219</v>
      </c>
    </row>
    <row r="308" spans="1:11" ht="14.4" customHeight="1" thickBot="1" x14ac:dyDescent="0.35">
      <c r="A308" s="398" t="s">
        <v>518</v>
      </c>
      <c r="B308" s="379">
        <v>0</v>
      </c>
      <c r="C308" s="379">
        <v>4.5899999998999998E-2</v>
      </c>
      <c r="D308" s="380">
        <v>4.5899999998999998E-2</v>
      </c>
      <c r="E308" s="389" t="s">
        <v>219</v>
      </c>
      <c r="F308" s="379">
        <v>0</v>
      </c>
      <c r="G308" s="380">
        <v>0</v>
      </c>
      <c r="H308" s="382">
        <v>0</v>
      </c>
      <c r="I308" s="379">
        <v>6.9800000000000001E-3</v>
      </c>
      <c r="J308" s="380">
        <v>6.9800000000000001E-3</v>
      </c>
      <c r="K308" s="390" t="s">
        <v>219</v>
      </c>
    </row>
    <row r="309" spans="1:11" ht="14.4" customHeight="1" thickBot="1" x14ac:dyDescent="0.35">
      <c r="A309" s="402" t="s">
        <v>519</v>
      </c>
      <c r="B309" s="384">
        <v>0</v>
      </c>
      <c r="C309" s="384">
        <v>4.5899999998999998E-2</v>
      </c>
      <c r="D309" s="385">
        <v>4.5899999998999998E-2</v>
      </c>
      <c r="E309" s="386" t="s">
        <v>219</v>
      </c>
      <c r="F309" s="384">
        <v>0</v>
      </c>
      <c r="G309" s="385">
        <v>0</v>
      </c>
      <c r="H309" s="387">
        <v>0</v>
      </c>
      <c r="I309" s="384">
        <v>6.9800000000000001E-3</v>
      </c>
      <c r="J309" s="385">
        <v>6.9800000000000001E-3</v>
      </c>
      <c r="K309" s="388" t="s">
        <v>219</v>
      </c>
    </row>
    <row r="310" spans="1:11" ht="14.4" customHeight="1" thickBot="1" x14ac:dyDescent="0.35">
      <c r="A310" s="400" t="s">
        <v>520</v>
      </c>
      <c r="B310" s="384">
        <v>0</v>
      </c>
      <c r="C310" s="384">
        <v>4.5899999998999998E-2</v>
      </c>
      <c r="D310" s="385">
        <v>4.5899999998999998E-2</v>
      </c>
      <c r="E310" s="386" t="s">
        <v>219</v>
      </c>
      <c r="F310" s="384">
        <v>0</v>
      </c>
      <c r="G310" s="385">
        <v>0</v>
      </c>
      <c r="H310" s="387">
        <v>0</v>
      </c>
      <c r="I310" s="384">
        <v>6.9800000000000001E-3</v>
      </c>
      <c r="J310" s="385">
        <v>6.9800000000000001E-3</v>
      </c>
      <c r="K310" s="388" t="s">
        <v>219</v>
      </c>
    </row>
    <row r="311" spans="1:11" ht="14.4" customHeight="1" thickBot="1" x14ac:dyDescent="0.35">
      <c r="A311" s="401" t="s">
        <v>521</v>
      </c>
      <c r="B311" s="379">
        <v>0</v>
      </c>
      <c r="C311" s="379">
        <v>4.5899999998999998E-2</v>
      </c>
      <c r="D311" s="380">
        <v>4.5899999998999998E-2</v>
      </c>
      <c r="E311" s="389" t="s">
        <v>219</v>
      </c>
      <c r="F311" s="379">
        <v>0</v>
      </c>
      <c r="G311" s="380">
        <v>0</v>
      </c>
      <c r="H311" s="382">
        <v>0</v>
      </c>
      <c r="I311" s="379">
        <v>6.9800000000000001E-3</v>
      </c>
      <c r="J311" s="380">
        <v>6.9800000000000001E-3</v>
      </c>
      <c r="K311" s="390" t="s">
        <v>219</v>
      </c>
    </row>
    <row r="312" spans="1:11" ht="14.4" customHeight="1" thickBot="1" x14ac:dyDescent="0.35">
      <c r="A312" s="398" t="s">
        <v>522</v>
      </c>
      <c r="B312" s="379">
        <v>0</v>
      </c>
      <c r="C312" s="379">
        <v>1000</v>
      </c>
      <c r="D312" s="380">
        <v>1000</v>
      </c>
      <c r="E312" s="389" t="s">
        <v>231</v>
      </c>
      <c r="F312" s="379">
        <v>441.69903400284898</v>
      </c>
      <c r="G312" s="380">
        <v>184.041264167854</v>
      </c>
      <c r="H312" s="382">
        <v>0</v>
      </c>
      <c r="I312" s="379">
        <v>0</v>
      </c>
      <c r="J312" s="380">
        <v>-184.041264167854</v>
      </c>
      <c r="K312" s="383">
        <v>0</v>
      </c>
    </row>
    <row r="313" spans="1:11" ht="14.4" customHeight="1" thickBot="1" x14ac:dyDescent="0.35">
      <c r="A313" s="402" t="s">
        <v>523</v>
      </c>
      <c r="B313" s="384">
        <v>0</v>
      </c>
      <c r="C313" s="384">
        <v>1000</v>
      </c>
      <c r="D313" s="385">
        <v>1000</v>
      </c>
      <c r="E313" s="386" t="s">
        <v>231</v>
      </c>
      <c r="F313" s="384">
        <v>441.69903400284898</v>
      </c>
      <c r="G313" s="385">
        <v>184.041264167854</v>
      </c>
      <c r="H313" s="387">
        <v>0</v>
      </c>
      <c r="I313" s="384">
        <v>0</v>
      </c>
      <c r="J313" s="385">
        <v>-184.041264167854</v>
      </c>
      <c r="K313" s="392">
        <v>0</v>
      </c>
    </row>
    <row r="314" spans="1:11" ht="14.4" customHeight="1" thickBot="1" x14ac:dyDescent="0.35">
      <c r="A314" s="400" t="s">
        <v>524</v>
      </c>
      <c r="B314" s="384">
        <v>0</v>
      </c>
      <c r="C314" s="384">
        <v>1000</v>
      </c>
      <c r="D314" s="385">
        <v>1000</v>
      </c>
      <c r="E314" s="386" t="s">
        <v>231</v>
      </c>
      <c r="F314" s="384">
        <v>441.69903400284898</v>
      </c>
      <c r="G314" s="385">
        <v>184.041264167854</v>
      </c>
      <c r="H314" s="387">
        <v>0</v>
      </c>
      <c r="I314" s="384">
        <v>0</v>
      </c>
      <c r="J314" s="385">
        <v>-184.041264167854</v>
      </c>
      <c r="K314" s="392">
        <v>0</v>
      </c>
    </row>
    <row r="315" spans="1:11" ht="14.4" customHeight="1" thickBot="1" x14ac:dyDescent="0.35">
      <c r="A315" s="401" t="s">
        <v>525</v>
      </c>
      <c r="B315" s="379">
        <v>0</v>
      </c>
      <c r="C315" s="379">
        <v>1000</v>
      </c>
      <c r="D315" s="380">
        <v>1000</v>
      </c>
      <c r="E315" s="389" t="s">
        <v>231</v>
      </c>
      <c r="F315" s="379">
        <v>441.69903400284898</v>
      </c>
      <c r="G315" s="380">
        <v>184.041264167854</v>
      </c>
      <c r="H315" s="382">
        <v>0</v>
      </c>
      <c r="I315" s="379">
        <v>0</v>
      </c>
      <c r="J315" s="380">
        <v>-184.041264167854</v>
      </c>
      <c r="K315" s="383">
        <v>0</v>
      </c>
    </row>
    <row r="316" spans="1:11" ht="14.4" customHeight="1" thickBot="1" x14ac:dyDescent="0.35">
      <c r="A316" s="397" t="s">
        <v>526</v>
      </c>
      <c r="B316" s="379">
        <v>8967.9547098562707</v>
      </c>
      <c r="C316" s="379">
        <v>8803.3009999999995</v>
      </c>
      <c r="D316" s="380">
        <v>-164.65370985627499</v>
      </c>
      <c r="E316" s="381">
        <v>0.98163977013799997</v>
      </c>
      <c r="F316" s="379">
        <v>9843.6242203064103</v>
      </c>
      <c r="G316" s="380">
        <v>4101.51009179434</v>
      </c>
      <c r="H316" s="382">
        <v>719.96028999999999</v>
      </c>
      <c r="I316" s="379">
        <v>3827.9726000000001</v>
      </c>
      <c r="J316" s="380">
        <v>-273.53749179433402</v>
      </c>
      <c r="K316" s="383">
        <v>0.38887837592399999</v>
      </c>
    </row>
    <row r="317" spans="1:11" ht="14.4" customHeight="1" thickBot="1" x14ac:dyDescent="0.35">
      <c r="A317" s="404" t="s">
        <v>527</v>
      </c>
      <c r="B317" s="384">
        <v>8967.9547098562707</v>
      </c>
      <c r="C317" s="384">
        <v>8803.3009999999995</v>
      </c>
      <c r="D317" s="385">
        <v>-164.65370985627499</v>
      </c>
      <c r="E317" s="391">
        <v>0.98163977013799997</v>
      </c>
      <c r="F317" s="384">
        <v>9843.6242203064103</v>
      </c>
      <c r="G317" s="385">
        <v>4101.51009179434</v>
      </c>
      <c r="H317" s="387">
        <v>719.96028999999999</v>
      </c>
      <c r="I317" s="384">
        <v>3827.9726000000001</v>
      </c>
      <c r="J317" s="385">
        <v>-273.53749179433402</v>
      </c>
      <c r="K317" s="392">
        <v>0.38887837592399999</v>
      </c>
    </row>
    <row r="318" spans="1:11" ht="14.4" customHeight="1" thickBot="1" x14ac:dyDescent="0.35">
      <c r="A318" s="402" t="s">
        <v>36</v>
      </c>
      <c r="B318" s="384">
        <v>8967.9547098562707</v>
      </c>
      <c r="C318" s="384">
        <v>8803.3009999999995</v>
      </c>
      <c r="D318" s="385">
        <v>-164.65370985627499</v>
      </c>
      <c r="E318" s="391">
        <v>0.98163977013799997</v>
      </c>
      <c r="F318" s="384">
        <v>9843.6242203064103</v>
      </c>
      <c r="G318" s="385">
        <v>4101.51009179434</v>
      </c>
      <c r="H318" s="387">
        <v>719.96028999999999</v>
      </c>
      <c r="I318" s="384">
        <v>3827.9726000000001</v>
      </c>
      <c r="J318" s="385">
        <v>-273.53749179433402</v>
      </c>
      <c r="K318" s="392">
        <v>0.38887837592399999</v>
      </c>
    </row>
    <row r="319" spans="1:11" ht="14.4" customHeight="1" thickBot="1" x14ac:dyDescent="0.35">
      <c r="A319" s="400" t="s">
        <v>528</v>
      </c>
      <c r="B319" s="384">
        <v>0</v>
      </c>
      <c r="C319" s="384">
        <v>-35.895119999999999</v>
      </c>
      <c r="D319" s="385">
        <v>-35.895119999999999</v>
      </c>
      <c r="E319" s="386" t="s">
        <v>231</v>
      </c>
      <c r="F319" s="384">
        <v>0</v>
      </c>
      <c r="G319" s="385">
        <v>0</v>
      </c>
      <c r="H319" s="387">
        <v>0</v>
      </c>
      <c r="I319" s="384">
        <v>-10.2225</v>
      </c>
      <c r="J319" s="385">
        <v>-10.2225</v>
      </c>
      <c r="K319" s="388" t="s">
        <v>231</v>
      </c>
    </row>
    <row r="320" spans="1:11" ht="14.4" customHeight="1" thickBot="1" x14ac:dyDescent="0.35">
      <c r="A320" s="401" t="s">
        <v>529</v>
      </c>
      <c r="B320" s="379">
        <v>0</v>
      </c>
      <c r="C320" s="379">
        <v>-35.895119999999999</v>
      </c>
      <c r="D320" s="380">
        <v>-35.895119999999999</v>
      </c>
      <c r="E320" s="389" t="s">
        <v>231</v>
      </c>
      <c r="F320" s="379">
        <v>0</v>
      </c>
      <c r="G320" s="380">
        <v>0</v>
      </c>
      <c r="H320" s="382">
        <v>0</v>
      </c>
      <c r="I320" s="379">
        <v>-10.2225</v>
      </c>
      <c r="J320" s="380">
        <v>-10.2225</v>
      </c>
      <c r="K320" s="390" t="s">
        <v>231</v>
      </c>
    </row>
    <row r="321" spans="1:11" ht="14.4" customHeight="1" thickBot="1" x14ac:dyDescent="0.35">
      <c r="A321" s="403" t="s">
        <v>530</v>
      </c>
      <c r="B321" s="379">
        <v>0</v>
      </c>
      <c r="C321" s="379">
        <v>0.10766000000000001</v>
      </c>
      <c r="D321" s="380">
        <v>0.10766000000000001</v>
      </c>
      <c r="E321" s="389" t="s">
        <v>231</v>
      </c>
      <c r="F321" s="379">
        <v>0</v>
      </c>
      <c r="G321" s="380">
        <v>0</v>
      </c>
      <c r="H321" s="382">
        <v>0</v>
      </c>
      <c r="I321" s="379">
        <v>0</v>
      </c>
      <c r="J321" s="380">
        <v>0</v>
      </c>
      <c r="K321" s="383">
        <v>5</v>
      </c>
    </row>
    <row r="322" spans="1:11" ht="14.4" customHeight="1" thickBot="1" x14ac:dyDescent="0.35">
      <c r="A322" s="401" t="s">
        <v>531</v>
      </c>
      <c r="B322" s="379">
        <v>0</v>
      </c>
      <c r="C322" s="379">
        <v>0.10766000000000001</v>
      </c>
      <c r="D322" s="380">
        <v>0.10766000000000001</v>
      </c>
      <c r="E322" s="389" t="s">
        <v>231</v>
      </c>
      <c r="F322" s="379">
        <v>0</v>
      </c>
      <c r="G322" s="380">
        <v>0</v>
      </c>
      <c r="H322" s="382">
        <v>0</v>
      </c>
      <c r="I322" s="379">
        <v>0</v>
      </c>
      <c r="J322" s="380">
        <v>0</v>
      </c>
      <c r="K322" s="383">
        <v>5</v>
      </c>
    </row>
    <row r="323" spans="1:11" ht="14.4" customHeight="1" thickBot="1" x14ac:dyDescent="0.35">
      <c r="A323" s="400" t="s">
        <v>532</v>
      </c>
      <c r="B323" s="384">
        <v>94.712348211039</v>
      </c>
      <c r="C323" s="384">
        <v>49.813499999999998</v>
      </c>
      <c r="D323" s="385">
        <v>-44.898848211039002</v>
      </c>
      <c r="E323" s="391">
        <v>0.52594514802799996</v>
      </c>
      <c r="F323" s="384">
        <v>114.439313168826</v>
      </c>
      <c r="G323" s="385">
        <v>47.683047153677002</v>
      </c>
      <c r="H323" s="387">
        <v>2.64</v>
      </c>
      <c r="I323" s="384">
        <v>19.948</v>
      </c>
      <c r="J323" s="385">
        <v>-27.735047153677002</v>
      </c>
      <c r="K323" s="392">
        <v>0.174310728084</v>
      </c>
    </row>
    <row r="324" spans="1:11" ht="14.4" customHeight="1" thickBot="1" x14ac:dyDescent="0.35">
      <c r="A324" s="401" t="s">
        <v>533</v>
      </c>
      <c r="B324" s="379">
        <v>94.712348211039</v>
      </c>
      <c r="C324" s="379">
        <v>49.813499999999998</v>
      </c>
      <c r="D324" s="380">
        <v>-44.898848211039002</v>
      </c>
      <c r="E324" s="381">
        <v>0.52594514802799996</v>
      </c>
      <c r="F324" s="379">
        <v>114.439313168826</v>
      </c>
      <c r="G324" s="380">
        <v>47.683047153677002</v>
      </c>
      <c r="H324" s="382">
        <v>2.64</v>
      </c>
      <c r="I324" s="379">
        <v>19.948</v>
      </c>
      <c r="J324" s="380">
        <v>-27.735047153677002</v>
      </c>
      <c r="K324" s="383">
        <v>0.174310728084</v>
      </c>
    </row>
    <row r="325" spans="1:11" ht="14.4" customHeight="1" thickBot="1" x14ac:dyDescent="0.35">
      <c r="A325" s="400" t="s">
        <v>534</v>
      </c>
      <c r="B325" s="384">
        <v>2261.5635541678098</v>
      </c>
      <c r="C325" s="384">
        <v>1907.27262</v>
      </c>
      <c r="D325" s="385">
        <v>-354.29093416781001</v>
      </c>
      <c r="E325" s="391">
        <v>0.84334248156900005</v>
      </c>
      <c r="F325" s="384">
        <v>2365.3137692707101</v>
      </c>
      <c r="G325" s="385">
        <v>985.547403862794</v>
      </c>
      <c r="H325" s="387">
        <v>156.55500000000001</v>
      </c>
      <c r="I325" s="384">
        <v>794.09210000000098</v>
      </c>
      <c r="J325" s="385">
        <v>-191.45530386279401</v>
      </c>
      <c r="K325" s="392">
        <v>0.33572378866399999</v>
      </c>
    </row>
    <row r="326" spans="1:11" ht="14.4" customHeight="1" thickBot="1" x14ac:dyDescent="0.35">
      <c r="A326" s="401" t="s">
        <v>535</v>
      </c>
      <c r="B326" s="379">
        <v>0</v>
      </c>
      <c r="C326" s="379">
        <v>0</v>
      </c>
      <c r="D326" s="380">
        <v>0</v>
      </c>
      <c r="E326" s="381">
        <v>1</v>
      </c>
      <c r="F326" s="379">
        <v>0</v>
      </c>
      <c r="G326" s="380">
        <v>0</v>
      </c>
      <c r="H326" s="382">
        <v>0</v>
      </c>
      <c r="I326" s="379">
        <v>1.1000000000000001</v>
      </c>
      <c r="J326" s="380">
        <v>1.1000000000000001</v>
      </c>
      <c r="K326" s="390" t="s">
        <v>231</v>
      </c>
    </row>
    <row r="327" spans="1:11" ht="14.4" customHeight="1" thickBot="1" x14ac:dyDescent="0.35">
      <c r="A327" s="401" t="s">
        <v>536</v>
      </c>
      <c r="B327" s="379">
        <v>32.489364624667999</v>
      </c>
      <c r="C327" s="379">
        <v>18.813600000000001</v>
      </c>
      <c r="D327" s="380">
        <v>-13.675764624668</v>
      </c>
      <c r="E327" s="381">
        <v>0.57906949604400004</v>
      </c>
      <c r="F327" s="379">
        <v>51.044479883447003</v>
      </c>
      <c r="G327" s="380">
        <v>21.268533284768999</v>
      </c>
      <c r="H327" s="382">
        <v>0</v>
      </c>
      <c r="I327" s="379">
        <v>4.7633999999999999</v>
      </c>
      <c r="J327" s="380">
        <v>-16.505133284768998</v>
      </c>
      <c r="K327" s="383">
        <v>9.3318611745000002E-2</v>
      </c>
    </row>
    <row r="328" spans="1:11" ht="14.4" customHeight="1" thickBot="1" x14ac:dyDescent="0.35">
      <c r="A328" s="401" t="s">
        <v>537</v>
      </c>
      <c r="B328" s="379">
        <v>2229.0741895431402</v>
      </c>
      <c r="C328" s="379">
        <v>1888.45902</v>
      </c>
      <c r="D328" s="380">
        <v>-340.61516954314101</v>
      </c>
      <c r="E328" s="381">
        <v>0.84719433245300002</v>
      </c>
      <c r="F328" s="379">
        <v>2314.26928938726</v>
      </c>
      <c r="G328" s="380">
        <v>964.278870578024</v>
      </c>
      <c r="H328" s="382">
        <v>156.55500000000001</v>
      </c>
      <c r="I328" s="379">
        <v>788.22870000000103</v>
      </c>
      <c r="J328" s="380">
        <v>-176.05017057802399</v>
      </c>
      <c r="K328" s="383">
        <v>0.34059506541200002</v>
      </c>
    </row>
    <row r="329" spans="1:11" ht="14.4" customHeight="1" thickBot="1" x14ac:dyDescent="0.35">
      <c r="A329" s="403" t="s">
        <v>538</v>
      </c>
      <c r="B329" s="379">
        <v>0</v>
      </c>
      <c r="C329" s="379">
        <v>0</v>
      </c>
      <c r="D329" s="380">
        <v>0</v>
      </c>
      <c r="E329" s="381">
        <v>1</v>
      </c>
      <c r="F329" s="379">
        <v>0</v>
      </c>
      <c r="G329" s="380">
        <v>0</v>
      </c>
      <c r="H329" s="382">
        <v>0.32913999999999999</v>
      </c>
      <c r="I329" s="379">
        <v>0.32913999999999999</v>
      </c>
      <c r="J329" s="380">
        <v>0.32913999999999999</v>
      </c>
      <c r="K329" s="390" t="s">
        <v>231</v>
      </c>
    </row>
    <row r="330" spans="1:11" ht="14.4" customHeight="1" thickBot="1" x14ac:dyDescent="0.35">
      <c r="A330" s="401" t="s">
        <v>539</v>
      </c>
      <c r="B330" s="379">
        <v>0</v>
      </c>
      <c r="C330" s="379">
        <v>0</v>
      </c>
      <c r="D330" s="380">
        <v>0</v>
      </c>
      <c r="E330" s="381">
        <v>1</v>
      </c>
      <c r="F330" s="379">
        <v>0</v>
      </c>
      <c r="G330" s="380">
        <v>0</v>
      </c>
      <c r="H330" s="382">
        <v>0.32913999999999999</v>
      </c>
      <c r="I330" s="379">
        <v>0.32913999999999999</v>
      </c>
      <c r="J330" s="380">
        <v>0.32913999999999999</v>
      </c>
      <c r="K330" s="390" t="s">
        <v>231</v>
      </c>
    </row>
    <row r="331" spans="1:11" ht="14.4" customHeight="1" thickBot="1" x14ac:dyDescent="0.35">
      <c r="A331" s="400" t="s">
        <v>540</v>
      </c>
      <c r="B331" s="384">
        <v>96.814650228415005</v>
      </c>
      <c r="C331" s="384">
        <v>109.91973</v>
      </c>
      <c r="D331" s="385">
        <v>13.105079771584</v>
      </c>
      <c r="E331" s="391">
        <v>1.135362568998</v>
      </c>
      <c r="F331" s="384">
        <v>109.139381635563</v>
      </c>
      <c r="G331" s="385">
        <v>45.474742348150997</v>
      </c>
      <c r="H331" s="387">
        <v>0</v>
      </c>
      <c r="I331" s="384">
        <v>27.851839999999999</v>
      </c>
      <c r="J331" s="385">
        <v>-17.622902348151001</v>
      </c>
      <c r="K331" s="392">
        <v>0.255195142052</v>
      </c>
    </row>
    <row r="332" spans="1:11" ht="14.4" customHeight="1" thickBot="1" x14ac:dyDescent="0.35">
      <c r="A332" s="401" t="s">
        <v>541</v>
      </c>
      <c r="B332" s="379">
        <v>96.814650228415005</v>
      </c>
      <c r="C332" s="379">
        <v>109.91973</v>
      </c>
      <c r="D332" s="380">
        <v>13.105079771584</v>
      </c>
      <c r="E332" s="381">
        <v>1.135362568998</v>
      </c>
      <c r="F332" s="379">
        <v>109.139381635563</v>
      </c>
      <c r="G332" s="380">
        <v>45.474742348150997</v>
      </c>
      <c r="H332" s="382">
        <v>0</v>
      </c>
      <c r="I332" s="379">
        <v>27.851839999999999</v>
      </c>
      <c r="J332" s="380">
        <v>-17.622902348151001</v>
      </c>
      <c r="K332" s="383">
        <v>0.255195142052</v>
      </c>
    </row>
    <row r="333" spans="1:11" ht="14.4" customHeight="1" thickBot="1" x14ac:dyDescent="0.35">
      <c r="A333" s="400" t="s">
        <v>542</v>
      </c>
      <c r="B333" s="384">
        <v>2100.3931868775699</v>
      </c>
      <c r="C333" s="384">
        <v>1759.1868999999999</v>
      </c>
      <c r="D333" s="385">
        <v>-341.20628687757198</v>
      </c>
      <c r="E333" s="391">
        <v>0.83755123135499998</v>
      </c>
      <c r="F333" s="384">
        <v>2362.06051734108</v>
      </c>
      <c r="G333" s="385">
        <v>984.19188222545097</v>
      </c>
      <c r="H333" s="387">
        <v>149.31222</v>
      </c>
      <c r="I333" s="384">
        <v>784.47070000000099</v>
      </c>
      <c r="J333" s="385">
        <v>-199.72118222545001</v>
      </c>
      <c r="K333" s="392">
        <v>0.33211287104600001</v>
      </c>
    </row>
    <row r="334" spans="1:11" ht="14.4" customHeight="1" thickBot="1" x14ac:dyDescent="0.35">
      <c r="A334" s="401" t="s">
        <v>543</v>
      </c>
      <c r="B334" s="379">
        <v>2100.3931868775699</v>
      </c>
      <c r="C334" s="379">
        <v>1759.1868999999999</v>
      </c>
      <c r="D334" s="380">
        <v>-341.20628687757198</v>
      </c>
      <c r="E334" s="381">
        <v>0.83755123135499998</v>
      </c>
      <c r="F334" s="379">
        <v>2362.06051734108</v>
      </c>
      <c r="G334" s="380">
        <v>984.19188222545097</v>
      </c>
      <c r="H334" s="382">
        <v>149.31222</v>
      </c>
      <c r="I334" s="379">
        <v>784.47070000000099</v>
      </c>
      <c r="J334" s="380">
        <v>-199.72118222545001</v>
      </c>
      <c r="K334" s="383">
        <v>0.33211287104600001</v>
      </c>
    </row>
    <row r="335" spans="1:11" ht="14.4" customHeight="1" thickBot="1" x14ac:dyDescent="0.35">
      <c r="A335" s="400" t="s">
        <v>544</v>
      </c>
      <c r="B335" s="384">
        <v>0</v>
      </c>
      <c r="C335" s="384">
        <v>20.385000000000002</v>
      </c>
      <c r="D335" s="385">
        <v>20.385000000000002</v>
      </c>
      <c r="E335" s="386" t="s">
        <v>231</v>
      </c>
      <c r="F335" s="384">
        <v>0</v>
      </c>
      <c r="G335" s="385">
        <v>0</v>
      </c>
      <c r="H335" s="387">
        <v>0</v>
      </c>
      <c r="I335" s="384">
        <v>3.9729999999999999</v>
      </c>
      <c r="J335" s="385">
        <v>3.9729999999999999</v>
      </c>
      <c r="K335" s="388" t="s">
        <v>231</v>
      </c>
    </row>
    <row r="336" spans="1:11" ht="14.4" customHeight="1" thickBot="1" x14ac:dyDescent="0.35">
      <c r="A336" s="401" t="s">
        <v>545</v>
      </c>
      <c r="B336" s="379">
        <v>0</v>
      </c>
      <c r="C336" s="379">
        <v>20.385000000000002</v>
      </c>
      <c r="D336" s="380">
        <v>20.385000000000002</v>
      </c>
      <c r="E336" s="389" t="s">
        <v>231</v>
      </c>
      <c r="F336" s="379">
        <v>0</v>
      </c>
      <c r="G336" s="380">
        <v>0</v>
      </c>
      <c r="H336" s="382">
        <v>0</v>
      </c>
      <c r="I336" s="379">
        <v>3.9729999999999999</v>
      </c>
      <c r="J336" s="380">
        <v>3.9729999999999999</v>
      </c>
      <c r="K336" s="390" t="s">
        <v>231</v>
      </c>
    </row>
    <row r="337" spans="1:11" ht="14.4" customHeight="1" thickBot="1" x14ac:dyDescent="0.35">
      <c r="A337" s="400" t="s">
        <v>546</v>
      </c>
      <c r="B337" s="384">
        <v>4414.4709703714398</v>
      </c>
      <c r="C337" s="384">
        <v>4956.6155900000003</v>
      </c>
      <c r="D337" s="385">
        <v>542.14461962856399</v>
      </c>
      <c r="E337" s="391">
        <v>1.1228107791999999</v>
      </c>
      <c r="F337" s="384">
        <v>4892.6712388902297</v>
      </c>
      <c r="G337" s="385">
        <v>2038.61301620426</v>
      </c>
      <c r="H337" s="387">
        <v>411.12392999999997</v>
      </c>
      <c r="I337" s="384">
        <v>2197.30782</v>
      </c>
      <c r="J337" s="385">
        <v>158.69480379573801</v>
      </c>
      <c r="K337" s="392">
        <v>0.449101873539</v>
      </c>
    </row>
    <row r="338" spans="1:11" ht="14.4" customHeight="1" thickBot="1" x14ac:dyDescent="0.35">
      <c r="A338" s="401" t="s">
        <v>547</v>
      </c>
      <c r="B338" s="379">
        <v>4414.4709703714398</v>
      </c>
      <c r="C338" s="379">
        <v>4956.6155900000003</v>
      </c>
      <c r="D338" s="380">
        <v>542.14461962856399</v>
      </c>
      <c r="E338" s="381">
        <v>1.1228107791999999</v>
      </c>
      <c r="F338" s="379">
        <v>4892.6712388902297</v>
      </c>
      <c r="G338" s="380">
        <v>2038.61301620426</v>
      </c>
      <c r="H338" s="382">
        <v>411.12392999999997</v>
      </c>
      <c r="I338" s="379">
        <v>2197.30782</v>
      </c>
      <c r="J338" s="380">
        <v>158.69480379573801</v>
      </c>
      <c r="K338" s="383">
        <v>0.449101873539</v>
      </c>
    </row>
    <row r="339" spans="1:11" ht="14.4" customHeight="1" thickBot="1" x14ac:dyDescent="0.35">
      <c r="A339" s="400" t="s">
        <v>548</v>
      </c>
      <c r="B339" s="384">
        <v>0</v>
      </c>
      <c r="C339" s="384">
        <v>35.895119999999999</v>
      </c>
      <c r="D339" s="385">
        <v>35.895119999999999</v>
      </c>
      <c r="E339" s="386" t="s">
        <v>231</v>
      </c>
      <c r="F339" s="384">
        <v>0</v>
      </c>
      <c r="G339" s="385">
        <v>0</v>
      </c>
      <c r="H339" s="387">
        <v>0</v>
      </c>
      <c r="I339" s="384">
        <v>10.2225</v>
      </c>
      <c r="J339" s="385">
        <v>10.2225</v>
      </c>
      <c r="K339" s="388" t="s">
        <v>231</v>
      </c>
    </row>
    <row r="340" spans="1:11" ht="14.4" customHeight="1" thickBot="1" x14ac:dyDescent="0.35">
      <c r="A340" s="401" t="s">
        <v>549</v>
      </c>
      <c r="B340" s="379">
        <v>0</v>
      </c>
      <c r="C340" s="379">
        <v>7.6020000000000004E-2</v>
      </c>
      <c r="D340" s="380">
        <v>7.6020000000000004E-2</v>
      </c>
      <c r="E340" s="389" t="s">
        <v>231</v>
      </c>
      <c r="F340" s="379">
        <v>0</v>
      </c>
      <c r="G340" s="380">
        <v>0</v>
      </c>
      <c r="H340" s="382">
        <v>0</v>
      </c>
      <c r="I340" s="379">
        <v>1.008E-2</v>
      </c>
      <c r="J340" s="380">
        <v>1.008E-2</v>
      </c>
      <c r="K340" s="390" t="s">
        <v>231</v>
      </c>
    </row>
    <row r="341" spans="1:11" ht="14.4" customHeight="1" thickBot="1" x14ac:dyDescent="0.35">
      <c r="A341" s="401" t="s">
        <v>550</v>
      </c>
      <c r="B341" s="379">
        <v>0</v>
      </c>
      <c r="C341" s="379">
        <v>12.311360000000001</v>
      </c>
      <c r="D341" s="380">
        <v>12.311360000000001</v>
      </c>
      <c r="E341" s="389" t="s">
        <v>231</v>
      </c>
      <c r="F341" s="379">
        <v>0</v>
      </c>
      <c r="G341" s="380">
        <v>0</v>
      </c>
      <c r="H341" s="382">
        <v>0</v>
      </c>
      <c r="I341" s="379">
        <v>4.0197399999999996</v>
      </c>
      <c r="J341" s="380">
        <v>4.0197399999999996</v>
      </c>
      <c r="K341" s="390" t="s">
        <v>231</v>
      </c>
    </row>
    <row r="342" spans="1:11" ht="14.4" customHeight="1" thickBot="1" x14ac:dyDescent="0.35">
      <c r="A342" s="401" t="s">
        <v>551</v>
      </c>
      <c r="B342" s="379">
        <v>0</v>
      </c>
      <c r="C342" s="379">
        <v>23.507739999999998</v>
      </c>
      <c r="D342" s="380">
        <v>23.507739999999998</v>
      </c>
      <c r="E342" s="389" t="s">
        <v>231</v>
      </c>
      <c r="F342" s="379">
        <v>0</v>
      </c>
      <c r="G342" s="380">
        <v>0</v>
      </c>
      <c r="H342" s="382">
        <v>0</v>
      </c>
      <c r="I342" s="379">
        <v>6.1926800000000002</v>
      </c>
      <c r="J342" s="380">
        <v>6.1926800000000002</v>
      </c>
      <c r="K342" s="390" t="s">
        <v>231</v>
      </c>
    </row>
    <row r="343" spans="1:11" ht="14.4" customHeight="1" thickBot="1" x14ac:dyDescent="0.35">
      <c r="A343" s="397" t="s">
        <v>552</v>
      </c>
      <c r="B343" s="379">
        <v>0</v>
      </c>
      <c r="C343" s="379">
        <v>8588.9346100000002</v>
      </c>
      <c r="D343" s="380">
        <v>8588.9346100000002</v>
      </c>
      <c r="E343" s="389" t="s">
        <v>219</v>
      </c>
      <c r="F343" s="379">
        <v>10542</v>
      </c>
      <c r="G343" s="380">
        <v>4392.5</v>
      </c>
      <c r="H343" s="382">
        <v>732.58848999999998</v>
      </c>
      <c r="I343" s="379">
        <v>4789.2035699999997</v>
      </c>
      <c r="J343" s="380">
        <v>396.70357000000001</v>
      </c>
      <c r="K343" s="383">
        <v>0.45429743597</v>
      </c>
    </row>
    <row r="344" spans="1:11" ht="14.4" customHeight="1" thickBot="1" x14ac:dyDescent="0.35">
      <c r="A344" s="404" t="s">
        <v>553</v>
      </c>
      <c r="B344" s="384">
        <v>0</v>
      </c>
      <c r="C344" s="384">
        <v>8588.9346100000002</v>
      </c>
      <c r="D344" s="385">
        <v>8588.9346100000002</v>
      </c>
      <c r="E344" s="386" t="s">
        <v>219</v>
      </c>
      <c r="F344" s="384">
        <v>10542</v>
      </c>
      <c r="G344" s="385">
        <v>4392.5</v>
      </c>
      <c r="H344" s="387">
        <v>732.58848999999998</v>
      </c>
      <c r="I344" s="384">
        <v>4789.2035699999997</v>
      </c>
      <c r="J344" s="385">
        <v>396.70357000000001</v>
      </c>
      <c r="K344" s="392">
        <v>0.45429743597</v>
      </c>
    </row>
    <row r="345" spans="1:11" ht="14.4" customHeight="1" thickBot="1" x14ac:dyDescent="0.35">
      <c r="A345" s="402" t="s">
        <v>554</v>
      </c>
      <c r="B345" s="384">
        <v>0</v>
      </c>
      <c r="C345" s="384">
        <v>8588.9346100000002</v>
      </c>
      <c r="D345" s="385">
        <v>8588.9346100000002</v>
      </c>
      <c r="E345" s="386" t="s">
        <v>219</v>
      </c>
      <c r="F345" s="384">
        <v>10542</v>
      </c>
      <c r="G345" s="385">
        <v>4392.5</v>
      </c>
      <c r="H345" s="387">
        <v>732.58848999999998</v>
      </c>
      <c r="I345" s="384">
        <v>4789.2035699999997</v>
      </c>
      <c r="J345" s="385">
        <v>396.70357000000001</v>
      </c>
      <c r="K345" s="392">
        <v>0.45429743597</v>
      </c>
    </row>
    <row r="346" spans="1:11" ht="14.4" customHeight="1" thickBot="1" x14ac:dyDescent="0.35">
      <c r="A346" s="403" t="s">
        <v>555</v>
      </c>
      <c r="B346" s="379">
        <v>0</v>
      </c>
      <c r="C346" s="379">
        <v>3459.86769</v>
      </c>
      <c r="D346" s="380">
        <v>3459.86769</v>
      </c>
      <c r="E346" s="389" t="s">
        <v>231</v>
      </c>
      <c r="F346" s="379">
        <v>10542</v>
      </c>
      <c r="G346" s="380">
        <v>4392.5</v>
      </c>
      <c r="H346" s="382">
        <v>605.93349000000001</v>
      </c>
      <c r="I346" s="379">
        <v>4237.1019699999997</v>
      </c>
      <c r="J346" s="380">
        <v>-155.39803000000001</v>
      </c>
      <c r="K346" s="383">
        <v>0.401925817681</v>
      </c>
    </row>
    <row r="347" spans="1:11" ht="14.4" customHeight="1" thickBot="1" x14ac:dyDescent="0.35">
      <c r="A347" s="401" t="s">
        <v>556</v>
      </c>
      <c r="B347" s="379">
        <v>0</v>
      </c>
      <c r="C347" s="379">
        <v>626.81500000000005</v>
      </c>
      <c r="D347" s="380">
        <v>626.81500000000005</v>
      </c>
      <c r="E347" s="389" t="s">
        <v>231</v>
      </c>
      <c r="F347" s="379">
        <v>0</v>
      </c>
      <c r="G347" s="380">
        <v>0</v>
      </c>
      <c r="H347" s="382">
        <v>0</v>
      </c>
      <c r="I347" s="379">
        <v>156.745</v>
      </c>
      <c r="J347" s="380">
        <v>156.745</v>
      </c>
      <c r="K347" s="390" t="s">
        <v>231</v>
      </c>
    </row>
    <row r="348" spans="1:11" ht="14.4" customHeight="1" thickBot="1" x14ac:dyDescent="0.35">
      <c r="A348" s="401" t="s">
        <v>557</v>
      </c>
      <c r="B348" s="379">
        <v>0</v>
      </c>
      <c r="C348" s="379">
        <v>2833.05269</v>
      </c>
      <c r="D348" s="380">
        <v>2833.05269</v>
      </c>
      <c r="E348" s="389" t="s">
        <v>231</v>
      </c>
      <c r="F348" s="379">
        <v>10542</v>
      </c>
      <c r="G348" s="380">
        <v>4392.5</v>
      </c>
      <c r="H348" s="382">
        <v>605.93349000000001</v>
      </c>
      <c r="I348" s="379">
        <v>4080.3569699999998</v>
      </c>
      <c r="J348" s="380">
        <v>-312.14303000000098</v>
      </c>
      <c r="K348" s="383">
        <v>0.38705719692599999</v>
      </c>
    </row>
    <row r="349" spans="1:11" ht="14.4" customHeight="1" thickBot="1" x14ac:dyDescent="0.35">
      <c r="A349" s="400" t="s">
        <v>558</v>
      </c>
      <c r="B349" s="384">
        <v>0</v>
      </c>
      <c r="C349" s="384">
        <v>3907.2033200000001</v>
      </c>
      <c r="D349" s="385">
        <v>3907.2033200000001</v>
      </c>
      <c r="E349" s="386" t="s">
        <v>231</v>
      </c>
      <c r="F349" s="384">
        <v>0</v>
      </c>
      <c r="G349" s="385">
        <v>0</v>
      </c>
      <c r="H349" s="387">
        <v>0</v>
      </c>
      <c r="I349" s="384">
        <v>0</v>
      </c>
      <c r="J349" s="385">
        <v>0</v>
      </c>
      <c r="K349" s="392">
        <v>0</v>
      </c>
    </row>
    <row r="350" spans="1:11" ht="14.4" customHeight="1" thickBot="1" x14ac:dyDescent="0.35">
      <c r="A350" s="401" t="s">
        <v>559</v>
      </c>
      <c r="B350" s="379">
        <v>0</v>
      </c>
      <c r="C350" s="379">
        <v>3907.2033200000001</v>
      </c>
      <c r="D350" s="380">
        <v>3907.2033200000001</v>
      </c>
      <c r="E350" s="389" t="s">
        <v>231</v>
      </c>
      <c r="F350" s="379">
        <v>0</v>
      </c>
      <c r="G350" s="380">
        <v>0</v>
      </c>
      <c r="H350" s="382">
        <v>0</v>
      </c>
      <c r="I350" s="379">
        <v>0</v>
      </c>
      <c r="J350" s="380">
        <v>0</v>
      </c>
      <c r="K350" s="383">
        <v>0</v>
      </c>
    </row>
    <row r="351" spans="1:11" ht="14.4" customHeight="1" thickBot="1" x14ac:dyDescent="0.35">
      <c r="A351" s="400" t="s">
        <v>560</v>
      </c>
      <c r="B351" s="384">
        <v>0</v>
      </c>
      <c r="C351" s="384">
        <v>1221.8635999999999</v>
      </c>
      <c r="D351" s="385">
        <v>1221.8635999999999</v>
      </c>
      <c r="E351" s="386" t="s">
        <v>231</v>
      </c>
      <c r="F351" s="384">
        <v>0</v>
      </c>
      <c r="G351" s="385">
        <v>0</v>
      </c>
      <c r="H351" s="387">
        <v>126.655</v>
      </c>
      <c r="I351" s="384">
        <v>552.10159999999996</v>
      </c>
      <c r="J351" s="385">
        <v>552.10159999999996</v>
      </c>
      <c r="K351" s="388" t="s">
        <v>231</v>
      </c>
    </row>
    <row r="352" spans="1:11" ht="14.4" customHeight="1" thickBot="1" x14ac:dyDescent="0.35">
      <c r="A352" s="401" t="s">
        <v>561</v>
      </c>
      <c r="B352" s="379">
        <v>0</v>
      </c>
      <c r="C352" s="379">
        <v>1</v>
      </c>
      <c r="D352" s="380">
        <v>1</v>
      </c>
      <c r="E352" s="389" t="s">
        <v>231</v>
      </c>
      <c r="F352" s="379">
        <v>0</v>
      </c>
      <c r="G352" s="380">
        <v>0</v>
      </c>
      <c r="H352" s="382">
        <v>0</v>
      </c>
      <c r="I352" s="379">
        <v>0</v>
      </c>
      <c r="J352" s="380">
        <v>0</v>
      </c>
      <c r="K352" s="383">
        <v>0</v>
      </c>
    </row>
    <row r="353" spans="1:11" ht="14.4" customHeight="1" thickBot="1" x14ac:dyDescent="0.35">
      <c r="A353" s="401" t="s">
        <v>562</v>
      </c>
      <c r="B353" s="379">
        <v>0</v>
      </c>
      <c r="C353" s="379">
        <v>1220.8635999999999</v>
      </c>
      <c r="D353" s="380">
        <v>1220.8635999999999</v>
      </c>
      <c r="E353" s="389" t="s">
        <v>231</v>
      </c>
      <c r="F353" s="379">
        <v>0</v>
      </c>
      <c r="G353" s="380">
        <v>0</v>
      </c>
      <c r="H353" s="382">
        <v>126.655</v>
      </c>
      <c r="I353" s="379">
        <v>552.10159999999996</v>
      </c>
      <c r="J353" s="380">
        <v>552.10159999999996</v>
      </c>
      <c r="K353" s="390" t="s">
        <v>231</v>
      </c>
    </row>
    <row r="354" spans="1:11" ht="14.4" customHeight="1" thickBot="1" x14ac:dyDescent="0.35">
      <c r="A354" s="405"/>
      <c r="B354" s="379">
        <v>19246.6190415815</v>
      </c>
      <c r="C354" s="379">
        <v>32442.5760999993</v>
      </c>
      <c r="D354" s="380">
        <v>13195.9570584178</v>
      </c>
      <c r="E354" s="381">
        <v>1.6856246819189999</v>
      </c>
      <c r="F354" s="379">
        <v>33162.166096572597</v>
      </c>
      <c r="G354" s="380">
        <v>13817.5692069053</v>
      </c>
      <c r="H354" s="382">
        <v>3502.77475</v>
      </c>
      <c r="I354" s="379">
        <v>14633.9030200001</v>
      </c>
      <c r="J354" s="380">
        <v>816.33381309481399</v>
      </c>
      <c r="K354" s="383">
        <v>0.44128308679700001</v>
      </c>
    </row>
    <row r="355" spans="1:11" ht="14.4" customHeight="1" thickBot="1" x14ac:dyDescent="0.35">
      <c r="A355" s="406" t="s">
        <v>48</v>
      </c>
      <c r="B355" s="393">
        <v>19246.6190415815</v>
      </c>
      <c r="C355" s="393">
        <v>32442.5760999993</v>
      </c>
      <c r="D355" s="394">
        <v>13195.9570584178</v>
      </c>
      <c r="E355" s="395" t="s">
        <v>219</v>
      </c>
      <c r="F355" s="393">
        <v>33162.166096572597</v>
      </c>
      <c r="G355" s="394">
        <v>13817.5692069053</v>
      </c>
      <c r="H355" s="393">
        <v>3502.77475</v>
      </c>
      <c r="I355" s="393">
        <v>14633.9030200001</v>
      </c>
      <c r="J355" s="394">
        <v>816.33381309482002</v>
      </c>
      <c r="K355" s="396">
        <v>0.44128308679700001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3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81" customWidth="1"/>
    <col min="2" max="2" width="61.109375" style="181" customWidth="1"/>
    <col min="3" max="3" width="9.5546875" style="104" hidden="1" customWidth="1" outlineLevel="1"/>
    <col min="4" max="4" width="9.5546875" style="182" customWidth="1" collapsed="1"/>
    <col min="5" max="5" width="2.21875" style="182" customWidth="1"/>
    <col min="6" max="6" width="9.5546875" style="183" customWidth="1"/>
    <col min="7" max="7" width="9.5546875" style="180" customWidth="1"/>
    <col min="8" max="9" width="9.5546875" style="104" customWidth="1"/>
    <col min="10" max="10" width="0" style="104" hidden="1" customWidth="1"/>
    <col min="11" max="16384" width="8.88671875" style="104"/>
  </cols>
  <sheetData>
    <row r="1" spans="1:10" ht="18.600000000000001" customHeight="1" thickBot="1" x14ac:dyDescent="0.4">
      <c r="A1" s="313" t="s">
        <v>109</v>
      </c>
      <c r="B1" s="314"/>
      <c r="C1" s="314"/>
      <c r="D1" s="314"/>
      <c r="E1" s="314"/>
      <c r="F1" s="314"/>
      <c r="G1" s="284"/>
      <c r="H1" s="315"/>
      <c r="I1" s="315"/>
    </row>
    <row r="2" spans="1:10" ht="14.4" customHeight="1" thickBot="1" x14ac:dyDescent="0.35">
      <c r="A2" s="199" t="s">
        <v>218</v>
      </c>
      <c r="B2" s="179"/>
      <c r="C2" s="179"/>
      <c r="D2" s="179"/>
      <c r="E2" s="179"/>
      <c r="F2" s="179"/>
    </row>
    <row r="3" spans="1:10" ht="14.4" customHeight="1" thickBot="1" x14ac:dyDescent="0.35">
      <c r="A3" s="199"/>
      <c r="B3" s="227"/>
      <c r="C3" s="226">
        <v>2015</v>
      </c>
      <c r="D3" s="206">
        <v>2018</v>
      </c>
      <c r="E3" s="7"/>
      <c r="F3" s="292">
        <v>2019</v>
      </c>
      <c r="G3" s="310"/>
      <c r="H3" s="310"/>
      <c r="I3" s="293"/>
    </row>
    <row r="4" spans="1:10" ht="14.4" customHeight="1" thickBot="1" x14ac:dyDescent="0.35">
      <c r="A4" s="210" t="s">
        <v>0</v>
      </c>
      <c r="B4" s="211" t="s">
        <v>154</v>
      </c>
      <c r="C4" s="311" t="s">
        <v>54</v>
      </c>
      <c r="D4" s="312"/>
      <c r="E4" s="212"/>
      <c r="F4" s="207" t="s">
        <v>54</v>
      </c>
      <c r="G4" s="208" t="s">
        <v>55</v>
      </c>
      <c r="H4" s="208" t="s">
        <v>49</v>
      </c>
      <c r="I4" s="209" t="s">
        <v>56</v>
      </c>
    </row>
    <row r="5" spans="1:10" ht="14.4" customHeight="1" x14ac:dyDescent="0.3">
      <c r="A5" s="407" t="s">
        <v>563</v>
      </c>
      <c r="B5" s="408" t="s">
        <v>564</v>
      </c>
      <c r="C5" s="409" t="s">
        <v>565</v>
      </c>
      <c r="D5" s="409" t="s">
        <v>565</v>
      </c>
      <c r="E5" s="409"/>
      <c r="F5" s="409" t="s">
        <v>565</v>
      </c>
      <c r="G5" s="409" t="s">
        <v>565</v>
      </c>
      <c r="H5" s="409" t="s">
        <v>565</v>
      </c>
      <c r="I5" s="410" t="s">
        <v>565</v>
      </c>
      <c r="J5" s="411" t="s">
        <v>50</v>
      </c>
    </row>
    <row r="6" spans="1:10" ht="14.4" customHeight="1" x14ac:dyDescent="0.3">
      <c r="A6" s="407" t="s">
        <v>563</v>
      </c>
      <c r="B6" s="408" t="s">
        <v>566</v>
      </c>
      <c r="C6" s="409">
        <v>28.399510000000003</v>
      </c>
      <c r="D6" s="409">
        <v>32.007550000000002</v>
      </c>
      <c r="E6" s="409"/>
      <c r="F6" s="409">
        <v>21.486160000000002</v>
      </c>
      <c r="G6" s="409">
        <v>33.333333595275882</v>
      </c>
      <c r="H6" s="409">
        <v>-11.84717359527588</v>
      </c>
      <c r="I6" s="410">
        <v>0.64458479493467458</v>
      </c>
      <c r="J6" s="411" t="s">
        <v>1</v>
      </c>
    </row>
    <row r="7" spans="1:10" ht="14.4" customHeight="1" x14ac:dyDescent="0.3">
      <c r="A7" s="407" t="s">
        <v>563</v>
      </c>
      <c r="B7" s="408" t="s">
        <v>567</v>
      </c>
      <c r="C7" s="409">
        <v>28.399510000000003</v>
      </c>
      <c r="D7" s="409">
        <v>32.007550000000002</v>
      </c>
      <c r="E7" s="409"/>
      <c r="F7" s="409">
        <v>21.486160000000002</v>
      </c>
      <c r="G7" s="409">
        <v>33.333333595275882</v>
      </c>
      <c r="H7" s="409">
        <v>-11.84717359527588</v>
      </c>
      <c r="I7" s="410">
        <v>0.64458479493467458</v>
      </c>
      <c r="J7" s="411" t="s">
        <v>568</v>
      </c>
    </row>
    <row r="9" spans="1:10" ht="14.4" customHeight="1" x14ac:dyDescent="0.3">
      <c r="A9" s="407" t="s">
        <v>563</v>
      </c>
      <c r="B9" s="408" t="s">
        <v>564</v>
      </c>
      <c r="C9" s="409" t="s">
        <v>565</v>
      </c>
      <c r="D9" s="409" t="s">
        <v>565</v>
      </c>
      <c r="E9" s="409"/>
      <c r="F9" s="409" t="s">
        <v>565</v>
      </c>
      <c r="G9" s="409" t="s">
        <v>565</v>
      </c>
      <c r="H9" s="409" t="s">
        <v>565</v>
      </c>
      <c r="I9" s="410" t="s">
        <v>565</v>
      </c>
      <c r="J9" s="411" t="s">
        <v>50</v>
      </c>
    </row>
    <row r="10" spans="1:10" ht="14.4" customHeight="1" x14ac:dyDescent="0.3">
      <c r="A10" s="407" t="s">
        <v>569</v>
      </c>
      <c r="B10" s="408" t="s">
        <v>570</v>
      </c>
      <c r="C10" s="409" t="s">
        <v>565</v>
      </c>
      <c r="D10" s="409" t="s">
        <v>565</v>
      </c>
      <c r="E10" s="409"/>
      <c r="F10" s="409" t="s">
        <v>565</v>
      </c>
      <c r="G10" s="409" t="s">
        <v>565</v>
      </c>
      <c r="H10" s="409" t="s">
        <v>565</v>
      </c>
      <c r="I10" s="410" t="s">
        <v>565</v>
      </c>
      <c r="J10" s="411" t="s">
        <v>0</v>
      </c>
    </row>
    <row r="11" spans="1:10" ht="14.4" customHeight="1" x14ac:dyDescent="0.3">
      <c r="A11" s="407" t="s">
        <v>569</v>
      </c>
      <c r="B11" s="408" t="s">
        <v>566</v>
      </c>
      <c r="C11" s="409">
        <v>0.27893000000000001</v>
      </c>
      <c r="D11" s="409">
        <v>0.17449999999999999</v>
      </c>
      <c r="E11" s="409"/>
      <c r="F11" s="409">
        <v>0</v>
      </c>
      <c r="G11" s="409">
        <v>0</v>
      </c>
      <c r="H11" s="409">
        <v>0</v>
      </c>
      <c r="I11" s="410" t="s">
        <v>565</v>
      </c>
      <c r="J11" s="411" t="s">
        <v>1</v>
      </c>
    </row>
    <row r="12" spans="1:10" ht="14.4" customHeight="1" x14ac:dyDescent="0.3">
      <c r="A12" s="407" t="s">
        <v>569</v>
      </c>
      <c r="B12" s="408" t="s">
        <v>571</v>
      </c>
      <c r="C12" s="409">
        <v>0.27893000000000001</v>
      </c>
      <c r="D12" s="409">
        <v>0.17449999999999999</v>
      </c>
      <c r="E12" s="409"/>
      <c r="F12" s="409">
        <v>0</v>
      </c>
      <c r="G12" s="409">
        <v>0</v>
      </c>
      <c r="H12" s="409">
        <v>0</v>
      </c>
      <c r="I12" s="410" t="s">
        <v>565</v>
      </c>
      <c r="J12" s="411" t="s">
        <v>572</v>
      </c>
    </row>
    <row r="13" spans="1:10" ht="14.4" customHeight="1" x14ac:dyDescent="0.3">
      <c r="A13" s="407" t="s">
        <v>565</v>
      </c>
      <c r="B13" s="408" t="s">
        <v>565</v>
      </c>
      <c r="C13" s="409" t="s">
        <v>565</v>
      </c>
      <c r="D13" s="409" t="s">
        <v>565</v>
      </c>
      <c r="E13" s="409"/>
      <c r="F13" s="409" t="s">
        <v>565</v>
      </c>
      <c r="G13" s="409" t="s">
        <v>565</v>
      </c>
      <c r="H13" s="409" t="s">
        <v>565</v>
      </c>
      <c r="I13" s="410" t="s">
        <v>565</v>
      </c>
      <c r="J13" s="411" t="s">
        <v>573</v>
      </c>
    </row>
    <row r="14" spans="1:10" ht="14.4" customHeight="1" x14ac:dyDescent="0.3">
      <c r="A14" s="407" t="s">
        <v>574</v>
      </c>
      <c r="B14" s="408" t="s">
        <v>575</v>
      </c>
      <c r="C14" s="409" t="s">
        <v>565</v>
      </c>
      <c r="D14" s="409" t="s">
        <v>565</v>
      </c>
      <c r="E14" s="409"/>
      <c r="F14" s="409" t="s">
        <v>565</v>
      </c>
      <c r="G14" s="409" t="s">
        <v>565</v>
      </c>
      <c r="H14" s="409" t="s">
        <v>565</v>
      </c>
      <c r="I14" s="410" t="s">
        <v>565</v>
      </c>
      <c r="J14" s="411" t="s">
        <v>0</v>
      </c>
    </row>
    <row r="15" spans="1:10" ht="14.4" customHeight="1" x14ac:dyDescent="0.3">
      <c r="A15" s="407" t="s">
        <v>574</v>
      </c>
      <c r="B15" s="408" t="s">
        <v>566</v>
      </c>
      <c r="C15" s="409">
        <v>7.3010000000000005E-2</v>
      </c>
      <c r="D15" s="409">
        <v>8.4290000000000004E-2</v>
      </c>
      <c r="E15" s="409"/>
      <c r="F15" s="409">
        <v>0</v>
      </c>
      <c r="G15" s="409">
        <v>0</v>
      </c>
      <c r="H15" s="409">
        <v>0</v>
      </c>
      <c r="I15" s="410" t="s">
        <v>565</v>
      </c>
      <c r="J15" s="411" t="s">
        <v>1</v>
      </c>
    </row>
    <row r="16" spans="1:10" ht="14.4" customHeight="1" x14ac:dyDescent="0.3">
      <c r="A16" s="407" t="s">
        <v>574</v>
      </c>
      <c r="B16" s="408" t="s">
        <v>576</v>
      </c>
      <c r="C16" s="409">
        <v>7.3010000000000005E-2</v>
      </c>
      <c r="D16" s="409">
        <v>8.4290000000000004E-2</v>
      </c>
      <c r="E16" s="409"/>
      <c r="F16" s="409">
        <v>0</v>
      </c>
      <c r="G16" s="409">
        <v>0</v>
      </c>
      <c r="H16" s="409">
        <v>0</v>
      </c>
      <c r="I16" s="410" t="s">
        <v>565</v>
      </c>
      <c r="J16" s="411" t="s">
        <v>572</v>
      </c>
    </row>
    <row r="17" spans="1:10" ht="14.4" customHeight="1" x14ac:dyDescent="0.3">
      <c r="A17" s="407" t="s">
        <v>565</v>
      </c>
      <c r="B17" s="408" t="s">
        <v>565</v>
      </c>
      <c r="C17" s="409" t="s">
        <v>565</v>
      </c>
      <c r="D17" s="409" t="s">
        <v>565</v>
      </c>
      <c r="E17" s="409"/>
      <c r="F17" s="409" t="s">
        <v>565</v>
      </c>
      <c r="G17" s="409" t="s">
        <v>565</v>
      </c>
      <c r="H17" s="409" t="s">
        <v>565</v>
      </c>
      <c r="I17" s="410" t="s">
        <v>565</v>
      </c>
      <c r="J17" s="411" t="s">
        <v>573</v>
      </c>
    </row>
    <row r="18" spans="1:10" ht="14.4" customHeight="1" x14ac:dyDescent="0.3">
      <c r="A18" s="407" t="s">
        <v>577</v>
      </c>
      <c r="B18" s="408" t="s">
        <v>578</v>
      </c>
      <c r="C18" s="409" t="s">
        <v>565</v>
      </c>
      <c r="D18" s="409" t="s">
        <v>565</v>
      </c>
      <c r="E18" s="409"/>
      <c r="F18" s="409" t="s">
        <v>565</v>
      </c>
      <c r="G18" s="409" t="s">
        <v>565</v>
      </c>
      <c r="H18" s="409" t="s">
        <v>565</v>
      </c>
      <c r="I18" s="410" t="s">
        <v>565</v>
      </c>
      <c r="J18" s="411" t="s">
        <v>0</v>
      </c>
    </row>
    <row r="19" spans="1:10" ht="14.4" customHeight="1" x14ac:dyDescent="0.3">
      <c r="A19" s="407" t="s">
        <v>577</v>
      </c>
      <c r="B19" s="408" t="s">
        <v>566</v>
      </c>
      <c r="C19" s="409">
        <v>23.749370000000003</v>
      </c>
      <c r="D19" s="409">
        <v>29.572450000000003</v>
      </c>
      <c r="E19" s="409"/>
      <c r="F19" s="409">
        <v>19.733090000000001</v>
      </c>
      <c r="G19" s="409">
        <v>28</v>
      </c>
      <c r="H19" s="409">
        <v>-8.2669099999999993</v>
      </c>
      <c r="I19" s="410">
        <v>0.70475321428571436</v>
      </c>
      <c r="J19" s="411" t="s">
        <v>1</v>
      </c>
    </row>
    <row r="20" spans="1:10" ht="14.4" customHeight="1" x14ac:dyDescent="0.3">
      <c r="A20" s="407" t="s">
        <v>577</v>
      </c>
      <c r="B20" s="408" t="s">
        <v>579</v>
      </c>
      <c r="C20" s="409">
        <v>23.749370000000003</v>
      </c>
      <c r="D20" s="409">
        <v>29.572450000000003</v>
      </c>
      <c r="E20" s="409"/>
      <c r="F20" s="409">
        <v>19.733090000000001</v>
      </c>
      <c r="G20" s="409">
        <v>28</v>
      </c>
      <c r="H20" s="409">
        <v>-8.2669099999999993</v>
      </c>
      <c r="I20" s="410">
        <v>0.70475321428571436</v>
      </c>
      <c r="J20" s="411" t="s">
        <v>572</v>
      </c>
    </row>
    <row r="21" spans="1:10" ht="14.4" customHeight="1" x14ac:dyDescent="0.3">
      <c r="A21" s="407" t="s">
        <v>565</v>
      </c>
      <c r="B21" s="408" t="s">
        <v>565</v>
      </c>
      <c r="C21" s="409" t="s">
        <v>565</v>
      </c>
      <c r="D21" s="409" t="s">
        <v>565</v>
      </c>
      <c r="E21" s="409"/>
      <c r="F21" s="409" t="s">
        <v>565</v>
      </c>
      <c r="G21" s="409" t="s">
        <v>565</v>
      </c>
      <c r="H21" s="409" t="s">
        <v>565</v>
      </c>
      <c r="I21" s="410" t="s">
        <v>565</v>
      </c>
      <c r="J21" s="411" t="s">
        <v>573</v>
      </c>
    </row>
    <row r="22" spans="1:10" ht="14.4" customHeight="1" x14ac:dyDescent="0.3">
      <c r="A22" s="407" t="s">
        <v>580</v>
      </c>
      <c r="B22" s="408" t="s">
        <v>581</v>
      </c>
      <c r="C22" s="409" t="s">
        <v>565</v>
      </c>
      <c r="D22" s="409" t="s">
        <v>565</v>
      </c>
      <c r="E22" s="409"/>
      <c r="F22" s="409" t="s">
        <v>565</v>
      </c>
      <c r="G22" s="409" t="s">
        <v>565</v>
      </c>
      <c r="H22" s="409" t="s">
        <v>565</v>
      </c>
      <c r="I22" s="410" t="s">
        <v>565</v>
      </c>
      <c r="J22" s="411" t="s">
        <v>0</v>
      </c>
    </row>
    <row r="23" spans="1:10" ht="14.4" customHeight="1" x14ac:dyDescent="0.3">
      <c r="A23" s="407" t="s">
        <v>580</v>
      </c>
      <c r="B23" s="408" t="s">
        <v>566</v>
      </c>
      <c r="C23" s="409">
        <v>1.1622300000000001</v>
      </c>
      <c r="D23" s="409">
        <v>0.43905</v>
      </c>
      <c r="E23" s="409"/>
      <c r="F23" s="409">
        <v>0</v>
      </c>
      <c r="G23" s="409">
        <v>2</v>
      </c>
      <c r="H23" s="409">
        <v>-2</v>
      </c>
      <c r="I23" s="410">
        <v>0</v>
      </c>
      <c r="J23" s="411" t="s">
        <v>1</v>
      </c>
    </row>
    <row r="24" spans="1:10" ht="14.4" customHeight="1" x14ac:dyDescent="0.3">
      <c r="A24" s="407" t="s">
        <v>580</v>
      </c>
      <c r="B24" s="408" t="s">
        <v>582</v>
      </c>
      <c r="C24" s="409">
        <v>1.1622300000000001</v>
      </c>
      <c r="D24" s="409">
        <v>0.43905</v>
      </c>
      <c r="E24" s="409"/>
      <c r="F24" s="409">
        <v>0</v>
      </c>
      <c r="G24" s="409">
        <v>2</v>
      </c>
      <c r="H24" s="409">
        <v>-2</v>
      </c>
      <c r="I24" s="410">
        <v>0</v>
      </c>
      <c r="J24" s="411" t="s">
        <v>572</v>
      </c>
    </row>
    <row r="25" spans="1:10" ht="14.4" customHeight="1" x14ac:dyDescent="0.3">
      <c r="A25" s="407" t="s">
        <v>565</v>
      </c>
      <c r="B25" s="408" t="s">
        <v>565</v>
      </c>
      <c r="C25" s="409" t="s">
        <v>565</v>
      </c>
      <c r="D25" s="409" t="s">
        <v>565</v>
      </c>
      <c r="E25" s="409"/>
      <c r="F25" s="409" t="s">
        <v>565</v>
      </c>
      <c r="G25" s="409" t="s">
        <v>565</v>
      </c>
      <c r="H25" s="409" t="s">
        <v>565</v>
      </c>
      <c r="I25" s="410" t="s">
        <v>565</v>
      </c>
      <c r="J25" s="411" t="s">
        <v>573</v>
      </c>
    </row>
    <row r="26" spans="1:10" ht="14.4" customHeight="1" x14ac:dyDescent="0.3">
      <c r="A26" s="407" t="s">
        <v>583</v>
      </c>
      <c r="B26" s="408" t="s">
        <v>584</v>
      </c>
      <c r="C26" s="409" t="s">
        <v>565</v>
      </c>
      <c r="D26" s="409" t="s">
        <v>565</v>
      </c>
      <c r="E26" s="409"/>
      <c r="F26" s="409" t="s">
        <v>565</v>
      </c>
      <c r="G26" s="409" t="s">
        <v>565</v>
      </c>
      <c r="H26" s="409" t="s">
        <v>565</v>
      </c>
      <c r="I26" s="410" t="s">
        <v>565</v>
      </c>
      <c r="J26" s="411" t="s">
        <v>0</v>
      </c>
    </row>
    <row r="27" spans="1:10" ht="14.4" customHeight="1" x14ac:dyDescent="0.3">
      <c r="A27" s="407" t="s">
        <v>583</v>
      </c>
      <c r="B27" s="408" t="s">
        <v>566</v>
      </c>
      <c r="C27" s="409">
        <v>3.1359699999999995</v>
      </c>
      <c r="D27" s="409">
        <v>1.7372599999999998</v>
      </c>
      <c r="E27" s="409"/>
      <c r="F27" s="409">
        <v>1.7530700000000001</v>
      </c>
      <c r="G27" s="409">
        <v>3</v>
      </c>
      <c r="H27" s="409">
        <v>-1.2469299999999999</v>
      </c>
      <c r="I27" s="410">
        <v>0.58435666666666675</v>
      </c>
      <c r="J27" s="411" t="s">
        <v>1</v>
      </c>
    </row>
    <row r="28" spans="1:10" ht="14.4" customHeight="1" x14ac:dyDescent="0.3">
      <c r="A28" s="407" t="s">
        <v>583</v>
      </c>
      <c r="B28" s="408" t="s">
        <v>585</v>
      </c>
      <c r="C28" s="409">
        <v>3.1359699999999995</v>
      </c>
      <c r="D28" s="409">
        <v>1.7372599999999998</v>
      </c>
      <c r="E28" s="409"/>
      <c r="F28" s="409">
        <v>1.7530700000000001</v>
      </c>
      <c r="G28" s="409">
        <v>3</v>
      </c>
      <c r="H28" s="409">
        <v>-1.2469299999999999</v>
      </c>
      <c r="I28" s="410">
        <v>0.58435666666666675</v>
      </c>
      <c r="J28" s="411" t="s">
        <v>572</v>
      </c>
    </row>
    <row r="29" spans="1:10" ht="14.4" customHeight="1" x14ac:dyDescent="0.3">
      <c r="A29" s="407" t="s">
        <v>565</v>
      </c>
      <c r="B29" s="408" t="s">
        <v>565</v>
      </c>
      <c r="C29" s="409" t="s">
        <v>565</v>
      </c>
      <c r="D29" s="409" t="s">
        <v>565</v>
      </c>
      <c r="E29" s="409"/>
      <c r="F29" s="409" t="s">
        <v>565</v>
      </c>
      <c r="G29" s="409" t="s">
        <v>565</v>
      </c>
      <c r="H29" s="409" t="s">
        <v>565</v>
      </c>
      <c r="I29" s="410" t="s">
        <v>565</v>
      </c>
      <c r="J29" s="411" t="s">
        <v>573</v>
      </c>
    </row>
    <row r="30" spans="1:10" ht="14.4" customHeight="1" x14ac:dyDescent="0.3">
      <c r="A30" s="407" t="s">
        <v>563</v>
      </c>
      <c r="B30" s="408" t="s">
        <v>567</v>
      </c>
      <c r="C30" s="409">
        <v>28.399510000000003</v>
      </c>
      <c r="D30" s="409">
        <v>32.007550000000009</v>
      </c>
      <c r="E30" s="409"/>
      <c r="F30" s="409">
        <v>21.486160000000002</v>
      </c>
      <c r="G30" s="409">
        <v>33</v>
      </c>
      <c r="H30" s="409">
        <v>-11.513839999999998</v>
      </c>
      <c r="I30" s="410">
        <v>0.65109575757575766</v>
      </c>
      <c r="J30" s="411" t="s">
        <v>568</v>
      </c>
    </row>
  </sheetData>
  <mergeCells count="3">
    <mergeCell ref="F3:I3"/>
    <mergeCell ref="C4:D4"/>
    <mergeCell ref="A1:I1"/>
  </mergeCells>
  <conditionalFormatting sqref="F8 F31:F65537">
    <cfRule type="cellIs" dxfId="36" priority="18" stopIfTrue="1" operator="greaterThan">
      <formula>1</formula>
    </cfRule>
  </conditionalFormatting>
  <conditionalFormatting sqref="H5:H7">
    <cfRule type="expression" dxfId="35" priority="14">
      <formula>$H5&gt;0</formula>
    </cfRule>
  </conditionalFormatting>
  <conditionalFormatting sqref="I5:I7">
    <cfRule type="expression" dxfId="34" priority="15">
      <formula>$I5&gt;1</formula>
    </cfRule>
  </conditionalFormatting>
  <conditionalFormatting sqref="B5:B7">
    <cfRule type="expression" dxfId="33" priority="11">
      <formula>OR($J5="NS",$J5="SumaNS",$J5="Účet")</formula>
    </cfRule>
  </conditionalFormatting>
  <conditionalFormatting sqref="B5:D7 F5:I7">
    <cfRule type="expression" dxfId="32" priority="17">
      <formula>AND($J5&lt;&gt;"",$J5&lt;&gt;"mezeraKL")</formula>
    </cfRule>
  </conditionalFormatting>
  <conditionalFormatting sqref="B5:D7 F5:I7">
    <cfRule type="expression" dxfId="31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30" priority="13">
      <formula>OR($J5="SumaNS",$J5="NS")</formula>
    </cfRule>
  </conditionalFormatting>
  <conditionalFormatting sqref="A5:A7">
    <cfRule type="expression" dxfId="29" priority="9">
      <formula>AND($J5&lt;&gt;"mezeraKL",$J5&lt;&gt;"")</formula>
    </cfRule>
  </conditionalFormatting>
  <conditionalFormatting sqref="A5:A7">
    <cfRule type="expression" dxfId="28" priority="10">
      <formula>AND($J5&lt;&gt;"",$J5&lt;&gt;"mezeraKL")</formula>
    </cfRule>
  </conditionalFormatting>
  <conditionalFormatting sqref="H9:H30">
    <cfRule type="expression" dxfId="27" priority="5">
      <formula>$H9&gt;0</formula>
    </cfRule>
  </conditionalFormatting>
  <conditionalFormatting sqref="A9:A30">
    <cfRule type="expression" dxfId="26" priority="2">
      <formula>AND($J9&lt;&gt;"mezeraKL",$J9&lt;&gt;"")</formula>
    </cfRule>
  </conditionalFormatting>
  <conditionalFormatting sqref="I9:I30">
    <cfRule type="expression" dxfId="25" priority="6">
      <formula>$I9&gt;1</formula>
    </cfRule>
  </conditionalFormatting>
  <conditionalFormatting sqref="B9:B30">
    <cfRule type="expression" dxfId="24" priority="1">
      <formula>OR($J9="NS",$J9="SumaNS",$J9="Účet")</formula>
    </cfRule>
  </conditionalFormatting>
  <conditionalFormatting sqref="A9:D30 F9:I30">
    <cfRule type="expression" dxfId="23" priority="8">
      <formula>AND($J9&lt;&gt;"",$J9&lt;&gt;"mezeraKL")</formula>
    </cfRule>
  </conditionalFormatting>
  <conditionalFormatting sqref="B9:D30 F9:I30">
    <cfRule type="expression" dxfId="22" priority="3">
      <formula>OR($J9="KL",$J9="SumaKL")</formula>
    </cfRule>
    <cfRule type="expression" priority="7" stopIfTrue="1">
      <formula>OR($J9="mezeraNS",$J9="mezeraKL")</formula>
    </cfRule>
  </conditionalFormatting>
  <conditionalFormatting sqref="B9:D30 F9:I30">
    <cfRule type="expression" dxfId="21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6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81" customWidth="1"/>
    <col min="2" max="2" width="61.109375" style="181" customWidth="1"/>
    <col min="3" max="3" width="9.5546875" style="104" hidden="1" customWidth="1" outlineLevel="1"/>
    <col min="4" max="4" width="9.5546875" style="182" customWidth="1" collapsed="1"/>
    <col min="5" max="5" width="2.21875" style="182" customWidth="1"/>
    <col min="6" max="6" width="9.5546875" style="183" customWidth="1"/>
    <col min="7" max="7" width="9.5546875" style="180" customWidth="1"/>
    <col min="8" max="9" width="9.5546875" style="104" customWidth="1"/>
    <col min="10" max="10" width="0" style="104" hidden="1" customWidth="1"/>
    <col min="11" max="16384" width="8.88671875" style="104"/>
  </cols>
  <sheetData>
    <row r="1" spans="1:10" ht="18.600000000000001" customHeight="1" thickBot="1" x14ac:dyDescent="0.4">
      <c r="A1" s="313" t="s">
        <v>110</v>
      </c>
      <c r="B1" s="314"/>
      <c r="C1" s="314"/>
      <c r="D1" s="314"/>
      <c r="E1" s="314"/>
      <c r="F1" s="314"/>
      <c r="G1" s="284"/>
      <c r="H1" s="315"/>
      <c r="I1" s="315"/>
    </row>
    <row r="2" spans="1:10" ht="14.4" customHeight="1" thickBot="1" x14ac:dyDescent="0.35">
      <c r="A2" s="199" t="s">
        <v>218</v>
      </c>
      <c r="B2" s="179"/>
      <c r="C2" s="179"/>
      <c r="D2" s="179"/>
      <c r="E2" s="179"/>
      <c r="F2" s="179"/>
    </row>
    <row r="3" spans="1:10" ht="14.4" customHeight="1" thickBot="1" x14ac:dyDescent="0.35">
      <c r="A3" s="199"/>
      <c r="B3" s="227"/>
      <c r="C3" s="205">
        <v>2015</v>
      </c>
      <c r="D3" s="206">
        <v>2018</v>
      </c>
      <c r="E3" s="7"/>
      <c r="F3" s="292">
        <v>2019</v>
      </c>
      <c r="G3" s="310"/>
      <c r="H3" s="310"/>
      <c r="I3" s="293"/>
    </row>
    <row r="4" spans="1:10" ht="14.4" customHeight="1" thickBot="1" x14ac:dyDescent="0.35">
      <c r="A4" s="210" t="s">
        <v>0</v>
      </c>
      <c r="B4" s="211" t="s">
        <v>154</v>
      </c>
      <c r="C4" s="311" t="s">
        <v>54</v>
      </c>
      <c r="D4" s="312"/>
      <c r="E4" s="212"/>
      <c r="F4" s="207" t="s">
        <v>54</v>
      </c>
      <c r="G4" s="208" t="s">
        <v>55</v>
      </c>
      <c r="H4" s="208" t="s">
        <v>49</v>
      </c>
      <c r="I4" s="209" t="s">
        <v>56</v>
      </c>
    </row>
    <row r="5" spans="1:10" ht="14.4" customHeight="1" x14ac:dyDescent="0.3">
      <c r="A5" s="407" t="s">
        <v>563</v>
      </c>
      <c r="B5" s="408" t="s">
        <v>564</v>
      </c>
      <c r="C5" s="409" t="s">
        <v>565</v>
      </c>
      <c r="D5" s="409" t="s">
        <v>565</v>
      </c>
      <c r="E5" s="409"/>
      <c r="F5" s="409" t="s">
        <v>565</v>
      </c>
      <c r="G5" s="409" t="s">
        <v>565</v>
      </c>
      <c r="H5" s="409" t="s">
        <v>565</v>
      </c>
      <c r="I5" s="410" t="s">
        <v>565</v>
      </c>
      <c r="J5" s="411" t="s">
        <v>50</v>
      </c>
    </row>
    <row r="6" spans="1:10" ht="14.4" customHeight="1" x14ac:dyDescent="0.3">
      <c r="A6" s="407" t="s">
        <v>563</v>
      </c>
      <c r="B6" s="408" t="s">
        <v>586</v>
      </c>
      <c r="C6" s="409">
        <v>11.867189999999999</v>
      </c>
      <c r="D6" s="409">
        <v>14.652230000000001</v>
      </c>
      <c r="E6" s="409"/>
      <c r="F6" s="409">
        <v>4.8373999999999997</v>
      </c>
      <c r="G6" s="409">
        <v>10.416666992187501</v>
      </c>
      <c r="H6" s="409">
        <v>-5.5792669921875016</v>
      </c>
      <c r="I6" s="410">
        <v>0.46439038548780037</v>
      </c>
      <c r="J6" s="411" t="s">
        <v>1</v>
      </c>
    </row>
    <row r="7" spans="1:10" ht="14.4" customHeight="1" x14ac:dyDescent="0.3">
      <c r="A7" s="407" t="s">
        <v>563</v>
      </c>
      <c r="B7" s="408" t="s">
        <v>587</v>
      </c>
      <c r="C7" s="409">
        <v>0.53603000000000001</v>
      </c>
      <c r="D7" s="409">
        <v>5.96671</v>
      </c>
      <c r="E7" s="409"/>
      <c r="F7" s="409">
        <v>2.16832</v>
      </c>
      <c r="G7" s="409">
        <v>4.1666669616699217</v>
      </c>
      <c r="H7" s="409">
        <v>-1.9983469616699217</v>
      </c>
      <c r="I7" s="410">
        <v>0.52039676315550265</v>
      </c>
      <c r="J7" s="411" t="s">
        <v>1</v>
      </c>
    </row>
    <row r="8" spans="1:10" ht="14.4" customHeight="1" x14ac:dyDescent="0.3">
      <c r="A8" s="407" t="s">
        <v>563</v>
      </c>
      <c r="B8" s="408" t="s">
        <v>588</v>
      </c>
      <c r="C8" s="409">
        <v>11.590140000000002</v>
      </c>
      <c r="D8" s="409">
        <v>8.1745000000000001</v>
      </c>
      <c r="E8" s="409"/>
      <c r="F8" s="409">
        <v>9.9567599999999992</v>
      </c>
      <c r="G8" s="409">
        <v>10.416667007446289</v>
      </c>
      <c r="H8" s="409">
        <v>-0.45990700744629009</v>
      </c>
      <c r="I8" s="410">
        <v>0.95584892872955152</v>
      </c>
      <c r="J8" s="411" t="s">
        <v>1</v>
      </c>
    </row>
    <row r="9" spans="1:10" ht="14.4" customHeight="1" x14ac:dyDescent="0.3">
      <c r="A9" s="407" t="s">
        <v>563</v>
      </c>
      <c r="B9" s="408" t="s">
        <v>589</v>
      </c>
      <c r="C9" s="409">
        <v>434.59782999999999</v>
      </c>
      <c r="D9" s="409">
        <v>534.64679999999976</v>
      </c>
      <c r="E9" s="409"/>
      <c r="F9" s="409">
        <v>694.66976999999997</v>
      </c>
      <c r="G9" s="409">
        <v>491.66668206787108</v>
      </c>
      <c r="H9" s="409">
        <v>203.00308793212889</v>
      </c>
      <c r="I9" s="410">
        <v>1.412887623538635</v>
      </c>
      <c r="J9" s="411" t="s">
        <v>1</v>
      </c>
    </row>
    <row r="10" spans="1:10" ht="14.4" customHeight="1" x14ac:dyDescent="0.3">
      <c r="A10" s="407" t="s">
        <v>563</v>
      </c>
      <c r="B10" s="408" t="s">
        <v>590</v>
      </c>
      <c r="C10" s="409">
        <v>402.33997000000005</v>
      </c>
      <c r="D10" s="409">
        <v>305.62464000000011</v>
      </c>
      <c r="E10" s="409"/>
      <c r="F10" s="409">
        <v>368.24113999999997</v>
      </c>
      <c r="G10" s="409">
        <v>250</v>
      </c>
      <c r="H10" s="409">
        <v>118.24113999999997</v>
      </c>
      <c r="I10" s="410">
        <v>1.4729645599999999</v>
      </c>
      <c r="J10" s="411" t="s">
        <v>1</v>
      </c>
    </row>
    <row r="11" spans="1:10" ht="14.4" customHeight="1" x14ac:dyDescent="0.3">
      <c r="A11" s="407" t="s">
        <v>563</v>
      </c>
      <c r="B11" s="408" t="s">
        <v>591</v>
      </c>
      <c r="C11" s="409">
        <v>22.649250000000002</v>
      </c>
      <c r="D11" s="409">
        <v>23.360000000000003</v>
      </c>
      <c r="E11" s="409"/>
      <c r="F11" s="409">
        <v>33.843050000000005</v>
      </c>
      <c r="G11" s="409">
        <v>27.083332672119141</v>
      </c>
      <c r="H11" s="409">
        <v>6.759717327880864</v>
      </c>
      <c r="I11" s="410">
        <v>1.2495895689690966</v>
      </c>
      <c r="J11" s="411" t="s">
        <v>1</v>
      </c>
    </row>
    <row r="12" spans="1:10" ht="14.4" customHeight="1" x14ac:dyDescent="0.3">
      <c r="A12" s="407" t="s">
        <v>563</v>
      </c>
      <c r="B12" s="408" t="s">
        <v>592</v>
      </c>
      <c r="C12" s="409">
        <v>111.30573000000001</v>
      </c>
      <c r="D12" s="409">
        <v>95.098620000000011</v>
      </c>
      <c r="E12" s="409"/>
      <c r="F12" s="409">
        <v>113.30969999999999</v>
      </c>
      <c r="G12" s="409">
        <v>108.333333984375</v>
      </c>
      <c r="H12" s="409">
        <v>4.9763660156249898</v>
      </c>
      <c r="I12" s="410">
        <v>1.045935686022021</v>
      </c>
      <c r="J12" s="411" t="s">
        <v>1</v>
      </c>
    </row>
    <row r="13" spans="1:10" ht="14.4" customHeight="1" x14ac:dyDescent="0.3">
      <c r="A13" s="407" t="s">
        <v>563</v>
      </c>
      <c r="B13" s="408" t="s">
        <v>567</v>
      </c>
      <c r="C13" s="409">
        <v>994.88614000000018</v>
      </c>
      <c r="D13" s="409">
        <v>987.5234999999999</v>
      </c>
      <c r="E13" s="409"/>
      <c r="F13" s="409">
        <v>1227.0261399999999</v>
      </c>
      <c r="G13" s="409">
        <v>902.08334968566896</v>
      </c>
      <c r="H13" s="409">
        <v>324.94279031433098</v>
      </c>
      <c r="I13" s="410">
        <v>1.3602137102159766</v>
      </c>
      <c r="J13" s="411" t="s">
        <v>568</v>
      </c>
    </row>
    <row r="15" spans="1:10" ht="14.4" customHeight="1" x14ac:dyDescent="0.3">
      <c r="A15" s="407" t="s">
        <v>563</v>
      </c>
      <c r="B15" s="408" t="s">
        <v>564</v>
      </c>
      <c r="C15" s="409" t="s">
        <v>565</v>
      </c>
      <c r="D15" s="409" t="s">
        <v>565</v>
      </c>
      <c r="E15" s="409"/>
      <c r="F15" s="409" t="s">
        <v>565</v>
      </c>
      <c r="G15" s="409" t="s">
        <v>565</v>
      </c>
      <c r="H15" s="409" t="s">
        <v>565</v>
      </c>
      <c r="I15" s="410" t="s">
        <v>565</v>
      </c>
      <c r="J15" s="411" t="s">
        <v>50</v>
      </c>
    </row>
    <row r="16" spans="1:10" ht="14.4" customHeight="1" x14ac:dyDescent="0.3">
      <c r="A16" s="407" t="s">
        <v>569</v>
      </c>
      <c r="B16" s="408" t="s">
        <v>570</v>
      </c>
      <c r="C16" s="409" t="s">
        <v>565</v>
      </c>
      <c r="D16" s="409" t="s">
        <v>565</v>
      </c>
      <c r="E16" s="409"/>
      <c r="F16" s="409" t="s">
        <v>565</v>
      </c>
      <c r="G16" s="409" t="s">
        <v>565</v>
      </c>
      <c r="H16" s="409" t="s">
        <v>565</v>
      </c>
      <c r="I16" s="410" t="s">
        <v>565</v>
      </c>
      <c r="J16" s="411" t="s">
        <v>0</v>
      </c>
    </row>
    <row r="17" spans="1:10" ht="14.4" customHeight="1" x14ac:dyDescent="0.3">
      <c r="A17" s="407" t="s">
        <v>569</v>
      </c>
      <c r="B17" s="408" t="s">
        <v>589</v>
      </c>
      <c r="C17" s="409">
        <v>1.0116000000000001</v>
      </c>
      <c r="D17" s="409">
        <v>2.5289000000000001</v>
      </c>
      <c r="E17" s="409"/>
      <c r="F17" s="409">
        <v>2.5289000000000001</v>
      </c>
      <c r="G17" s="409">
        <v>4</v>
      </c>
      <c r="H17" s="409">
        <v>-1.4710999999999999</v>
      </c>
      <c r="I17" s="410">
        <v>0.63222500000000004</v>
      </c>
      <c r="J17" s="411" t="s">
        <v>1</v>
      </c>
    </row>
    <row r="18" spans="1:10" ht="14.4" customHeight="1" x14ac:dyDescent="0.3">
      <c r="A18" s="407" t="s">
        <v>569</v>
      </c>
      <c r="B18" s="408" t="s">
        <v>571</v>
      </c>
      <c r="C18" s="409">
        <v>1.0116000000000001</v>
      </c>
      <c r="D18" s="409">
        <v>2.5289000000000001</v>
      </c>
      <c r="E18" s="409"/>
      <c r="F18" s="409">
        <v>2.5289000000000001</v>
      </c>
      <c r="G18" s="409">
        <v>4</v>
      </c>
      <c r="H18" s="409">
        <v>-1.4710999999999999</v>
      </c>
      <c r="I18" s="410">
        <v>0.63222500000000004</v>
      </c>
      <c r="J18" s="411" t="s">
        <v>572</v>
      </c>
    </row>
    <row r="19" spans="1:10" ht="14.4" customHeight="1" x14ac:dyDescent="0.3">
      <c r="A19" s="407" t="s">
        <v>565</v>
      </c>
      <c r="B19" s="408" t="s">
        <v>565</v>
      </c>
      <c r="C19" s="409" t="s">
        <v>565</v>
      </c>
      <c r="D19" s="409" t="s">
        <v>565</v>
      </c>
      <c r="E19" s="409"/>
      <c r="F19" s="409" t="s">
        <v>565</v>
      </c>
      <c r="G19" s="409" t="s">
        <v>565</v>
      </c>
      <c r="H19" s="409" t="s">
        <v>565</v>
      </c>
      <c r="I19" s="410" t="s">
        <v>565</v>
      </c>
      <c r="J19" s="411" t="s">
        <v>573</v>
      </c>
    </row>
    <row r="20" spans="1:10" ht="14.4" customHeight="1" x14ac:dyDescent="0.3">
      <c r="A20" s="407" t="s">
        <v>593</v>
      </c>
      <c r="B20" s="408" t="s">
        <v>594</v>
      </c>
      <c r="C20" s="409" t="s">
        <v>565</v>
      </c>
      <c r="D20" s="409" t="s">
        <v>565</v>
      </c>
      <c r="E20" s="409"/>
      <c r="F20" s="409" t="s">
        <v>565</v>
      </c>
      <c r="G20" s="409" t="s">
        <v>565</v>
      </c>
      <c r="H20" s="409" t="s">
        <v>565</v>
      </c>
      <c r="I20" s="410" t="s">
        <v>565</v>
      </c>
      <c r="J20" s="411" t="s">
        <v>0</v>
      </c>
    </row>
    <row r="21" spans="1:10" ht="14.4" customHeight="1" x14ac:dyDescent="0.3">
      <c r="A21" s="407" t="s">
        <v>593</v>
      </c>
      <c r="B21" s="408" t="s">
        <v>589</v>
      </c>
      <c r="C21" s="409">
        <v>1.0116000000000001</v>
      </c>
      <c r="D21" s="409">
        <v>0</v>
      </c>
      <c r="E21" s="409"/>
      <c r="F21" s="409">
        <v>0</v>
      </c>
      <c r="G21" s="409">
        <v>1</v>
      </c>
      <c r="H21" s="409">
        <v>-1</v>
      </c>
      <c r="I21" s="410">
        <v>0</v>
      </c>
      <c r="J21" s="411" t="s">
        <v>1</v>
      </c>
    </row>
    <row r="22" spans="1:10" ht="14.4" customHeight="1" x14ac:dyDescent="0.3">
      <c r="A22" s="407" t="s">
        <v>593</v>
      </c>
      <c r="B22" s="408" t="s">
        <v>595</v>
      </c>
      <c r="C22" s="409">
        <v>1.0116000000000001</v>
      </c>
      <c r="D22" s="409">
        <v>0</v>
      </c>
      <c r="E22" s="409"/>
      <c r="F22" s="409">
        <v>0</v>
      </c>
      <c r="G22" s="409">
        <v>1</v>
      </c>
      <c r="H22" s="409">
        <v>-1</v>
      </c>
      <c r="I22" s="410">
        <v>0</v>
      </c>
      <c r="J22" s="411" t="s">
        <v>572</v>
      </c>
    </row>
    <row r="23" spans="1:10" ht="14.4" customHeight="1" x14ac:dyDescent="0.3">
      <c r="A23" s="407" t="s">
        <v>565</v>
      </c>
      <c r="B23" s="408" t="s">
        <v>565</v>
      </c>
      <c r="C23" s="409" t="s">
        <v>565</v>
      </c>
      <c r="D23" s="409" t="s">
        <v>565</v>
      </c>
      <c r="E23" s="409"/>
      <c r="F23" s="409" t="s">
        <v>565</v>
      </c>
      <c r="G23" s="409" t="s">
        <v>565</v>
      </c>
      <c r="H23" s="409" t="s">
        <v>565</v>
      </c>
      <c r="I23" s="410" t="s">
        <v>565</v>
      </c>
      <c r="J23" s="411" t="s">
        <v>573</v>
      </c>
    </row>
    <row r="24" spans="1:10" ht="14.4" customHeight="1" x14ac:dyDescent="0.3">
      <c r="A24" s="407" t="s">
        <v>574</v>
      </c>
      <c r="B24" s="408" t="s">
        <v>575</v>
      </c>
      <c r="C24" s="409" t="s">
        <v>565</v>
      </c>
      <c r="D24" s="409" t="s">
        <v>565</v>
      </c>
      <c r="E24" s="409"/>
      <c r="F24" s="409" t="s">
        <v>565</v>
      </c>
      <c r="G24" s="409" t="s">
        <v>565</v>
      </c>
      <c r="H24" s="409" t="s">
        <v>565</v>
      </c>
      <c r="I24" s="410" t="s">
        <v>565</v>
      </c>
      <c r="J24" s="411" t="s">
        <v>0</v>
      </c>
    </row>
    <row r="25" spans="1:10" ht="14.4" customHeight="1" x14ac:dyDescent="0.3">
      <c r="A25" s="407" t="s">
        <v>574</v>
      </c>
      <c r="B25" s="408" t="s">
        <v>588</v>
      </c>
      <c r="C25" s="409">
        <v>0.19409000000000001</v>
      </c>
      <c r="D25" s="409">
        <v>0</v>
      </c>
      <c r="E25" s="409"/>
      <c r="F25" s="409">
        <v>2.3600000000000003E-2</v>
      </c>
      <c r="G25" s="409">
        <v>0</v>
      </c>
      <c r="H25" s="409">
        <v>2.3600000000000003E-2</v>
      </c>
      <c r="I25" s="410" t="s">
        <v>565</v>
      </c>
      <c r="J25" s="411" t="s">
        <v>1</v>
      </c>
    </row>
    <row r="26" spans="1:10" ht="14.4" customHeight="1" x14ac:dyDescent="0.3">
      <c r="A26" s="407" t="s">
        <v>574</v>
      </c>
      <c r="B26" s="408" t="s">
        <v>589</v>
      </c>
      <c r="C26" s="409">
        <v>0.39688000000000001</v>
      </c>
      <c r="D26" s="409">
        <v>0</v>
      </c>
      <c r="E26" s="409"/>
      <c r="F26" s="409">
        <v>0</v>
      </c>
      <c r="G26" s="409">
        <v>0</v>
      </c>
      <c r="H26" s="409">
        <v>0</v>
      </c>
      <c r="I26" s="410" t="s">
        <v>565</v>
      </c>
      <c r="J26" s="411" t="s">
        <v>1</v>
      </c>
    </row>
    <row r="27" spans="1:10" ht="14.4" customHeight="1" x14ac:dyDescent="0.3">
      <c r="A27" s="407" t="s">
        <v>574</v>
      </c>
      <c r="B27" s="408" t="s">
        <v>592</v>
      </c>
      <c r="C27" s="409">
        <v>0</v>
      </c>
      <c r="D27" s="409">
        <v>0</v>
      </c>
      <c r="E27" s="409"/>
      <c r="F27" s="409">
        <v>0</v>
      </c>
      <c r="G27" s="409">
        <v>0</v>
      </c>
      <c r="H27" s="409">
        <v>0</v>
      </c>
      <c r="I27" s="410" t="s">
        <v>565</v>
      </c>
      <c r="J27" s="411" t="s">
        <v>1</v>
      </c>
    </row>
    <row r="28" spans="1:10" ht="14.4" customHeight="1" x14ac:dyDescent="0.3">
      <c r="A28" s="407" t="s">
        <v>574</v>
      </c>
      <c r="B28" s="408" t="s">
        <v>576</v>
      </c>
      <c r="C28" s="409">
        <v>0.59097</v>
      </c>
      <c r="D28" s="409">
        <v>0</v>
      </c>
      <c r="E28" s="409"/>
      <c r="F28" s="409">
        <v>2.3600000000000003E-2</v>
      </c>
      <c r="G28" s="409">
        <v>0</v>
      </c>
      <c r="H28" s="409">
        <v>2.3600000000000003E-2</v>
      </c>
      <c r="I28" s="410" t="s">
        <v>565</v>
      </c>
      <c r="J28" s="411" t="s">
        <v>572</v>
      </c>
    </row>
    <row r="29" spans="1:10" ht="14.4" customHeight="1" x14ac:dyDescent="0.3">
      <c r="A29" s="407" t="s">
        <v>565</v>
      </c>
      <c r="B29" s="408" t="s">
        <v>565</v>
      </c>
      <c r="C29" s="409" t="s">
        <v>565</v>
      </c>
      <c r="D29" s="409" t="s">
        <v>565</v>
      </c>
      <c r="E29" s="409"/>
      <c r="F29" s="409" t="s">
        <v>565</v>
      </c>
      <c r="G29" s="409" t="s">
        <v>565</v>
      </c>
      <c r="H29" s="409" t="s">
        <v>565</v>
      </c>
      <c r="I29" s="410" t="s">
        <v>565</v>
      </c>
      <c r="J29" s="411" t="s">
        <v>573</v>
      </c>
    </row>
    <row r="30" spans="1:10" ht="14.4" customHeight="1" x14ac:dyDescent="0.3">
      <c r="A30" s="407" t="s">
        <v>577</v>
      </c>
      <c r="B30" s="408" t="s">
        <v>578</v>
      </c>
      <c r="C30" s="409" t="s">
        <v>565</v>
      </c>
      <c r="D30" s="409" t="s">
        <v>565</v>
      </c>
      <c r="E30" s="409"/>
      <c r="F30" s="409" t="s">
        <v>565</v>
      </c>
      <c r="G30" s="409" t="s">
        <v>565</v>
      </c>
      <c r="H30" s="409" t="s">
        <v>565</v>
      </c>
      <c r="I30" s="410" t="s">
        <v>565</v>
      </c>
      <c r="J30" s="411" t="s">
        <v>0</v>
      </c>
    </row>
    <row r="31" spans="1:10" ht="14.4" customHeight="1" x14ac:dyDescent="0.3">
      <c r="A31" s="407" t="s">
        <v>577</v>
      </c>
      <c r="B31" s="408" t="s">
        <v>586</v>
      </c>
      <c r="C31" s="409">
        <v>0</v>
      </c>
      <c r="D31" s="409">
        <v>0</v>
      </c>
      <c r="E31" s="409"/>
      <c r="F31" s="409">
        <v>0</v>
      </c>
      <c r="G31" s="409">
        <v>0</v>
      </c>
      <c r="H31" s="409">
        <v>0</v>
      </c>
      <c r="I31" s="410" t="s">
        <v>565</v>
      </c>
      <c r="J31" s="411" t="s">
        <v>1</v>
      </c>
    </row>
    <row r="32" spans="1:10" ht="14.4" customHeight="1" x14ac:dyDescent="0.3">
      <c r="A32" s="407" t="s">
        <v>577</v>
      </c>
      <c r="B32" s="408" t="s">
        <v>588</v>
      </c>
      <c r="C32" s="409">
        <v>8.9900500000000019</v>
      </c>
      <c r="D32" s="409">
        <v>8.1745000000000001</v>
      </c>
      <c r="E32" s="409"/>
      <c r="F32" s="409">
        <v>9.9331599999999991</v>
      </c>
      <c r="G32" s="409">
        <v>10</v>
      </c>
      <c r="H32" s="409">
        <v>-6.6840000000000899E-2</v>
      </c>
      <c r="I32" s="410">
        <v>0.99331599999999987</v>
      </c>
      <c r="J32" s="411" t="s">
        <v>1</v>
      </c>
    </row>
    <row r="33" spans="1:10" ht="14.4" customHeight="1" x14ac:dyDescent="0.3">
      <c r="A33" s="407" t="s">
        <v>577</v>
      </c>
      <c r="B33" s="408" t="s">
        <v>589</v>
      </c>
      <c r="C33" s="409">
        <v>327.71212000000003</v>
      </c>
      <c r="D33" s="409">
        <v>365.13900999999981</v>
      </c>
      <c r="E33" s="409"/>
      <c r="F33" s="409">
        <v>506.35967999999997</v>
      </c>
      <c r="G33" s="409">
        <v>337</v>
      </c>
      <c r="H33" s="409">
        <v>169.35967999999997</v>
      </c>
      <c r="I33" s="410">
        <v>1.5025509792284866</v>
      </c>
      <c r="J33" s="411" t="s">
        <v>1</v>
      </c>
    </row>
    <row r="34" spans="1:10" ht="14.4" customHeight="1" x14ac:dyDescent="0.3">
      <c r="A34" s="407" t="s">
        <v>577</v>
      </c>
      <c r="B34" s="408" t="s">
        <v>590</v>
      </c>
      <c r="C34" s="409">
        <v>395.41006000000004</v>
      </c>
      <c r="D34" s="409">
        <v>305.62464000000011</v>
      </c>
      <c r="E34" s="409"/>
      <c r="F34" s="409">
        <v>368.24113999999997</v>
      </c>
      <c r="G34" s="409">
        <v>248</v>
      </c>
      <c r="H34" s="409">
        <v>120.24113999999997</v>
      </c>
      <c r="I34" s="410">
        <v>1.4848433064516129</v>
      </c>
      <c r="J34" s="411" t="s">
        <v>1</v>
      </c>
    </row>
    <row r="35" spans="1:10" ht="14.4" customHeight="1" x14ac:dyDescent="0.3">
      <c r="A35" s="407" t="s">
        <v>577</v>
      </c>
      <c r="B35" s="408" t="s">
        <v>591</v>
      </c>
      <c r="C35" s="409">
        <v>21.549250000000001</v>
      </c>
      <c r="D35" s="409">
        <v>22.26</v>
      </c>
      <c r="E35" s="409"/>
      <c r="F35" s="409">
        <v>33.303050000000006</v>
      </c>
      <c r="G35" s="409">
        <v>27</v>
      </c>
      <c r="H35" s="409">
        <v>6.303050000000006</v>
      </c>
      <c r="I35" s="410">
        <v>1.2334462962962964</v>
      </c>
      <c r="J35" s="411" t="s">
        <v>1</v>
      </c>
    </row>
    <row r="36" spans="1:10" ht="14.4" customHeight="1" x14ac:dyDescent="0.3">
      <c r="A36" s="407" t="s">
        <v>577</v>
      </c>
      <c r="B36" s="408" t="s">
        <v>592</v>
      </c>
      <c r="C36" s="409">
        <v>88.127230000000012</v>
      </c>
      <c r="D36" s="409">
        <v>73.555320000000009</v>
      </c>
      <c r="E36" s="409"/>
      <c r="F36" s="409">
        <v>83.422699999999992</v>
      </c>
      <c r="G36" s="409">
        <v>84</v>
      </c>
      <c r="H36" s="409">
        <v>-0.57730000000000814</v>
      </c>
      <c r="I36" s="410">
        <v>0.99312738095238084</v>
      </c>
      <c r="J36" s="411" t="s">
        <v>1</v>
      </c>
    </row>
    <row r="37" spans="1:10" ht="14.4" customHeight="1" x14ac:dyDescent="0.3">
      <c r="A37" s="407" t="s">
        <v>577</v>
      </c>
      <c r="B37" s="408" t="s">
        <v>579</v>
      </c>
      <c r="C37" s="409">
        <v>841.78871000000015</v>
      </c>
      <c r="D37" s="409">
        <v>774.75346999999999</v>
      </c>
      <c r="E37" s="409"/>
      <c r="F37" s="409">
        <v>1001.2597299999999</v>
      </c>
      <c r="G37" s="409">
        <v>705</v>
      </c>
      <c r="H37" s="409">
        <v>296.25972999999988</v>
      </c>
      <c r="I37" s="410">
        <v>1.4202265673758863</v>
      </c>
      <c r="J37" s="411" t="s">
        <v>572</v>
      </c>
    </row>
    <row r="38" spans="1:10" ht="14.4" customHeight="1" x14ac:dyDescent="0.3">
      <c r="A38" s="407" t="s">
        <v>565</v>
      </c>
      <c r="B38" s="408" t="s">
        <v>565</v>
      </c>
      <c r="C38" s="409" t="s">
        <v>565</v>
      </c>
      <c r="D38" s="409" t="s">
        <v>565</v>
      </c>
      <c r="E38" s="409"/>
      <c r="F38" s="409" t="s">
        <v>565</v>
      </c>
      <c r="G38" s="409" t="s">
        <v>565</v>
      </c>
      <c r="H38" s="409" t="s">
        <v>565</v>
      </c>
      <c r="I38" s="410" t="s">
        <v>565</v>
      </c>
      <c r="J38" s="411" t="s">
        <v>573</v>
      </c>
    </row>
    <row r="39" spans="1:10" ht="14.4" customHeight="1" x14ac:dyDescent="0.3">
      <c r="A39" s="407" t="s">
        <v>580</v>
      </c>
      <c r="B39" s="408" t="s">
        <v>581</v>
      </c>
      <c r="C39" s="409" t="s">
        <v>565</v>
      </c>
      <c r="D39" s="409" t="s">
        <v>565</v>
      </c>
      <c r="E39" s="409"/>
      <c r="F39" s="409" t="s">
        <v>565</v>
      </c>
      <c r="G39" s="409" t="s">
        <v>565</v>
      </c>
      <c r="H39" s="409" t="s">
        <v>565</v>
      </c>
      <c r="I39" s="410" t="s">
        <v>565</v>
      </c>
      <c r="J39" s="411" t="s">
        <v>0</v>
      </c>
    </row>
    <row r="40" spans="1:10" ht="14.4" customHeight="1" x14ac:dyDescent="0.3">
      <c r="A40" s="407" t="s">
        <v>580</v>
      </c>
      <c r="B40" s="408" t="s">
        <v>586</v>
      </c>
      <c r="C40" s="409">
        <v>0</v>
      </c>
      <c r="D40" s="409">
        <v>0</v>
      </c>
      <c r="E40" s="409"/>
      <c r="F40" s="409">
        <v>0</v>
      </c>
      <c r="G40" s="409">
        <v>0</v>
      </c>
      <c r="H40" s="409">
        <v>0</v>
      </c>
      <c r="I40" s="410" t="s">
        <v>565</v>
      </c>
      <c r="J40" s="411" t="s">
        <v>1</v>
      </c>
    </row>
    <row r="41" spans="1:10" ht="14.4" customHeight="1" x14ac:dyDescent="0.3">
      <c r="A41" s="407" t="s">
        <v>580</v>
      </c>
      <c r="B41" s="408" t="s">
        <v>587</v>
      </c>
      <c r="C41" s="409">
        <v>0.53603000000000001</v>
      </c>
      <c r="D41" s="409">
        <v>4.2575599999999998</v>
      </c>
      <c r="E41" s="409"/>
      <c r="F41" s="409">
        <v>1.87429</v>
      </c>
      <c r="G41" s="409">
        <v>2</v>
      </c>
      <c r="H41" s="409">
        <v>-0.12570999999999999</v>
      </c>
      <c r="I41" s="410">
        <v>0.93714500000000001</v>
      </c>
      <c r="J41" s="411" t="s">
        <v>1</v>
      </c>
    </row>
    <row r="42" spans="1:10" ht="14.4" customHeight="1" x14ac:dyDescent="0.3">
      <c r="A42" s="407" t="s">
        <v>580</v>
      </c>
      <c r="B42" s="408" t="s">
        <v>588</v>
      </c>
      <c r="C42" s="409">
        <v>2.4060000000000001</v>
      </c>
      <c r="D42" s="409">
        <v>0</v>
      </c>
      <c r="E42" s="409"/>
      <c r="F42" s="409">
        <v>0</v>
      </c>
      <c r="G42" s="409">
        <v>0</v>
      </c>
      <c r="H42" s="409">
        <v>0</v>
      </c>
      <c r="I42" s="410" t="s">
        <v>565</v>
      </c>
      <c r="J42" s="411" t="s">
        <v>1</v>
      </c>
    </row>
    <row r="43" spans="1:10" ht="14.4" customHeight="1" x14ac:dyDescent="0.3">
      <c r="A43" s="407" t="s">
        <v>580</v>
      </c>
      <c r="B43" s="408" t="s">
        <v>589</v>
      </c>
      <c r="C43" s="409">
        <v>104.35436</v>
      </c>
      <c r="D43" s="409">
        <v>165.30351999999999</v>
      </c>
      <c r="E43" s="409"/>
      <c r="F43" s="409">
        <v>185.46356000000003</v>
      </c>
      <c r="G43" s="409">
        <v>148</v>
      </c>
      <c r="H43" s="409">
        <v>37.46356000000003</v>
      </c>
      <c r="I43" s="410">
        <v>1.2531321621621623</v>
      </c>
      <c r="J43" s="411" t="s">
        <v>1</v>
      </c>
    </row>
    <row r="44" spans="1:10" ht="14.4" customHeight="1" x14ac:dyDescent="0.3">
      <c r="A44" s="407" t="s">
        <v>580</v>
      </c>
      <c r="B44" s="408" t="s">
        <v>590</v>
      </c>
      <c r="C44" s="409">
        <v>6.9299099999999996</v>
      </c>
      <c r="D44" s="409">
        <v>0</v>
      </c>
      <c r="E44" s="409"/>
      <c r="F44" s="409">
        <v>0</v>
      </c>
      <c r="G44" s="409">
        <v>3</v>
      </c>
      <c r="H44" s="409">
        <v>-3</v>
      </c>
      <c r="I44" s="410">
        <v>0</v>
      </c>
      <c r="J44" s="411" t="s">
        <v>1</v>
      </c>
    </row>
    <row r="45" spans="1:10" ht="14.4" customHeight="1" x14ac:dyDescent="0.3">
      <c r="A45" s="407" t="s">
        <v>580</v>
      </c>
      <c r="B45" s="408" t="s">
        <v>591</v>
      </c>
      <c r="C45" s="409">
        <v>1.1000000000000001</v>
      </c>
      <c r="D45" s="409">
        <v>1.1000000000000001</v>
      </c>
      <c r="E45" s="409"/>
      <c r="F45" s="409">
        <v>0.54</v>
      </c>
      <c r="G45" s="409">
        <v>0</v>
      </c>
      <c r="H45" s="409">
        <v>0.54</v>
      </c>
      <c r="I45" s="410" t="s">
        <v>565</v>
      </c>
      <c r="J45" s="411" t="s">
        <v>1</v>
      </c>
    </row>
    <row r="46" spans="1:10" ht="14.4" customHeight="1" x14ac:dyDescent="0.3">
      <c r="A46" s="407" t="s">
        <v>580</v>
      </c>
      <c r="B46" s="408" t="s">
        <v>592</v>
      </c>
      <c r="C46" s="409">
        <v>22.764500000000002</v>
      </c>
      <c r="D46" s="409">
        <v>21.543299999999999</v>
      </c>
      <c r="E46" s="409"/>
      <c r="F46" s="409">
        <v>29.887</v>
      </c>
      <c r="G46" s="409">
        <v>24</v>
      </c>
      <c r="H46" s="409">
        <v>5.8870000000000005</v>
      </c>
      <c r="I46" s="410">
        <v>1.2452916666666667</v>
      </c>
      <c r="J46" s="411" t="s">
        <v>1</v>
      </c>
    </row>
    <row r="47" spans="1:10" ht="14.4" customHeight="1" x14ac:dyDescent="0.3">
      <c r="A47" s="407" t="s">
        <v>580</v>
      </c>
      <c r="B47" s="408" t="s">
        <v>582</v>
      </c>
      <c r="C47" s="409">
        <v>138.0908</v>
      </c>
      <c r="D47" s="409">
        <v>192.20437999999999</v>
      </c>
      <c r="E47" s="409"/>
      <c r="F47" s="409">
        <v>217.76485000000002</v>
      </c>
      <c r="G47" s="409">
        <v>178</v>
      </c>
      <c r="H47" s="409">
        <v>39.764850000000024</v>
      </c>
      <c r="I47" s="410">
        <v>1.2233980337078654</v>
      </c>
      <c r="J47" s="411" t="s">
        <v>572</v>
      </c>
    </row>
    <row r="48" spans="1:10" ht="14.4" customHeight="1" x14ac:dyDescent="0.3">
      <c r="A48" s="407" t="s">
        <v>565</v>
      </c>
      <c r="B48" s="408" t="s">
        <v>565</v>
      </c>
      <c r="C48" s="409" t="s">
        <v>565</v>
      </c>
      <c r="D48" s="409" t="s">
        <v>565</v>
      </c>
      <c r="E48" s="409"/>
      <c r="F48" s="409" t="s">
        <v>565</v>
      </c>
      <c r="G48" s="409" t="s">
        <v>565</v>
      </c>
      <c r="H48" s="409" t="s">
        <v>565</v>
      </c>
      <c r="I48" s="410" t="s">
        <v>565</v>
      </c>
      <c r="J48" s="411" t="s">
        <v>573</v>
      </c>
    </row>
    <row r="49" spans="1:10" ht="14.4" customHeight="1" x14ac:dyDescent="0.3">
      <c r="A49" s="407" t="s">
        <v>583</v>
      </c>
      <c r="B49" s="408" t="s">
        <v>584</v>
      </c>
      <c r="C49" s="409" t="s">
        <v>565</v>
      </c>
      <c r="D49" s="409" t="s">
        <v>565</v>
      </c>
      <c r="E49" s="409"/>
      <c r="F49" s="409" t="s">
        <v>565</v>
      </c>
      <c r="G49" s="409" t="s">
        <v>565</v>
      </c>
      <c r="H49" s="409" t="s">
        <v>565</v>
      </c>
      <c r="I49" s="410" t="s">
        <v>565</v>
      </c>
      <c r="J49" s="411" t="s">
        <v>0</v>
      </c>
    </row>
    <row r="50" spans="1:10" ht="14.4" customHeight="1" x14ac:dyDescent="0.3">
      <c r="A50" s="407" t="s">
        <v>583</v>
      </c>
      <c r="B50" s="408" t="s">
        <v>586</v>
      </c>
      <c r="C50" s="409">
        <v>11.867189999999999</v>
      </c>
      <c r="D50" s="409">
        <v>14.652230000000001</v>
      </c>
      <c r="E50" s="409"/>
      <c r="F50" s="409">
        <v>4.8373999999999997</v>
      </c>
      <c r="G50" s="409">
        <v>5</v>
      </c>
      <c r="H50" s="409">
        <v>-0.1626000000000003</v>
      </c>
      <c r="I50" s="410">
        <v>0.9674799999999999</v>
      </c>
      <c r="J50" s="411" t="s">
        <v>1</v>
      </c>
    </row>
    <row r="51" spans="1:10" ht="14.4" customHeight="1" x14ac:dyDescent="0.3">
      <c r="A51" s="407" t="s">
        <v>583</v>
      </c>
      <c r="B51" s="408" t="s">
        <v>587</v>
      </c>
      <c r="C51" s="409">
        <v>0</v>
      </c>
      <c r="D51" s="409">
        <v>1.7091500000000002</v>
      </c>
      <c r="E51" s="409"/>
      <c r="F51" s="409">
        <v>0</v>
      </c>
      <c r="G51" s="409">
        <v>2</v>
      </c>
      <c r="H51" s="409">
        <v>-2</v>
      </c>
      <c r="I51" s="410">
        <v>0</v>
      </c>
      <c r="J51" s="411" t="s">
        <v>1</v>
      </c>
    </row>
    <row r="52" spans="1:10" ht="14.4" customHeight="1" x14ac:dyDescent="0.3">
      <c r="A52" s="407" t="s">
        <v>583</v>
      </c>
      <c r="B52" s="408" t="s">
        <v>588</v>
      </c>
      <c r="C52" s="409">
        <v>0</v>
      </c>
      <c r="D52" s="409">
        <v>0</v>
      </c>
      <c r="E52" s="409"/>
      <c r="F52" s="409">
        <v>0</v>
      </c>
      <c r="G52" s="409">
        <v>0</v>
      </c>
      <c r="H52" s="409">
        <v>0</v>
      </c>
      <c r="I52" s="410" t="s">
        <v>565</v>
      </c>
      <c r="J52" s="411" t="s">
        <v>1</v>
      </c>
    </row>
    <row r="53" spans="1:10" ht="14.4" customHeight="1" x14ac:dyDescent="0.3">
      <c r="A53" s="407" t="s">
        <v>583</v>
      </c>
      <c r="B53" s="408" t="s">
        <v>589</v>
      </c>
      <c r="C53" s="409">
        <v>0.11126999999999999</v>
      </c>
      <c r="D53" s="409">
        <v>1.67537</v>
      </c>
      <c r="E53" s="409"/>
      <c r="F53" s="409">
        <v>0.31762999999999997</v>
      </c>
      <c r="G53" s="409">
        <v>1</v>
      </c>
      <c r="H53" s="409">
        <v>-0.68237000000000003</v>
      </c>
      <c r="I53" s="410">
        <v>0.31762999999999997</v>
      </c>
      <c r="J53" s="411" t="s">
        <v>1</v>
      </c>
    </row>
    <row r="54" spans="1:10" ht="14.4" customHeight="1" x14ac:dyDescent="0.3">
      <c r="A54" s="407" t="s">
        <v>583</v>
      </c>
      <c r="B54" s="408" t="s">
        <v>592</v>
      </c>
      <c r="C54" s="409">
        <v>0.41399999999999998</v>
      </c>
      <c r="D54" s="409">
        <v>0</v>
      </c>
      <c r="E54" s="409"/>
      <c r="F54" s="409">
        <v>0</v>
      </c>
      <c r="G54" s="409">
        <v>0</v>
      </c>
      <c r="H54" s="409">
        <v>0</v>
      </c>
      <c r="I54" s="410" t="s">
        <v>565</v>
      </c>
      <c r="J54" s="411" t="s">
        <v>1</v>
      </c>
    </row>
    <row r="55" spans="1:10" ht="14.4" customHeight="1" x14ac:dyDescent="0.3">
      <c r="A55" s="407" t="s">
        <v>583</v>
      </c>
      <c r="B55" s="408" t="s">
        <v>585</v>
      </c>
      <c r="C55" s="409">
        <v>12.392459999999998</v>
      </c>
      <c r="D55" s="409">
        <v>18.036750000000001</v>
      </c>
      <c r="E55" s="409"/>
      <c r="F55" s="409">
        <v>5.15503</v>
      </c>
      <c r="G55" s="409">
        <v>7</v>
      </c>
      <c r="H55" s="409">
        <v>-1.84497</v>
      </c>
      <c r="I55" s="410">
        <v>0.73643285714285711</v>
      </c>
      <c r="J55" s="411" t="s">
        <v>572</v>
      </c>
    </row>
    <row r="56" spans="1:10" ht="14.4" customHeight="1" x14ac:dyDescent="0.3">
      <c r="A56" s="407" t="s">
        <v>565</v>
      </c>
      <c r="B56" s="408" t="s">
        <v>565</v>
      </c>
      <c r="C56" s="409" t="s">
        <v>565</v>
      </c>
      <c r="D56" s="409" t="s">
        <v>565</v>
      </c>
      <c r="E56" s="409"/>
      <c r="F56" s="409" t="s">
        <v>565</v>
      </c>
      <c r="G56" s="409" t="s">
        <v>565</v>
      </c>
      <c r="H56" s="409" t="s">
        <v>565</v>
      </c>
      <c r="I56" s="410" t="s">
        <v>565</v>
      </c>
      <c r="J56" s="411" t="s">
        <v>573</v>
      </c>
    </row>
    <row r="57" spans="1:10" ht="14.4" customHeight="1" x14ac:dyDescent="0.3">
      <c r="A57" s="407" t="s">
        <v>596</v>
      </c>
      <c r="B57" s="408" t="s">
        <v>597</v>
      </c>
      <c r="C57" s="409" t="s">
        <v>565</v>
      </c>
      <c r="D57" s="409" t="s">
        <v>565</v>
      </c>
      <c r="E57" s="409"/>
      <c r="F57" s="409" t="s">
        <v>565</v>
      </c>
      <c r="G57" s="409" t="s">
        <v>565</v>
      </c>
      <c r="H57" s="409" t="s">
        <v>565</v>
      </c>
      <c r="I57" s="410" t="s">
        <v>565</v>
      </c>
      <c r="J57" s="411" t="s">
        <v>0</v>
      </c>
    </row>
    <row r="58" spans="1:10" ht="14.4" customHeight="1" x14ac:dyDescent="0.3">
      <c r="A58" s="407" t="s">
        <v>596</v>
      </c>
      <c r="B58" s="408" t="s">
        <v>586</v>
      </c>
      <c r="C58" s="409">
        <v>0</v>
      </c>
      <c r="D58" s="409">
        <v>0</v>
      </c>
      <c r="E58" s="409"/>
      <c r="F58" s="409">
        <v>0</v>
      </c>
      <c r="G58" s="409">
        <v>6</v>
      </c>
      <c r="H58" s="409">
        <v>-6</v>
      </c>
      <c r="I58" s="410">
        <v>0</v>
      </c>
      <c r="J58" s="411" t="s">
        <v>1</v>
      </c>
    </row>
    <row r="59" spans="1:10" ht="14.4" customHeight="1" x14ac:dyDescent="0.3">
      <c r="A59" s="407" t="s">
        <v>596</v>
      </c>
      <c r="B59" s="408" t="s">
        <v>587</v>
      </c>
      <c r="C59" s="409">
        <v>0</v>
      </c>
      <c r="D59" s="409">
        <v>0</v>
      </c>
      <c r="E59" s="409"/>
      <c r="F59" s="409">
        <v>0.29402999999999996</v>
      </c>
      <c r="G59" s="409">
        <v>0</v>
      </c>
      <c r="H59" s="409">
        <v>0.29402999999999996</v>
      </c>
      <c r="I59" s="410" t="s">
        <v>565</v>
      </c>
      <c r="J59" s="411" t="s">
        <v>1</v>
      </c>
    </row>
    <row r="60" spans="1:10" ht="14.4" customHeight="1" x14ac:dyDescent="0.3">
      <c r="A60" s="407" t="s">
        <v>596</v>
      </c>
      <c r="B60" s="408" t="s">
        <v>589</v>
      </c>
      <c r="C60" s="409">
        <v>0</v>
      </c>
      <c r="D60" s="409">
        <v>0</v>
      </c>
      <c r="E60" s="409"/>
      <c r="F60" s="409">
        <v>0</v>
      </c>
      <c r="G60" s="409">
        <v>1</v>
      </c>
      <c r="H60" s="409">
        <v>-1</v>
      </c>
      <c r="I60" s="410">
        <v>0</v>
      </c>
      <c r="J60" s="411" t="s">
        <v>1</v>
      </c>
    </row>
    <row r="61" spans="1:10" ht="14.4" customHeight="1" x14ac:dyDescent="0.3">
      <c r="A61" s="407" t="s">
        <v>596</v>
      </c>
      <c r="B61" s="408" t="s">
        <v>598</v>
      </c>
      <c r="C61" s="409">
        <v>0</v>
      </c>
      <c r="D61" s="409">
        <v>0</v>
      </c>
      <c r="E61" s="409"/>
      <c r="F61" s="409">
        <v>0.29402999999999996</v>
      </c>
      <c r="G61" s="409">
        <v>7</v>
      </c>
      <c r="H61" s="409">
        <v>-6.7059699999999998</v>
      </c>
      <c r="I61" s="410">
        <v>4.2004285714285709E-2</v>
      </c>
      <c r="J61" s="411" t="s">
        <v>572</v>
      </c>
    </row>
    <row r="62" spans="1:10" ht="14.4" customHeight="1" x14ac:dyDescent="0.3">
      <c r="A62" s="407" t="s">
        <v>565</v>
      </c>
      <c r="B62" s="408" t="s">
        <v>565</v>
      </c>
      <c r="C62" s="409" t="s">
        <v>565</v>
      </c>
      <c r="D62" s="409" t="s">
        <v>565</v>
      </c>
      <c r="E62" s="409"/>
      <c r="F62" s="409" t="s">
        <v>565</v>
      </c>
      <c r="G62" s="409" t="s">
        <v>565</v>
      </c>
      <c r="H62" s="409" t="s">
        <v>565</v>
      </c>
      <c r="I62" s="410" t="s">
        <v>565</v>
      </c>
      <c r="J62" s="411" t="s">
        <v>573</v>
      </c>
    </row>
    <row r="63" spans="1:10" ht="14.4" customHeight="1" x14ac:dyDescent="0.3">
      <c r="A63" s="407" t="s">
        <v>563</v>
      </c>
      <c r="B63" s="408" t="s">
        <v>567</v>
      </c>
      <c r="C63" s="409">
        <v>994.88614000000007</v>
      </c>
      <c r="D63" s="409">
        <v>987.52350000000024</v>
      </c>
      <c r="E63" s="409"/>
      <c r="F63" s="409">
        <v>1227.0261399999997</v>
      </c>
      <c r="G63" s="409">
        <v>902</v>
      </c>
      <c r="H63" s="409">
        <v>325.02613999999971</v>
      </c>
      <c r="I63" s="410">
        <v>1.3603394013303767</v>
      </c>
      <c r="J63" s="411" t="s">
        <v>568</v>
      </c>
    </row>
  </sheetData>
  <mergeCells count="3">
    <mergeCell ref="A1:I1"/>
    <mergeCell ref="F3:I3"/>
    <mergeCell ref="C4:D4"/>
  </mergeCells>
  <conditionalFormatting sqref="F14 F64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63">
    <cfRule type="expression" dxfId="11" priority="6">
      <formula>$H15&gt;0</formula>
    </cfRule>
  </conditionalFormatting>
  <conditionalFormatting sqref="A15:A63">
    <cfRule type="expression" dxfId="10" priority="5">
      <formula>AND($J15&lt;&gt;"mezeraKL",$J15&lt;&gt;"")</formula>
    </cfRule>
  </conditionalFormatting>
  <conditionalFormatting sqref="I15:I63">
    <cfRule type="expression" dxfId="9" priority="7">
      <formula>$I15&gt;1</formula>
    </cfRule>
  </conditionalFormatting>
  <conditionalFormatting sqref="B15:B63">
    <cfRule type="expression" dxfId="8" priority="4">
      <formula>OR($J15="NS",$J15="SumaNS",$J15="Účet")</formula>
    </cfRule>
  </conditionalFormatting>
  <conditionalFormatting sqref="A15:D63 F15:I63">
    <cfRule type="expression" dxfId="7" priority="8">
      <formula>AND($J15&lt;&gt;"",$J15&lt;&gt;"mezeraKL")</formula>
    </cfRule>
  </conditionalFormatting>
  <conditionalFormatting sqref="B15:D63 F15:I63">
    <cfRule type="expression" dxfId="6" priority="1">
      <formula>OR($J15="KL",$J15="SumaKL")</formula>
    </cfRule>
    <cfRule type="expression" priority="3" stopIfTrue="1">
      <formula>OR($J15="mezeraNS",$J15="mezeraKL")</formula>
    </cfRule>
  </conditionalFormatting>
  <conditionalFormatting sqref="B15:D63 F15:I63">
    <cfRule type="expression" dxfId="5" priority="2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8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4" hidden="1" customWidth="1" outlineLevel="1"/>
    <col min="2" max="2" width="28.33203125" style="104" hidden="1" customWidth="1" outlineLevel="1"/>
    <col min="3" max="3" width="5.33203125" style="182" bestFit="1" customWidth="1" collapsed="1"/>
    <col min="4" max="4" width="18.77734375" style="186" customWidth="1"/>
    <col min="5" max="5" width="9" style="182" bestFit="1" customWidth="1"/>
    <col min="6" max="6" width="18.77734375" style="186" customWidth="1"/>
    <col min="7" max="7" width="12.44140625" style="182" hidden="1" customWidth="1" outlineLevel="1"/>
    <col min="8" max="8" width="25.77734375" style="182" customWidth="1" collapsed="1"/>
    <col min="9" max="9" width="7.77734375" style="180" customWidth="1"/>
    <col min="10" max="10" width="10" style="180" customWidth="1"/>
    <col min="11" max="11" width="11.109375" style="180" customWidth="1"/>
    <col min="12" max="16384" width="8.88671875" style="104"/>
  </cols>
  <sheetData>
    <row r="1" spans="1:11" ht="18.600000000000001" customHeight="1" thickBot="1" x14ac:dyDescent="0.4">
      <c r="A1" s="318" t="s">
        <v>755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</row>
    <row r="2" spans="1:11" ht="14.4" customHeight="1" thickBot="1" x14ac:dyDescent="0.35">
      <c r="A2" s="199" t="s">
        <v>218</v>
      </c>
      <c r="B2" s="57"/>
      <c r="C2" s="184"/>
      <c r="D2" s="184"/>
      <c r="E2" s="184"/>
      <c r="F2" s="184"/>
      <c r="G2" s="184"/>
      <c r="H2" s="184"/>
      <c r="I2" s="185"/>
      <c r="J2" s="185"/>
      <c r="K2" s="185"/>
    </row>
    <row r="3" spans="1:11" ht="14.4" customHeight="1" thickBot="1" x14ac:dyDescent="0.35">
      <c r="A3" s="57"/>
      <c r="B3" s="57"/>
      <c r="C3" s="316"/>
      <c r="D3" s="317"/>
      <c r="E3" s="317"/>
      <c r="F3" s="317"/>
      <c r="G3" s="317"/>
      <c r="H3" s="116" t="s">
        <v>106</v>
      </c>
      <c r="I3" s="74">
        <f>IF(J3&lt;&gt;0,K3/J3,0)</f>
        <v>17.450715742326452</v>
      </c>
      <c r="J3" s="74">
        <f>SUBTOTAL(9,J5:J1048576)</f>
        <v>101196</v>
      </c>
      <c r="K3" s="75">
        <f>SUBTOTAL(9,K5:K1048576)</f>
        <v>1765942.6302604675</v>
      </c>
    </row>
    <row r="4" spans="1:11" s="181" customFormat="1" ht="14.4" customHeight="1" thickBot="1" x14ac:dyDescent="0.35">
      <c r="A4" s="412" t="s">
        <v>4</v>
      </c>
      <c r="B4" s="413" t="s">
        <v>5</v>
      </c>
      <c r="C4" s="413" t="s">
        <v>0</v>
      </c>
      <c r="D4" s="413" t="s">
        <v>6</v>
      </c>
      <c r="E4" s="413" t="s">
        <v>7</v>
      </c>
      <c r="F4" s="413" t="s">
        <v>1</v>
      </c>
      <c r="G4" s="413" t="s">
        <v>52</v>
      </c>
      <c r="H4" s="414" t="s">
        <v>8</v>
      </c>
      <c r="I4" s="415" t="s">
        <v>113</v>
      </c>
      <c r="J4" s="415" t="s">
        <v>9</v>
      </c>
      <c r="K4" s="416" t="s">
        <v>121</v>
      </c>
    </row>
    <row r="5" spans="1:11" ht="14.4" customHeight="1" x14ac:dyDescent="0.3">
      <c r="A5" s="417" t="s">
        <v>563</v>
      </c>
      <c r="B5" s="418" t="s">
        <v>564</v>
      </c>
      <c r="C5" s="419" t="s">
        <v>569</v>
      </c>
      <c r="D5" s="420" t="s">
        <v>570</v>
      </c>
      <c r="E5" s="419" t="s">
        <v>599</v>
      </c>
      <c r="F5" s="420" t="s">
        <v>600</v>
      </c>
      <c r="G5" s="419" t="s">
        <v>601</v>
      </c>
      <c r="H5" s="419" t="s">
        <v>602</v>
      </c>
      <c r="I5" s="421">
        <v>252.88999938964844</v>
      </c>
      <c r="J5" s="421">
        <v>10</v>
      </c>
      <c r="K5" s="422">
        <v>2528.89990234375</v>
      </c>
    </row>
    <row r="6" spans="1:11" ht="14.4" customHeight="1" x14ac:dyDescent="0.3">
      <c r="A6" s="423" t="s">
        <v>563</v>
      </c>
      <c r="B6" s="424" t="s">
        <v>564</v>
      </c>
      <c r="C6" s="425" t="s">
        <v>574</v>
      </c>
      <c r="D6" s="426" t="s">
        <v>575</v>
      </c>
      <c r="E6" s="425" t="s">
        <v>603</v>
      </c>
      <c r="F6" s="426" t="s">
        <v>604</v>
      </c>
      <c r="G6" s="425" t="s">
        <v>605</v>
      </c>
      <c r="H6" s="425" t="s">
        <v>606</v>
      </c>
      <c r="I6" s="427">
        <v>1.1799999475479126</v>
      </c>
      <c r="J6" s="427">
        <v>20</v>
      </c>
      <c r="K6" s="428">
        <v>23.600000381469727</v>
      </c>
    </row>
    <row r="7" spans="1:11" ht="14.4" customHeight="1" x14ac:dyDescent="0.3">
      <c r="A7" s="423" t="s">
        <v>563</v>
      </c>
      <c r="B7" s="424" t="s">
        <v>564</v>
      </c>
      <c r="C7" s="425" t="s">
        <v>577</v>
      </c>
      <c r="D7" s="426" t="s">
        <v>578</v>
      </c>
      <c r="E7" s="425" t="s">
        <v>603</v>
      </c>
      <c r="F7" s="426" t="s">
        <v>604</v>
      </c>
      <c r="G7" s="425" t="s">
        <v>607</v>
      </c>
      <c r="H7" s="425" t="s">
        <v>608</v>
      </c>
      <c r="I7" s="427">
        <v>0.47999998927116394</v>
      </c>
      <c r="J7" s="427">
        <v>8000</v>
      </c>
      <c r="K7" s="428">
        <v>3871.8299560546875</v>
      </c>
    </row>
    <row r="8" spans="1:11" ht="14.4" customHeight="1" x14ac:dyDescent="0.3">
      <c r="A8" s="423" t="s">
        <v>563</v>
      </c>
      <c r="B8" s="424" t="s">
        <v>564</v>
      </c>
      <c r="C8" s="425" t="s">
        <v>577</v>
      </c>
      <c r="D8" s="426" t="s">
        <v>578</v>
      </c>
      <c r="E8" s="425" t="s">
        <v>603</v>
      </c>
      <c r="F8" s="426" t="s">
        <v>604</v>
      </c>
      <c r="G8" s="425" t="s">
        <v>609</v>
      </c>
      <c r="H8" s="425" t="s">
        <v>610</v>
      </c>
      <c r="I8" s="427">
        <v>13.010000228881836</v>
      </c>
      <c r="J8" s="427">
        <v>1</v>
      </c>
      <c r="K8" s="428">
        <v>13.010000228881836</v>
      </c>
    </row>
    <row r="9" spans="1:11" ht="14.4" customHeight="1" x14ac:dyDescent="0.3">
      <c r="A9" s="423" t="s">
        <v>563</v>
      </c>
      <c r="B9" s="424" t="s">
        <v>564</v>
      </c>
      <c r="C9" s="425" t="s">
        <v>577</v>
      </c>
      <c r="D9" s="426" t="s">
        <v>578</v>
      </c>
      <c r="E9" s="425" t="s">
        <v>603</v>
      </c>
      <c r="F9" s="426" t="s">
        <v>604</v>
      </c>
      <c r="G9" s="425" t="s">
        <v>611</v>
      </c>
      <c r="H9" s="425" t="s">
        <v>612</v>
      </c>
      <c r="I9" s="427">
        <v>15.020000457763672</v>
      </c>
      <c r="J9" s="427">
        <v>1</v>
      </c>
      <c r="K9" s="428">
        <v>15.020000457763672</v>
      </c>
    </row>
    <row r="10" spans="1:11" ht="14.4" customHeight="1" x14ac:dyDescent="0.3">
      <c r="A10" s="423" t="s">
        <v>563</v>
      </c>
      <c r="B10" s="424" t="s">
        <v>564</v>
      </c>
      <c r="C10" s="425" t="s">
        <v>577</v>
      </c>
      <c r="D10" s="426" t="s">
        <v>578</v>
      </c>
      <c r="E10" s="425" t="s">
        <v>603</v>
      </c>
      <c r="F10" s="426" t="s">
        <v>604</v>
      </c>
      <c r="G10" s="425" t="s">
        <v>613</v>
      </c>
      <c r="H10" s="425" t="s">
        <v>614</v>
      </c>
      <c r="I10" s="427">
        <v>0.49800000190734861</v>
      </c>
      <c r="J10" s="427">
        <v>11500</v>
      </c>
      <c r="K10" s="428">
        <v>5740</v>
      </c>
    </row>
    <row r="11" spans="1:11" ht="14.4" customHeight="1" x14ac:dyDescent="0.3">
      <c r="A11" s="423" t="s">
        <v>563</v>
      </c>
      <c r="B11" s="424" t="s">
        <v>564</v>
      </c>
      <c r="C11" s="425" t="s">
        <v>577</v>
      </c>
      <c r="D11" s="426" t="s">
        <v>578</v>
      </c>
      <c r="E11" s="425" t="s">
        <v>603</v>
      </c>
      <c r="F11" s="426" t="s">
        <v>604</v>
      </c>
      <c r="G11" s="425" t="s">
        <v>615</v>
      </c>
      <c r="H11" s="425" t="s">
        <v>616</v>
      </c>
      <c r="I11" s="427">
        <v>29.329999923706055</v>
      </c>
      <c r="J11" s="427">
        <v>10</v>
      </c>
      <c r="K11" s="428">
        <v>293.29998779296875</v>
      </c>
    </row>
    <row r="12" spans="1:11" ht="14.4" customHeight="1" x14ac:dyDescent="0.3">
      <c r="A12" s="423" t="s">
        <v>563</v>
      </c>
      <c r="B12" s="424" t="s">
        <v>564</v>
      </c>
      <c r="C12" s="425" t="s">
        <v>577</v>
      </c>
      <c r="D12" s="426" t="s">
        <v>578</v>
      </c>
      <c r="E12" s="425" t="s">
        <v>599</v>
      </c>
      <c r="F12" s="426" t="s">
        <v>600</v>
      </c>
      <c r="G12" s="425" t="s">
        <v>617</v>
      </c>
      <c r="H12" s="425" t="s">
        <v>618</v>
      </c>
      <c r="I12" s="427">
        <v>54.450000762939453</v>
      </c>
      <c r="J12" s="427">
        <v>600</v>
      </c>
      <c r="K12" s="428">
        <v>32670</v>
      </c>
    </row>
    <row r="13" spans="1:11" ht="14.4" customHeight="1" x14ac:dyDescent="0.3">
      <c r="A13" s="423" t="s">
        <v>563</v>
      </c>
      <c r="B13" s="424" t="s">
        <v>564</v>
      </c>
      <c r="C13" s="425" t="s">
        <v>577</v>
      </c>
      <c r="D13" s="426" t="s">
        <v>578</v>
      </c>
      <c r="E13" s="425" t="s">
        <v>599</v>
      </c>
      <c r="F13" s="426" t="s">
        <v>600</v>
      </c>
      <c r="G13" s="425" t="s">
        <v>619</v>
      </c>
      <c r="H13" s="425" t="s">
        <v>620</v>
      </c>
      <c r="I13" s="427">
        <v>15.920000076293945</v>
      </c>
      <c r="J13" s="427">
        <v>1300</v>
      </c>
      <c r="K13" s="428">
        <v>20696</v>
      </c>
    </row>
    <row r="14" spans="1:11" ht="14.4" customHeight="1" x14ac:dyDescent="0.3">
      <c r="A14" s="423" t="s">
        <v>563</v>
      </c>
      <c r="B14" s="424" t="s">
        <v>564</v>
      </c>
      <c r="C14" s="425" t="s">
        <v>577</v>
      </c>
      <c r="D14" s="426" t="s">
        <v>578</v>
      </c>
      <c r="E14" s="425" t="s">
        <v>599</v>
      </c>
      <c r="F14" s="426" t="s">
        <v>600</v>
      </c>
      <c r="G14" s="425" t="s">
        <v>621</v>
      </c>
      <c r="H14" s="425" t="s">
        <v>622</v>
      </c>
      <c r="I14" s="427">
        <v>124.93000030517578</v>
      </c>
      <c r="J14" s="427">
        <v>1500</v>
      </c>
      <c r="K14" s="428">
        <v>187398.25</v>
      </c>
    </row>
    <row r="15" spans="1:11" ht="14.4" customHeight="1" x14ac:dyDescent="0.3">
      <c r="A15" s="423" t="s">
        <v>563</v>
      </c>
      <c r="B15" s="424" t="s">
        <v>564</v>
      </c>
      <c r="C15" s="425" t="s">
        <v>577</v>
      </c>
      <c r="D15" s="426" t="s">
        <v>578</v>
      </c>
      <c r="E15" s="425" t="s">
        <v>599</v>
      </c>
      <c r="F15" s="426" t="s">
        <v>600</v>
      </c>
      <c r="G15" s="425" t="s">
        <v>623</v>
      </c>
      <c r="H15" s="425" t="s">
        <v>624</v>
      </c>
      <c r="I15" s="427">
        <v>11.736666361490885</v>
      </c>
      <c r="J15" s="427">
        <v>250</v>
      </c>
      <c r="K15" s="428">
        <v>2934</v>
      </c>
    </row>
    <row r="16" spans="1:11" ht="14.4" customHeight="1" x14ac:dyDescent="0.3">
      <c r="A16" s="423" t="s">
        <v>563</v>
      </c>
      <c r="B16" s="424" t="s">
        <v>564</v>
      </c>
      <c r="C16" s="425" t="s">
        <v>577</v>
      </c>
      <c r="D16" s="426" t="s">
        <v>578</v>
      </c>
      <c r="E16" s="425" t="s">
        <v>599</v>
      </c>
      <c r="F16" s="426" t="s">
        <v>600</v>
      </c>
      <c r="G16" s="425" t="s">
        <v>625</v>
      </c>
      <c r="H16" s="425" t="s">
        <v>626</v>
      </c>
      <c r="I16" s="427">
        <v>562.6500244140625</v>
      </c>
      <c r="J16" s="427">
        <v>12</v>
      </c>
      <c r="K16" s="428">
        <v>6751.7998046875</v>
      </c>
    </row>
    <row r="17" spans="1:11" ht="14.4" customHeight="1" x14ac:dyDescent="0.3">
      <c r="A17" s="423" t="s">
        <v>563</v>
      </c>
      <c r="B17" s="424" t="s">
        <v>564</v>
      </c>
      <c r="C17" s="425" t="s">
        <v>577</v>
      </c>
      <c r="D17" s="426" t="s">
        <v>578</v>
      </c>
      <c r="E17" s="425" t="s">
        <v>599</v>
      </c>
      <c r="F17" s="426" t="s">
        <v>600</v>
      </c>
      <c r="G17" s="425" t="s">
        <v>627</v>
      </c>
      <c r="H17" s="425" t="s">
        <v>628</v>
      </c>
      <c r="I17" s="427">
        <v>562.6500244140625</v>
      </c>
      <c r="J17" s="427">
        <v>24</v>
      </c>
      <c r="K17" s="428">
        <v>13503.599609375</v>
      </c>
    </row>
    <row r="18" spans="1:11" ht="14.4" customHeight="1" x14ac:dyDescent="0.3">
      <c r="A18" s="423" t="s">
        <v>563</v>
      </c>
      <c r="B18" s="424" t="s">
        <v>564</v>
      </c>
      <c r="C18" s="425" t="s">
        <v>577</v>
      </c>
      <c r="D18" s="426" t="s">
        <v>578</v>
      </c>
      <c r="E18" s="425" t="s">
        <v>599</v>
      </c>
      <c r="F18" s="426" t="s">
        <v>600</v>
      </c>
      <c r="G18" s="425" t="s">
        <v>629</v>
      </c>
      <c r="H18" s="425" t="s">
        <v>630</v>
      </c>
      <c r="I18" s="427">
        <v>562.6500244140625</v>
      </c>
      <c r="J18" s="427">
        <v>624</v>
      </c>
      <c r="K18" s="428">
        <v>351093.60546875</v>
      </c>
    </row>
    <row r="19" spans="1:11" ht="14.4" customHeight="1" x14ac:dyDescent="0.3">
      <c r="A19" s="423" t="s">
        <v>563</v>
      </c>
      <c r="B19" s="424" t="s">
        <v>564</v>
      </c>
      <c r="C19" s="425" t="s">
        <v>577</v>
      </c>
      <c r="D19" s="426" t="s">
        <v>578</v>
      </c>
      <c r="E19" s="425" t="s">
        <v>599</v>
      </c>
      <c r="F19" s="426" t="s">
        <v>600</v>
      </c>
      <c r="G19" s="425" t="s">
        <v>631</v>
      </c>
      <c r="H19" s="425" t="s">
        <v>632</v>
      </c>
      <c r="I19" s="427">
        <v>0.47999998927116394</v>
      </c>
      <c r="J19" s="427">
        <v>600</v>
      </c>
      <c r="K19" s="428">
        <v>288</v>
      </c>
    </row>
    <row r="20" spans="1:11" ht="14.4" customHeight="1" x14ac:dyDescent="0.3">
      <c r="A20" s="423" t="s">
        <v>563</v>
      </c>
      <c r="B20" s="424" t="s">
        <v>564</v>
      </c>
      <c r="C20" s="425" t="s">
        <v>577</v>
      </c>
      <c r="D20" s="426" t="s">
        <v>578</v>
      </c>
      <c r="E20" s="425" t="s">
        <v>599</v>
      </c>
      <c r="F20" s="426" t="s">
        <v>600</v>
      </c>
      <c r="G20" s="425" t="s">
        <v>633</v>
      </c>
      <c r="H20" s="425" t="s">
        <v>634</v>
      </c>
      <c r="I20" s="427">
        <v>2.75</v>
      </c>
      <c r="J20" s="427">
        <v>100</v>
      </c>
      <c r="K20" s="428">
        <v>275</v>
      </c>
    </row>
    <row r="21" spans="1:11" ht="14.4" customHeight="1" x14ac:dyDescent="0.3">
      <c r="A21" s="423" t="s">
        <v>563</v>
      </c>
      <c r="B21" s="424" t="s">
        <v>564</v>
      </c>
      <c r="C21" s="425" t="s">
        <v>577</v>
      </c>
      <c r="D21" s="426" t="s">
        <v>578</v>
      </c>
      <c r="E21" s="425" t="s">
        <v>599</v>
      </c>
      <c r="F21" s="426" t="s">
        <v>600</v>
      </c>
      <c r="G21" s="425" t="s">
        <v>635</v>
      </c>
      <c r="H21" s="425" t="s">
        <v>636</v>
      </c>
      <c r="I21" s="427">
        <v>6.309999942779541</v>
      </c>
      <c r="J21" s="427">
        <v>2700</v>
      </c>
      <c r="K21" s="428">
        <v>17040.780029296875</v>
      </c>
    </row>
    <row r="22" spans="1:11" ht="14.4" customHeight="1" x14ac:dyDescent="0.3">
      <c r="A22" s="423" t="s">
        <v>563</v>
      </c>
      <c r="B22" s="424" t="s">
        <v>564</v>
      </c>
      <c r="C22" s="425" t="s">
        <v>577</v>
      </c>
      <c r="D22" s="426" t="s">
        <v>578</v>
      </c>
      <c r="E22" s="425" t="s">
        <v>599</v>
      </c>
      <c r="F22" s="426" t="s">
        <v>600</v>
      </c>
      <c r="G22" s="425" t="s">
        <v>637</v>
      </c>
      <c r="H22" s="425" t="s">
        <v>638</v>
      </c>
      <c r="I22" s="427">
        <v>9.1499996185302734</v>
      </c>
      <c r="J22" s="427">
        <v>4000</v>
      </c>
      <c r="K22" s="428">
        <v>36594.419921875</v>
      </c>
    </row>
    <row r="23" spans="1:11" ht="14.4" customHeight="1" x14ac:dyDescent="0.3">
      <c r="A23" s="423" t="s">
        <v>563</v>
      </c>
      <c r="B23" s="424" t="s">
        <v>564</v>
      </c>
      <c r="C23" s="425" t="s">
        <v>577</v>
      </c>
      <c r="D23" s="426" t="s">
        <v>578</v>
      </c>
      <c r="E23" s="425" t="s">
        <v>599</v>
      </c>
      <c r="F23" s="426" t="s">
        <v>600</v>
      </c>
      <c r="G23" s="425" t="s">
        <v>639</v>
      </c>
      <c r="H23" s="425" t="s">
        <v>640</v>
      </c>
      <c r="I23" s="427">
        <v>4.309999942779541</v>
      </c>
      <c r="J23" s="427">
        <v>1600</v>
      </c>
      <c r="K23" s="428">
        <v>6893.60009765625</v>
      </c>
    </row>
    <row r="24" spans="1:11" ht="14.4" customHeight="1" x14ac:dyDescent="0.3">
      <c r="A24" s="423" t="s">
        <v>563</v>
      </c>
      <c r="B24" s="424" t="s">
        <v>564</v>
      </c>
      <c r="C24" s="425" t="s">
        <v>577</v>
      </c>
      <c r="D24" s="426" t="s">
        <v>578</v>
      </c>
      <c r="E24" s="425" t="s">
        <v>599</v>
      </c>
      <c r="F24" s="426" t="s">
        <v>600</v>
      </c>
      <c r="G24" s="425" t="s">
        <v>641</v>
      </c>
      <c r="H24" s="425" t="s">
        <v>642</v>
      </c>
      <c r="I24" s="427">
        <v>14.649999618530273</v>
      </c>
      <c r="J24" s="427">
        <v>3200</v>
      </c>
      <c r="K24" s="428">
        <v>46883.140625</v>
      </c>
    </row>
    <row r="25" spans="1:11" ht="14.4" customHeight="1" x14ac:dyDescent="0.3">
      <c r="A25" s="423" t="s">
        <v>563</v>
      </c>
      <c r="B25" s="424" t="s">
        <v>564</v>
      </c>
      <c r="C25" s="425" t="s">
        <v>577</v>
      </c>
      <c r="D25" s="426" t="s">
        <v>578</v>
      </c>
      <c r="E25" s="425" t="s">
        <v>599</v>
      </c>
      <c r="F25" s="426" t="s">
        <v>600</v>
      </c>
      <c r="G25" s="425" t="s">
        <v>643</v>
      </c>
      <c r="H25" s="425" t="s">
        <v>644</v>
      </c>
      <c r="I25" s="427">
        <v>5.4200000762939453</v>
      </c>
      <c r="J25" s="427">
        <v>2300</v>
      </c>
      <c r="K25" s="428">
        <v>12462.819702148438</v>
      </c>
    </row>
    <row r="26" spans="1:11" ht="14.4" customHeight="1" x14ac:dyDescent="0.3">
      <c r="A26" s="423" t="s">
        <v>563</v>
      </c>
      <c r="B26" s="424" t="s">
        <v>564</v>
      </c>
      <c r="C26" s="425" t="s">
        <v>577</v>
      </c>
      <c r="D26" s="426" t="s">
        <v>578</v>
      </c>
      <c r="E26" s="425" t="s">
        <v>599</v>
      </c>
      <c r="F26" s="426" t="s">
        <v>600</v>
      </c>
      <c r="G26" s="425" t="s">
        <v>645</v>
      </c>
      <c r="H26" s="425" t="s">
        <v>646</v>
      </c>
      <c r="I26" s="427">
        <v>5.1999998092651367</v>
      </c>
      <c r="J26" s="427">
        <v>170</v>
      </c>
      <c r="K26" s="428">
        <v>884</v>
      </c>
    </row>
    <row r="27" spans="1:11" ht="14.4" customHeight="1" x14ac:dyDescent="0.3">
      <c r="A27" s="423" t="s">
        <v>563</v>
      </c>
      <c r="B27" s="424" t="s">
        <v>564</v>
      </c>
      <c r="C27" s="425" t="s">
        <v>577</v>
      </c>
      <c r="D27" s="426" t="s">
        <v>578</v>
      </c>
      <c r="E27" s="425" t="s">
        <v>599</v>
      </c>
      <c r="F27" s="426" t="s">
        <v>600</v>
      </c>
      <c r="G27" s="425" t="s">
        <v>647</v>
      </c>
      <c r="H27" s="425" t="s">
        <v>648</v>
      </c>
      <c r="I27" s="427">
        <v>7.429999828338623</v>
      </c>
      <c r="J27" s="427">
        <v>4000</v>
      </c>
      <c r="K27" s="428">
        <v>29720.000122070313</v>
      </c>
    </row>
    <row r="28" spans="1:11" ht="14.4" customHeight="1" x14ac:dyDescent="0.3">
      <c r="A28" s="423" t="s">
        <v>563</v>
      </c>
      <c r="B28" s="424" t="s">
        <v>564</v>
      </c>
      <c r="C28" s="425" t="s">
        <v>577</v>
      </c>
      <c r="D28" s="426" t="s">
        <v>578</v>
      </c>
      <c r="E28" s="425" t="s">
        <v>599</v>
      </c>
      <c r="F28" s="426" t="s">
        <v>600</v>
      </c>
      <c r="G28" s="425" t="s">
        <v>649</v>
      </c>
      <c r="H28" s="425" t="s">
        <v>650</v>
      </c>
      <c r="I28" s="427">
        <v>8.7600002288818359</v>
      </c>
      <c r="J28" s="427">
        <v>600</v>
      </c>
      <c r="K28" s="428">
        <v>5256.2398681640625</v>
      </c>
    </row>
    <row r="29" spans="1:11" ht="14.4" customHeight="1" x14ac:dyDescent="0.3">
      <c r="A29" s="423" t="s">
        <v>563</v>
      </c>
      <c r="B29" s="424" t="s">
        <v>564</v>
      </c>
      <c r="C29" s="425" t="s">
        <v>577</v>
      </c>
      <c r="D29" s="426" t="s">
        <v>578</v>
      </c>
      <c r="E29" s="425" t="s">
        <v>599</v>
      </c>
      <c r="F29" s="426" t="s">
        <v>600</v>
      </c>
      <c r="G29" s="425" t="s">
        <v>651</v>
      </c>
      <c r="H29" s="425" t="s">
        <v>652</v>
      </c>
      <c r="I29" s="427">
        <v>71.389999389648437</v>
      </c>
      <c r="J29" s="427">
        <v>150</v>
      </c>
      <c r="K29" s="428">
        <v>10708.5</v>
      </c>
    </row>
    <row r="30" spans="1:11" ht="14.4" customHeight="1" x14ac:dyDescent="0.3">
      <c r="A30" s="423" t="s">
        <v>563</v>
      </c>
      <c r="B30" s="424" t="s">
        <v>564</v>
      </c>
      <c r="C30" s="425" t="s">
        <v>577</v>
      </c>
      <c r="D30" s="426" t="s">
        <v>578</v>
      </c>
      <c r="E30" s="425" t="s">
        <v>599</v>
      </c>
      <c r="F30" s="426" t="s">
        <v>600</v>
      </c>
      <c r="G30" s="425" t="s">
        <v>653</v>
      </c>
      <c r="H30" s="425" t="s">
        <v>654</v>
      </c>
      <c r="I30" s="427">
        <v>0.47249999642372131</v>
      </c>
      <c r="J30" s="427">
        <v>5000</v>
      </c>
      <c r="K30" s="428">
        <v>2360</v>
      </c>
    </row>
    <row r="31" spans="1:11" ht="14.4" customHeight="1" x14ac:dyDescent="0.3">
      <c r="A31" s="423" t="s">
        <v>563</v>
      </c>
      <c r="B31" s="424" t="s">
        <v>564</v>
      </c>
      <c r="C31" s="425" t="s">
        <v>577</v>
      </c>
      <c r="D31" s="426" t="s">
        <v>578</v>
      </c>
      <c r="E31" s="425" t="s">
        <v>599</v>
      </c>
      <c r="F31" s="426" t="s">
        <v>600</v>
      </c>
      <c r="G31" s="425" t="s">
        <v>655</v>
      </c>
      <c r="H31" s="425" t="s">
        <v>656</v>
      </c>
      <c r="I31" s="427">
        <v>0.4699999988079071</v>
      </c>
      <c r="J31" s="427">
        <v>3000</v>
      </c>
      <c r="K31" s="428">
        <v>1410</v>
      </c>
    </row>
    <row r="32" spans="1:11" ht="14.4" customHeight="1" x14ac:dyDescent="0.3">
      <c r="A32" s="423" t="s">
        <v>563</v>
      </c>
      <c r="B32" s="424" t="s">
        <v>564</v>
      </c>
      <c r="C32" s="425" t="s">
        <v>577</v>
      </c>
      <c r="D32" s="426" t="s">
        <v>578</v>
      </c>
      <c r="E32" s="425" t="s">
        <v>657</v>
      </c>
      <c r="F32" s="426" t="s">
        <v>658</v>
      </c>
      <c r="G32" s="425" t="s">
        <v>659</v>
      </c>
      <c r="H32" s="425" t="s">
        <v>660</v>
      </c>
      <c r="I32" s="427">
        <v>651.19000244140625</v>
      </c>
      <c r="J32" s="427">
        <v>20</v>
      </c>
      <c r="K32" s="428">
        <v>13023.83984375</v>
      </c>
    </row>
    <row r="33" spans="1:11" ht="14.4" customHeight="1" x14ac:dyDescent="0.3">
      <c r="A33" s="423" t="s">
        <v>563</v>
      </c>
      <c r="B33" s="424" t="s">
        <v>564</v>
      </c>
      <c r="C33" s="425" t="s">
        <v>577</v>
      </c>
      <c r="D33" s="426" t="s">
        <v>578</v>
      </c>
      <c r="E33" s="425" t="s">
        <v>657</v>
      </c>
      <c r="F33" s="426" t="s">
        <v>658</v>
      </c>
      <c r="G33" s="425" t="s">
        <v>661</v>
      </c>
      <c r="H33" s="425" t="s">
        <v>662</v>
      </c>
      <c r="I33" s="427">
        <v>307.33999633789062</v>
      </c>
      <c r="J33" s="427">
        <v>1380</v>
      </c>
      <c r="K33" s="428">
        <v>424129.1953125</v>
      </c>
    </row>
    <row r="34" spans="1:11" ht="14.4" customHeight="1" x14ac:dyDescent="0.3">
      <c r="A34" s="423" t="s">
        <v>563</v>
      </c>
      <c r="B34" s="424" t="s">
        <v>564</v>
      </c>
      <c r="C34" s="425" t="s">
        <v>577</v>
      </c>
      <c r="D34" s="426" t="s">
        <v>578</v>
      </c>
      <c r="E34" s="425" t="s">
        <v>657</v>
      </c>
      <c r="F34" s="426" t="s">
        <v>658</v>
      </c>
      <c r="G34" s="425" t="s">
        <v>663</v>
      </c>
      <c r="H34" s="425" t="s">
        <v>664</v>
      </c>
      <c r="I34" s="427">
        <v>24.180000305175781</v>
      </c>
      <c r="J34" s="427">
        <v>300</v>
      </c>
      <c r="K34" s="428">
        <v>7252.740234375</v>
      </c>
    </row>
    <row r="35" spans="1:11" ht="14.4" customHeight="1" x14ac:dyDescent="0.3">
      <c r="A35" s="423" t="s">
        <v>563</v>
      </c>
      <c r="B35" s="424" t="s">
        <v>564</v>
      </c>
      <c r="C35" s="425" t="s">
        <v>577</v>
      </c>
      <c r="D35" s="426" t="s">
        <v>578</v>
      </c>
      <c r="E35" s="425" t="s">
        <v>657</v>
      </c>
      <c r="F35" s="426" t="s">
        <v>658</v>
      </c>
      <c r="G35" s="425" t="s">
        <v>665</v>
      </c>
      <c r="H35" s="425" t="s">
        <v>666</v>
      </c>
      <c r="I35" s="427">
        <v>52.419998168945313</v>
      </c>
      <c r="J35" s="427">
        <v>1500</v>
      </c>
      <c r="K35" s="428">
        <v>78625.80078125</v>
      </c>
    </row>
    <row r="36" spans="1:11" ht="14.4" customHeight="1" x14ac:dyDescent="0.3">
      <c r="A36" s="423" t="s">
        <v>563</v>
      </c>
      <c r="B36" s="424" t="s">
        <v>564</v>
      </c>
      <c r="C36" s="425" t="s">
        <v>577</v>
      </c>
      <c r="D36" s="426" t="s">
        <v>578</v>
      </c>
      <c r="E36" s="425" t="s">
        <v>657</v>
      </c>
      <c r="F36" s="426" t="s">
        <v>658</v>
      </c>
      <c r="G36" s="425" t="s">
        <v>667</v>
      </c>
      <c r="H36" s="425" t="s">
        <v>668</v>
      </c>
      <c r="I36" s="427">
        <v>10.164999961853027</v>
      </c>
      <c r="J36" s="427">
        <v>10200</v>
      </c>
      <c r="K36" s="428">
        <v>103682.5</v>
      </c>
    </row>
    <row r="37" spans="1:11" ht="14.4" customHeight="1" x14ac:dyDescent="0.3">
      <c r="A37" s="423" t="s">
        <v>563</v>
      </c>
      <c r="B37" s="424" t="s">
        <v>564</v>
      </c>
      <c r="C37" s="425" t="s">
        <v>577</v>
      </c>
      <c r="D37" s="426" t="s">
        <v>578</v>
      </c>
      <c r="E37" s="425" t="s">
        <v>669</v>
      </c>
      <c r="F37" s="426" t="s">
        <v>670</v>
      </c>
      <c r="G37" s="425" t="s">
        <v>671</v>
      </c>
      <c r="H37" s="425" t="s">
        <v>672</v>
      </c>
      <c r="I37" s="427">
        <v>8.1099996566772461</v>
      </c>
      <c r="J37" s="427">
        <v>2750</v>
      </c>
      <c r="K37" s="428">
        <v>22294.25</v>
      </c>
    </row>
    <row r="38" spans="1:11" ht="14.4" customHeight="1" x14ac:dyDescent="0.3">
      <c r="A38" s="423" t="s">
        <v>563</v>
      </c>
      <c r="B38" s="424" t="s">
        <v>564</v>
      </c>
      <c r="C38" s="425" t="s">
        <v>577</v>
      </c>
      <c r="D38" s="426" t="s">
        <v>578</v>
      </c>
      <c r="E38" s="425" t="s">
        <v>669</v>
      </c>
      <c r="F38" s="426" t="s">
        <v>670</v>
      </c>
      <c r="G38" s="425" t="s">
        <v>673</v>
      </c>
      <c r="H38" s="425" t="s">
        <v>674</v>
      </c>
      <c r="I38" s="427">
        <v>0.54200001955032351</v>
      </c>
      <c r="J38" s="427">
        <v>13000</v>
      </c>
      <c r="K38" s="428">
        <v>7040</v>
      </c>
    </row>
    <row r="39" spans="1:11" ht="14.4" customHeight="1" x14ac:dyDescent="0.3">
      <c r="A39" s="423" t="s">
        <v>563</v>
      </c>
      <c r="B39" s="424" t="s">
        <v>564</v>
      </c>
      <c r="C39" s="425" t="s">
        <v>577</v>
      </c>
      <c r="D39" s="426" t="s">
        <v>578</v>
      </c>
      <c r="E39" s="425" t="s">
        <v>669</v>
      </c>
      <c r="F39" s="426" t="s">
        <v>670</v>
      </c>
      <c r="G39" s="425" t="s">
        <v>675</v>
      </c>
      <c r="H39" s="425" t="s">
        <v>676</v>
      </c>
      <c r="I39" s="427">
        <v>0.99000000953674316</v>
      </c>
      <c r="J39" s="427">
        <v>4000</v>
      </c>
      <c r="K39" s="428">
        <v>3968.800048828125</v>
      </c>
    </row>
    <row r="40" spans="1:11" ht="14.4" customHeight="1" x14ac:dyDescent="0.3">
      <c r="A40" s="423" t="s">
        <v>563</v>
      </c>
      <c r="B40" s="424" t="s">
        <v>564</v>
      </c>
      <c r="C40" s="425" t="s">
        <v>577</v>
      </c>
      <c r="D40" s="426" t="s">
        <v>578</v>
      </c>
      <c r="E40" s="425" t="s">
        <v>677</v>
      </c>
      <c r="F40" s="426" t="s">
        <v>678</v>
      </c>
      <c r="G40" s="425" t="s">
        <v>679</v>
      </c>
      <c r="H40" s="425" t="s">
        <v>680</v>
      </c>
      <c r="I40" s="427">
        <v>10.159999847412109</v>
      </c>
      <c r="J40" s="427">
        <v>300</v>
      </c>
      <c r="K40" s="428">
        <v>3049.199951171875</v>
      </c>
    </row>
    <row r="41" spans="1:11" ht="14.4" customHeight="1" x14ac:dyDescent="0.3">
      <c r="A41" s="423" t="s">
        <v>563</v>
      </c>
      <c r="B41" s="424" t="s">
        <v>564</v>
      </c>
      <c r="C41" s="425" t="s">
        <v>577</v>
      </c>
      <c r="D41" s="426" t="s">
        <v>578</v>
      </c>
      <c r="E41" s="425" t="s">
        <v>677</v>
      </c>
      <c r="F41" s="426" t="s">
        <v>678</v>
      </c>
      <c r="G41" s="425" t="s">
        <v>681</v>
      </c>
      <c r="H41" s="425" t="s">
        <v>682</v>
      </c>
      <c r="I41" s="427">
        <v>10.159999847412109</v>
      </c>
      <c r="J41" s="427">
        <v>600</v>
      </c>
      <c r="K41" s="428">
        <v>6097.199951171875</v>
      </c>
    </row>
    <row r="42" spans="1:11" ht="14.4" customHeight="1" x14ac:dyDescent="0.3">
      <c r="A42" s="423" t="s">
        <v>563</v>
      </c>
      <c r="B42" s="424" t="s">
        <v>564</v>
      </c>
      <c r="C42" s="425" t="s">
        <v>577</v>
      </c>
      <c r="D42" s="426" t="s">
        <v>578</v>
      </c>
      <c r="E42" s="425" t="s">
        <v>677</v>
      </c>
      <c r="F42" s="426" t="s">
        <v>678</v>
      </c>
      <c r="G42" s="425" t="s">
        <v>683</v>
      </c>
      <c r="H42" s="425" t="s">
        <v>684</v>
      </c>
      <c r="I42" s="427">
        <v>10.159999847412109</v>
      </c>
      <c r="J42" s="427">
        <v>250</v>
      </c>
      <c r="K42" s="428">
        <v>2541</v>
      </c>
    </row>
    <row r="43" spans="1:11" ht="14.4" customHeight="1" x14ac:dyDescent="0.3">
      <c r="A43" s="423" t="s">
        <v>563</v>
      </c>
      <c r="B43" s="424" t="s">
        <v>564</v>
      </c>
      <c r="C43" s="425" t="s">
        <v>577</v>
      </c>
      <c r="D43" s="426" t="s">
        <v>578</v>
      </c>
      <c r="E43" s="425" t="s">
        <v>677</v>
      </c>
      <c r="F43" s="426" t="s">
        <v>678</v>
      </c>
      <c r="G43" s="425" t="s">
        <v>685</v>
      </c>
      <c r="H43" s="425" t="s">
        <v>686</v>
      </c>
      <c r="I43" s="427">
        <v>24.200000762939453</v>
      </c>
      <c r="J43" s="427">
        <v>1850</v>
      </c>
      <c r="K43" s="428">
        <v>44770</v>
      </c>
    </row>
    <row r="44" spans="1:11" ht="14.4" customHeight="1" x14ac:dyDescent="0.3">
      <c r="A44" s="423" t="s">
        <v>563</v>
      </c>
      <c r="B44" s="424" t="s">
        <v>564</v>
      </c>
      <c r="C44" s="425" t="s">
        <v>577</v>
      </c>
      <c r="D44" s="426" t="s">
        <v>578</v>
      </c>
      <c r="E44" s="425" t="s">
        <v>677</v>
      </c>
      <c r="F44" s="426" t="s">
        <v>678</v>
      </c>
      <c r="G44" s="425" t="s">
        <v>687</v>
      </c>
      <c r="H44" s="425" t="s">
        <v>688</v>
      </c>
      <c r="I44" s="427">
        <v>24.200000762939453</v>
      </c>
      <c r="J44" s="427">
        <v>950</v>
      </c>
      <c r="K44" s="428">
        <v>22990</v>
      </c>
    </row>
    <row r="45" spans="1:11" ht="14.4" customHeight="1" x14ac:dyDescent="0.3">
      <c r="A45" s="423" t="s">
        <v>563</v>
      </c>
      <c r="B45" s="424" t="s">
        <v>564</v>
      </c>
      <c r="C45" s="425" t="s">
        <v>577</v>
      </c>
      <c r="D45" s="426" t="s">
        <v>578</v>
      </c>
      <c r="E45" s="425" t="s">
        <v>677</v>
      </c>
      <c r="F45" s="426" t="s">
        <v>678</v>
      </c>
      <c r="G45" s="425" t="s">
        <v>689</v>
      </c>
      <c r="H45" s="425" t="s">
        <v>690</v>
      </c>
      <c r="I45" s="427">
        <v>0.62999999523162842</v>
      </c>
      <c r="J45" s="427">
        <v>400</v>
      </c>
      <c r="K45" s="428">
        <v>252</v>
      </c>
    </row>
    <row r="46" spans="1:11" ht="14.4" customHeight="1" x14ac:dyDescent="0.3">
      <c r="A46" s="423" t="s">
        <v>563</v>
      </c>
      <c r="B46" s="424" t="s">
        <v>564</v>
      </c>
      <c r="C46" s="425" t="s">
        <v>577</v>
      </c>
      <c r="D46" s="426" t="s">
        <v>578</v>
      </c>
      <c r="E46" s="425" t="s">
        <v>677</v>
      </c>
      <c r="F46" s="426" t="s">
        <v>678</v>
      </c>
      <c r="G46" s="425" t="s">
        <v>691</v>
      </c>
      <c r="H46" s="425" t="s">
        <v>692</v>
      </c>
      <c r="I46" s="427">
        <v>0.62999999523162842</v>
      </c>
      <c r="J46" s="427">
        <v>1800</v>
      </c>
      <c r="K46" s="428">
        <v>1134</v>
      </c>
    </row>
    <row r="47" spans="1:11" ht="14.4" customHeight="1" x14ac:dyDescent="0.3">
      <c r="A47" s="423" t="s">
        <v>563</v>
      </c>
      <c r="B47" s="424" t="s">
        <v>564</v>
      </c>
      <c r="C47" s="425" t="s">
        <v>577</v>
      </c>
      <c r="D47" s="426" t="s">
        <v>578</v>
      </c>
      <c r="E47" s="425" t="s">
        <v>677</v>
      </c>
      <c r="F47" s="426" t="s">
        <v>678</v>
      </c>
      <c r="G47" s="425" t="s">
        <v>693</v>
      </c>
      <c r="H47" s="425" t="s">
        <v>694</v>
      </c>
      <c r="I47" s="427">
        <v>0.62999999523162842</v>
      </c>
      <c r="J47" s="427">
        <v>3600</v>
      </c>
      <c r="K47" s="428">
        <v>2268</v>
      </c>
    </row>
    <row r="48" spans="1:11" ht="14.4" customHeight="1" x14ac:dyDescent="0.3">
      <c r="A48" s="423" t="s">
        <v>563</v>
      </c>
      <c r="B48" s="424" t="s">
        <v>564</v>
      </c>
      <c r="C48" s="425" t="s">
        <v>577</v>
      </c>
      <c r="D48" s="426" t="s">
        <v>578</v>
      </c>
      <c r="E48" s="425" t="s">
        <v>677</v>
      </c>
      <c r="F48" s="426" t="s">
        <v>678</v>
      </c>
      <c r="G48" s="425" t="s">
        <v>695</v>
      </c>
      <c r="H48" s="425" t="s">
        <v>696</v>
      </c>
      <c r="I48" s="427">
        <v>0.62999999523162842</v>
      </c>
      <c r="J48" s="427">
        <v>510</v>
      </c>
      <c r="K48" s="428">
        <v>321.29998779296875</v>
      </c>
    </row>
    <row r="49" spans="1:11" ht="14.4" customHeight="1" x14ac:dyDescent="0.3">
      <c r="A49" s="423" t="s">
        <v>563</v>
      </c>
      <c r="B49" s="424" t="s">
        <v>564</v>
      </c>
      <c r="C49" s="425" t="s">
        <v>580</v>
      </c>
      <c r="D49" s="426" t="s">
        <v>581</v>
      </c>
      <c r="E49" s="425" t="s">
        <v>697</v>
      </c>
      <c r="F49" s="426" t="s">
        <v>698</v>
      </c>
      <c r="G49" s="425" t="s">
        <v>699</v>
      </c>
      <c r="H49" s="425" t="s">
        <v>700</v>
      </c>
      <c r="I49" s="427">
        <v>1874.2900390625</v>
      </c>
      <c r="J49" s="427">
        <v>1</v>
      </c>
      <c r="K49" s="428">
        <v>1874.2900390625</v>
      </c>
    </row>
    <row r="50" spans="1:11" ht="14.4" customHeight="1" x14ac:dyDescent="0.3">
      <c r="A50" s="423" t="s">
        <v>563</v>
      </c>
      <c r="B50" s="424" t="s">
        <v>564</v>
      </c>
      <c r="C50" s="425" t="s">
        <v>580</v>
      </c>
      <c r="D50" s="426" t="s">
        <v>581</v>
      </c>
      <c r="E50" s="425" t="s">
        <v>599</v>
      </c>
      <c r="F50" s="426" t="s">
        <v>600</v>
      </c>
      <c r="G50" s="425" t="s">
        <v>619</v>
      </c>
      <c r="H50" s="425" t="s">
        <v>620</v>
      </c>
      <c r="I50" s="427">
        <v>15.920000076293945</v>
      </c>
      <c r="J50" s="427">
        <v>400</v>
      </c>
      <c r="K50" s="428">
        <v>6368</v>
      </c>
    </row>
    <row r="51" spans="1:11" ht="14.4" customHeight="1" x14ac:dyDescent="0.3">
      <c r="A51" s="423" t="s">
        <v>563</v>
      </c>
      <c r="B51" s="424" t="s">
        <v>564</v>
      </c>
      <c r="C51" s="425" t="s">
        <v>580</v>
      </c>
      <c r="D51" s="426" t="s">
        <v>581</v>
      </c>
      <c r="E51" s="425" t="s">
        <v>599</v>
      </c>
      <c r="F51" s="426" t="s">
        <v>600</v>
      </c>
      <c r="G51" s="425" t="s">
        <v>701</v>
      </c>
      <c r="H51" s="425" t="s">
        <v>702</v>
      </c>
      <c r="I51" s="427">
        <v>13.310000419616699</v>
      </c>
      <c r="J51" s="427">
        <v>50</v>
      </c>
      <c r="K51" s="428">
        <v>665.5</v>
      </c>
    </row>
    <row r="52" spans="1:11" ht="14.4" customHeight="1" x14ac:dyDescent="0.3">
      <c r="A52" s="423" t="s">
        <v>563</v>
      </c>
      <c r="B52" s="424" t="s">
        <v>564</v>
      </c>
      <c r="C52" s="425" t="s">
        <v>580</v>
      </c>
      <c r="D52" s="426" t="s">
        <v>581</v>
      </c>
      <c r="E52" s="425" t="s">
        <v>599</v>
      </c>
      <c r="F52" s="426" t="s">
        <v>600</v>
      </c>
      <c r="G52" s="425" t="s">
        <v>703</v>
      </c>
      <c r="H52" s="425" t="s">
        <v>704</v>
      </c>
      <c r="I52" s="427">
        <v>25.530000686645508</v>
      </c>
      <c r="J52" s="427">
        <v>20</v>
      </c>
      <c r="K52" s="428">
        <v>510.60000610351562</v>
      </c>
    </row>
    <row r="53" spans="1:11" ht="14.4" customHeight="1" x14ac:dyDescent="0.3">
      <c r="A53" s="423" t="s">
        <v>563</v>
      </c>
      <c r="B53" s="424" t="s">
        <v>564</v>
      </c>
      <c r="C53" s="425" t="s">
        <v>580</v>
      </c>
      <c r="D53" s="426" t="s">
        <v>581</v>
      </c>
      <c r="E53" s="425" t="s">
        <v>599</v>
      </c>
      <c r="F53" s="426" t="s">
        <v>600</v>
      </c>
      <c r="G53" s="425" t="s">
        <v>705</v>
      </c>
      <c r="H53" s="425" t="s">
        <v>706</v>
      </c>
      <c r="I53" s="427">
        <v>145.19999694824219</v>
      </c>
      <c r="J53" s="427">
        <v>100</v>
      </c>
      <c r="K53" s="428">
        <v>14520</v>
      </c>
    </row>
    <row r="54" spans="1:11" ht="14.4" customHeight="1" x14ac:dyDescent="0.3">
      <c r="A54" s="423" t="s">
        <v>563</v>
      </c>
      <c r="B54" s="424" t="s">
        <v>564</v>
      </c>
      <c r="C54" s="425" t="s">
        <v>580</v>
      </c>
      <c r="D54" s="426" t="s">
        <v>581</v>
      </c>
      <c r="E54" s="425" t="s">
        <v>599</v>
      </c>
      <c r="F54" s="426" t="s">
        <v>600</v>
      </c>
      <c r="G54" s="425" t="s">
        <v>707</v>
      </c>
      <c r="H54" s="425" t="s">
        <v>708</v>
      </c>
      <c r="I54" s="427">
        <v>151.25</v>
      </c>
      <c r="J54" s="427">
        <v>75</v>
      </c>
      <c r="K54" s="428">
        <v>11343.75</v>
      </c>
    </row>
    <row r="55" spans="1:11" ht="14.4" customHeight="1" x14ac:dyDescent="0.3">
      <c r="A55" s="423" t="s">
        <v>563</v>
      </c>
      <c r="B55" s="424" t="s">
        <v>564</v>
      </c>
      <c r="C55" s="425" t="s">
        <v>580</v>
      </c>
      <c r="D55" s="426" t="s">
        <v>581</v>
      </c>
      <c r="E55" s="425" t="s">
        <v>599</v>
      </c>
      <c r="F55" s="426" t="s">
        <v>600</v>
      </c>
      <c r="G55" s="425" t="s">
        <v>709</v>
      </c>
      <c r="H55" s="425" t="s">
        <v>710</v>
      </c>
      <c r="I55" s="427">
        <v>2178</v>
      </c>
      <c r="J55" s="427">
        <v>30</v>
      </c>
      <c r="K55" s="428">
        <v>65340</v>
      </c>
    </row>
    <row r="56" spans="1:11" ht="14.4" customHeight="1" x14ac:dyDescent="0.3">
      <c r="A56" s="423" t="s">
        <v>563</v>
      </c>
      <c r="B56" s="424" t="s">
        <v>564</v>
      </c>
      <c r="C56" s="425" t="s">
        <v>580</v>
      </c>
      <c r="D56" s="426" t="s">
        <v>581</v>
      </c>
      <c r="E56" s="425" t="s">
        <v>599</v>
      </c>
      <c r="F56" s="426" t="s">
        <v>600</v>
      </c>
      <c r="G56" s="425" t="s">
        <v>711</v>
      </c>
      <c r="H56" s="425" t="s">
        <v>712</v>
      </c>
      <c r="I56" s="427">
        <v>145.19999694824219</v>
      </c>
      <c r="J56" s="427">
        <v>150</v>
      </c>
      <c r="K56" s="428">
        <v>21780</v>
      </c>
    </row>
    <row r="57" spans="1:11" ht="14.4" customHeight="1" x14ac:dyDescent="0.3">
      <c r="A57" s="423" t="s">
        <v>563</v>
      </c>
      <c r="B57" s="424" t="s">
        <v>564</v>
      </c>
      <c r="C57" s="425" t="s">
        <v>580</v>
      </c>
      <c r="D57" s="426" t="s">
        <v>581</v>
      </c>
      <c r="E57" s="425" t="s">
        <v>599</v>
      </c>
      <c r="F57" s="426" t="s">
        <v>600</v>
      </c>
      <c r="G57" s="425" t="s">
        <v>713</v>
      </c>
      <c r="H57" s="425" t="s">
        <v>714</v>
      </c>
      <c r="I57" s="427">
        <v>1.0900000333786011</v>
      </c>
      <c r="J57" s="427">
        <v>200</v>
      </c>
      <c r="K57" s="428">
        <v>218</v>
      </c>
    </row>
    <row r="58" spans="1:11" ht="14.4" customHeight="1" x14ac:dyDescent="0.3">
      <c r="A58" s="423" t="s">
        <v>563</v>
      </c>
      <c r="B58" s="424" t="s">
        <v>564</v>
      </c>
      <c r="C58" s="425" t="s">
        <v>580</v>
      </c>
      <c r="D58" s="426" t="s">
        <v>581</v>
      </c>
      <c r="E58" s="425" t="s">
        <v>599</v>
      </c>
      <c r="F58" s="426" t="s">
        <v>600</v>
      </c>
      <c r="G58" s="425" t="s">
        <v>631</v>
      </c>
      <c r="H58" s="425" t="s">
        <v>632</v>
      </c>
      <c r="I58" s="427">
        <v>0.4699999988079071</v>
      </c>
      <c r="J58" s="427">
        <v>200</v>
      </c>
      <c r="K58" s="428">
        <v>94</v>
      </c>
    </row>
    <row r="59" spans="1:11" ht="14.4" customHeight="1" x14ac:dyDescent="0.3">
      <c r="A59" s="423" t="s">
        <v>563</v>
      </c>
      <c r="B59" s="424" t="s">
        <v>564</v>
      </c>
      <c r="C59" s="425" t="s">
        <v>580</v>
      </c>
      <c r="D59" s="426" t="s">
        <v>581</v>
      </c>
      <c r="E59" s="425" t="s">
        <v>599</v>
      </c>
      <c r="F59" s="426" t="s">
        <v>600</v>
      </c>
      <c r="G59" s="425" t="s">
        <v>633</v>
      </c>
      <c r="H59" s="425" t="s">
        <v>634</v>
      </c>
      <c r="I59" s="427">
        <v>2.75</v>
      </c>
      <c r="J59" s="427">
        <v>300</v>
      </c>
      <c r="K59" s="428">
        <v>825</v>
      </c>
    </row>
    <row r="60" spans="1:11" ht="14.4" customHeight="1" x14ac:dyDescent="0.3">
      <c r="A60" s="423" t="s">
        <v>563</v>
      </c>
      <c r="B60" s="424" t="s">
        <v>564</v>
      </c>
      <c r="C60" s="425" t="s">
        <v>580</v>
      </c>
      <c r="D60" s="426" t="s">
        <v>581</v>
      </c>
      <c r="E60" s="425" t="s">
        <v>599</v>
      </c>
      <c r="F60" s="426" t="s">
        <v>600</v>
      </c>
      <c r="G60" s="425" t="s">
        <v>715</v>
      </c>
      <c r="H60" s="425" t="s">
        <v>716</v>
      </c>
      <c r="I60" s="427">
        <v>11.069999694824219</v>
      </c>
      <c r="J60" s="427">
        <v>300</v>
      </c>
      <c r="K60" s="428">
        <v>3321.449951171875</v>
      </c>
    </row>
    <row r="61" spans="1:11" ht="14.4" customHeight="1" x14ac:dyDescent="0.3">
      <c r="A61" s="423" t="s">
        <v>563</v>
      </c>
      <c r="B61" s="424" t="s">
        <v>564</v>
      </c>
      <c r="C61" s="425" t="s">
        <v>580</v>
      </c>
      <c r="D61" s="426" t="s">
        <v>581</v>
      </c>
      <c r="E61" s="425" t="s">
        <v>599</v>
      </c>
      <c r="F61" s="426" t="s">
        <v>600</v>
      </c>
      <c r="G61" s="425" t="s">
        <v>641</v>
      </c>
      <c r="H61" s="425" t="s">
        <v>642</v>
      </c>
      <c r="I61" s="427">
        <v>14.649999618530273</v>
      </c>
      <c r="J61" s="427">
        <v>100</v>
      </c>
      <c r="K61" s="428">
        <v>1465.260009765625</v>
      </c>
    </row>
    <row r="62" spans="1:11" ht="14.4" customHeight="1" x14ac:dyDescent="0.3">
      <c r="A62" s="423" t="s">
        <v>563</v>
      </c>
      <c r="B62" s="424" t="s">
        <v>564</v>
      </c>
      <c r="C62" s="425" t="s">
        <v>580</v>
      </c>
      <c r="D62" s="426" t="s">
        <v>581</v>
      </c>
      <c r="E62" s="425" t="s">
        <v>599</v>
      </c>
      <c r="F62" s="426" t="s">
        <v>600</v>
      </c>
      <c r="G62" s="425" t="s">
        <v>647</v>
      </c>
      <c r="H62" s="425" t="s">
        <v>648</v>
      </c>
      <c r="I62" s="427">
        <v>7.429999828338623</v>
      </c>
      <c r="J62" s="427">
        <v>500</v>
      </c>
      <c r="K62" s="428">
        <v>3715</v>
      </c>
    </row>
    <row r="63" spans="1:11" ht="14.4" customHeight="1" x14ac:dyDescent="0.3">
      <c r="A63" s="423" t="s">
        <v>563</v>
      </c>
      <c r="B63" s="424" t="s">
        <v>564</v>
      </c>
      <c r="C63" s="425" t="s">
        <v>580</v>
      </c>
      <c r="D63" s="426" t="s">
        <v>581</v>
      </c>
      <c r="E63" s="425" t="s">
        <v>599</v>
      </c>
      <c r="F63" s="426" t="s">
        <v>600</v>
      </c>
      <c r="G63" s="425" t="s">
        <v>717</v>
      </c>
      <c r="H63" s="425" t="s">
        <v>718</v>
      </c>
      <c r="I63" s="427">
        <v>78.650001525878906</v>
      </c>
      <c r="J63" s="427">
        <v>50</v>
      </c>
      <c r="K63" s="428">
        <v>3932.5</v>
      </c>
    </row>
    <row r="64" spans="1:11" ht="14.4" customHeight="1" x14ac:dyDescent="0.3">
      <c r="A64" s="423" t="s">
        <v>563</v>
      </c>
      <c r="B64" s="424" t="s">
        <v>564</v>
      </c>
      <c r="C64" s="425" t="s">
        <v>580</v>
      </c>
      <c r="D64" s="426" t="s">
        <v>581</v>
      </c>
      <c r="E64" s="425" t="s">
        <v>599</v>
      </c>
      <c r="F64" s="426" t="s">
        <v>600</v>
      </c>
      <c r="G64" s="425" t="s">
        <v>719</v>
      </c>
      <c r="H64" s="425" t="s">
        <v>720</v>
      </c>
      <c r="I64" s="427">
        <v>84.699996948242188</v>
      </c>
      <c r="J64" s="427">
        <v>120</v>
      </c>
      <c r="K64" s="428">
        <v>10164</v>
      </c>
    </row>
    <row r="65" spans="1:11" ht="14.4" customHeight="1" x14ac:dyDescent="0.3">
      <c r="A65" s="423" t="s">
        <v>563</v>
      </c>
      <c r="B65" s="424" t="s">
        <v>564</v>
      </c>
      <c r="C65" s="425" t="s">
        <v>580</v>
      </c>
      <c r="D65" s="426" t="s">
        <v>581</v>
      </c>
      <c r="E65" s="425" t="s">
        <v>599</v>
      </c>
      <c r="F65" s="426" t="s">
        <v>600</v>
      </c>
      <c r="G65" s="425" t="s">
        <v>721</v>
      </c>
      <c r="H65" s="425" t="s">
        <v>722</v>
      </c>
      <c r="I65" s="427">
        <v>87.120002746582031</v>
      </c>
      <c r="J65" s="427">
        <v>350</v>
      </c>
      <c r="K65" s="428">
        <v>30491.9990234375</v>
      </c>
    </row>
    <row r="66" spans="1:11" ht="14.4" customHeight="1" x14ac:dyDescent="0.3">
      <c r="A66" s="423" t="s">
        <v>563</v>
      </c>
      <c r="B66" s="424" t="s">
        <v>564</v>
      </c>
      <c r="C66" s="425" t="s">
        <v>580</v>
      </c>
      <c r="D66" s="426" t="s">
        <v>581</v>
      </c>
      <c r="E66" s="425" t="s">
        <v>599</v>
      </c>
      <c r="F66" s="426" t="s">
        <v>600</v>
      </c>
      <c r="G66" s="425" t="s">
        <v>723</v>
      </c>
      <c r="H66" s="425" t="s">
        <v>724</v>
      </c>
      <c r="I66" s="427">
        <v>71.389999389648437</v>
      </c>
      <c r="J66" s="427">
        <v>50</v>
      </c>
      <c r="K66" s="428">
        <v>3569.5</v>
      </c>
    </row>
    <row r="67" spans="1:11" ht="14.4" customHeight="1" x14ac:dyDescent="0.3">
      <c r="A67" s="423" t="s">
        <v>563</v>
      </c>
      <c r="B67" s="424" t="s">
        <v>564</v>
      </c>
      <c r="C67" s="425" t="s">
        <v>580</v>
      </c>
      <c r="D67" s="426" t="s">
        <v>581</v>
      </c>
      <c r="E67" s="425" t="s">
        <v>599</v>
      </c>
      <c r="F67" s="426" t="s">
        <v>600</v>
      </c>
      <c r="G67" s="425" t="s">
        <v>725</v>
      </c>
      <c r="H67" s="425" t="s">
        <v>726</v>
      </c>
      <c r="I67" s="427">
        <v>71.389999389648437</v>
      </c>
      <c r="J67" s="427">
        <v>50</v>
      </c>
      <c r="K67" s="428">
        <v>3569.5</v>
      </c>
    </row>
    <row r="68" spans="1:11" ht="14.4" customHeight="1" x14ac:dyDescent="0.3">
      <c r="A68" s="423" t="s">
        <v>563</v>
      </c>
      <c r="B68" s="424" t="s">
        <v>564</v>
      </c>
      <c r="C68" s="425" t="s">
        <v>580</v>
      </c>
      <c r="D68" s="426" t="s">
        <v>581</v>
      </c>
      <c r="E68" s="425" t="s">
        <v>599</v>
      </c>
      <c r="F68" s="426" t="s">
        <v>600</v>
      </c>
      <c r="G68" s="425" t="s">
        <v>651</v>
      </c>
      <c r="H68" s="425" t="s">
        <v>652</v>
      </c>
      <c r="I68" s="427">
        <v>71.389999389648437</v>
      </c>
      <c r="J68" s="427">
        <v>50</v>
      </c>
      <c r="K68" s="428">
        <v>3569.5</v>
      </c>
    </row>
    <row r="69" spans="1:11" ht="14.4" customHeight="1" x14ac:dyDescent="0.3">
      <c r="A69" s="423" t="s">
        <v>563</v>
      </c>
      <c r="B69" s="424" t="s">
        <v>564</v>
      </c>
      <c r="C69" s="425" t="s">
        <v>580</v>
      </c>
      <c r="D69" s="426" t="s">
        <v>581</v>
      </c>
      <c r="E69" s="425" t="s">
        <v>669</v>
      </c>
      <c r="F69" s="426" t="s">
        <v>670</v>
      </c>
      <c r="G69" s="425" t="s">
        <v>673</v>
      </c>
      <c r="H69" s="425" t="s">
        <v>674</v>
      </c>
      <c r="I69" s="427">
        <v>0.54000002145767212</v>
      </c>
      <c r="J69" s="427">
        <v>1000</v>
      </c>
      <c r="K69" s="428">
        <v>540</v>
      </c>
    </row>
    <row r="70" spans="1:11" ht="14.4" customHeight="1" x14ac:dyDescent="0.3">
      <c r="A70" s="423" t="s">
        <v>563</v>
      </c>
      <c r="B70" s="424" t="s">
        <v>564</v>
      </c>
      <c r="C70" s="425" t="s">
        <v>580</v>
      </c>
      <c r="D70" s="426" t="s">
        <v>581</v>
      </c>
      <c r="E70" s="425" t="s">
        <v>677</v>
      </c>
      <c r="F70" s="426" t="s">
        <v>678</v>
      </c>
      <c r="G70" s="425" t="s">
        <v>727</v>
      </c>
      <c r="H70" s="425" t="s">
        <v>728</v>
      </c>
      <c r="I70" s="427">
        <v>15.729999542236328</v>
      </c>
      <c r="J70" s="427">
        <v>1500</v>
      </c>
      <c r="K70" s="428">
        <v>23595</v>
      </c>
    </row>
    <row r="71" spans="1:11" ht="14.4" customHeight="1" x14ac:dyDescent="0.3">
      <c r="A71" s="423" t="s">
        <v>563</v>
      </c>
      <c r="B71" s="424" t="s">
        <v>564</v>
      </c>
      <c r="C71" s="425" t="s">
        <v>580</v>
      </c>
      <c r="D71" s="426" t="s">
        <v>581</v>
      </c>
      <c r="E71" s="425" t="s">
        <v>677</v>
      </c>
      <c r="F71" s="426" t="s">
        <v>678</v>
      </c>
      <c r="G71" s="425" t="s">
        <v>729</v>
      </c>
      <c r="H71" s="425" t="s">
        <v>730</v>
      </c>
      <c r="I71" s="427">
        <v>15.729999542236328</v>
      </c>
      <c r="J71" s="427">
        <v>200</v>
      </c>
      <c r="K71" s="428">
        <v>3146</v>
      </c>
    </row>
    <row r="72" spans="1:11" ht="14.4" customHeight="1" x14ac:dyDescent="0.3">
      <c r="A72" s="423" t="s">
        <v>563</v>
      </c>
      <c r="B72" s="424" t="s">
        <v>564</v>
      </c>
      <c r="C72" s="425" t="s">
        <v>580</v>
      </c>
      <c r="D72" s="426" t="s">
        <v>581</v>
      </c>
      <c r="E72" s="425" t="s">
        <v>677</v>
      </c>
      <c r="F72" s="426" t="s">
        <v>678</v>
      </c>
      <c r="G72" s="425" t="s">
        <v>731</v>
      </c>
      <c r="H72" s="425" t="s">
        <v>732</v>
      </c>
      <c r="I72" s="427">
        <v>15.729999542236328</v>
      </c>
      <c r="J72" s="427">
        <v>200</v>
      </c>
      <c r="K72" s="428">
        <v>3146</v>
      </c>
    </row>
    <row r="73" spans="1:11" ht="14.4" customHeight="1" x14ac:dyDescent="0.3">
      <c r="A73" s="423" t="s">
        <v>563</v>
      </c>
      <c r="B73" s="424" t="s">
        <v>564</v>
      </c>
      <c r="C73" s="425" t="s">
        <v>583</v>
      </c>
      <c r="D73" s="426" t="s">
        <v>584</v>
      </c>
      <c r="E73" s="425" t="s">
        <v>733</v>
      </c>
      <c r="F73" s="426" t="s">
        <v>734</v>
      </c>
      <c r="G73" s="425" t="s">
        <v>735</v>
      </c>
      <c r="H73" s="425" t="s">
        <v>736</v>
      </c>
      <c r="I73" s="427">
        <v>1830.800048828125</v>
      </c>
      <c r="J73" s="427">
        <v>1</v>
      </c>
      <c r="K73" s="428">
        <v>1830.800048828125</v>
      </c>
    </row>
    <row r="74" spans="1:11" ht="14.4" customHeight="1" x14ac:dyDescent="0.3">
      <c r="A74" s="423" t="s">
        <v>563</v>
      </c>
      <c r="B74" s="424" t="s">
        <v>564</v>
      </c>
      <c r="C74" s="425" t="s">
        <v>583</v>
      </c>
      <c r="D74" s="426" t="s">
        <v>584</v>
      </c>
      <c r="E74" s="425" t="s">
        <v>733</v>
      </c>
      <c r="F74" s="426" t="s">
        <v>734</v>
      </c>
      <c r="G74" s="425" t="s">
        <v>737</v>
      </c>
      <c r="H74" s="425" t="s">
        <v>738</v>
      </c>
      <c r="I74" s="427">
        <v>238.5</v>
      </c>
      <c r="J74" s="427">
        <v>1</v>
      </c>
      <c r="K74" s="428">
        <v>238.5</v>
      </c>
    </row>
    <row r="75" spans="1:11" ht="14.4" customHeight="1" x14ac:dyDescent="0.3">
      <c r="A75" s="423" t="s">
        <v>563</v>
      </c>
      <c r="B75" s="424" t="s">
        <v>564</v>
      </c>
      <c r="C75" s="425" t="s">
        <v>583</v>
      </c>
      <c r="D75" s="426" t="s">
        <v>584</v>
      </c>
      <c r="E75" s="425" t="s">
        <v>733</v>
      </c>
      <c r="F75" s="426" t="s">
        <v>734</v>
      </c>
      <c r="G75" s="425" t="s">
        <v>739</v>
      </c>
      <c r="H75" s="425" t="s">
        <v>740</v>
      </c>
      <c r="I75" s="427">
        <v>83.05999755859375</v>
      </c>
      <c r="J75" s="427">
        <v>1</v>
      </c>
      <c r="K75" s="428">
        <v>83.05999755859375</v>
      </c>
    </row>
    <row r="76" spans="1:11" ht="14.4" customHeight="1" x14ac:dyDescent="0.3">
      <c r="A76" s="423" t="s">
        <v>563</v>
      </c>
      <c r="B76" s="424" t="s">
        <v>564</v>
      </c>
      <c r="C76" s="425" t="s">
        <v>583</v>
      </c>
      <c r="D76" s="426" t="s">
        <v>584</v>
      </c>
      <c r="E76" s="425" t="s">
        <v>733</v>
      </c>
      <c r="F76" s="426" t="s">
        <v>734</v>
      </c>
      <c r="G76" s="425" t="s">
        <v>741</v>
      </c>
      <c r="H76" s="425" t="s">
        <v>742</v>
      </c>
      <c r="I76" s="427">
        <v>181.5</v>
      </c>
      <c r="J76" s="427">
        <v>1</v>
      </c>
      <c r="K76" s="428">
        <v>181.5</v>
      </c>
    </row>
    <row r="77" spans="1:11" ht="14.4" customHeight="1" x14ac:dyDescent="0.3">
      <c r="A77" s="423" t="s">
        <v>563</v>
      </c>
      <c r="B77" s="424" t="s">
        <v>564</v>
      </c>
      <c r="C77" s="425" t="s">
        <v>583</v>
      </c>
      <c r="D77" s="426" t="s">
        <v>584</v>
      </c>
      <c r="E77" s="425" t="s">
        <v>733</v>
      </c>
      <c r="F77" s="426" t="s">
        <v>734</v>
      </c>
      <c r="G77" s="425" t="s">
        <v>743</v>
      </c>
      <c r="H77" s="425" t="s">
        <v>744</v>
      </c>
      <c r="I77" s="427">
        <v>210.53999328613281</v>
      </c>
      <c r="J77" s="427">
        <v>1</v>
      </c>
      <c r="K77" s="428">
        <v>210.53999328613281</v>
      </c>
    </row>
    <row r="78" spans="1:11" ht="14.4" customHeight="1" x14ac:dyDescent="0.3">
      <c r="A78" s="423" t="s">
        <v>563</v>
      </c>
      <c r="B78" s="424" t="s">
        <v>564</v>
      </c>
      <c r="C78" s="425" t="s">
        <v>583</v>
      </c>
      <c r="D78" s="426" t="s">
        <v>584</v>
      </c>
      <c r="E78" s="425" t="s">
        <v>733</v>
      </c>
      <c r="F78" s="426" t="s">
        <v>734</v>
      </c>
      <c r="G78" s="425" t="s">
        <v>745</v>
      </c>
      <c r="H78" s="425" t="s">
        <v>746</v>
      </c>
      <c r="I78" s="427">
        <v>2132</v>
      </c>
      <c r="J78" s="427">
        <v>1</v>
      </c>
      <c r="K78" s="428">
        <v>2132</v>
      </c>
    </row>
    <row r="79" spans="1:11" ht="14.4" customHeight="1" x14ac:dyDescent="0.3">
      <c r="A79" s="423" t="s">
        <v>563</v>
      </c>
      <c r="B79" s="424" t="s">
        <v>564</v>
      </c>
      <c r="C79" s="425" t="s">
        <v>583</v>
      </c>
      <c r="D79" s="426" t="s">
        <v>584</v>
      </c>
      <c r="E79" s="425" t="s">
        <v>733</v>
      </c>
      <c r="F79" s="426" t="s">
        <v>734</v>
      </c>
      <c r="G79" s="425" t="s">
        <v>747</v>
      </c>
      <c r="H79" s="425" t="s">
        <v>748</v>
      </c>
      <c r="I79" s="427">
        <v>161</v>
      </c>
      <c r="J79" s="427">
        <v>1</v>
      </c>
      <c r="K79" s="428">
        <v>161</v>
      </c>
    </row>
    <row r="80" spans="1:11" ht="14.4" customHeight="1" x14ac:dyDescent="0.3">
      <c r="A80" s="423" t="s">
        <v>563</v>
      </c>
      <c r="B80" s="424" t="s">
        <v>564</v>
      </c>
      <c r="C80" s="425" t="s">
        <v>583</v>
      </c>
      <c r="D80" s="426" t="s">
        <v>584</v>
      </c>
      <c r="E80" s="425" t="s">
        <v>599</v>
      </c>
      <c r="F80" s="426" t="s">
        <v>600</v>
      </c>
      <c r="G80" s="425" t="s">
        <v>749</v>
      </c>
      <c r="H80" s="425" t="s">
        <v>750</v>
      </c>
      <c r="I80" s="427">
        <v>0.63999998569488525</v>
      </c>
      <c r="J80" s="427">
        <v>500</v>
      </c>
      <c r="K80" s="428">
        <v>317.6300048828125</v>
      </c>
    </row>
    <row r="81" spans="1:11" ht="14.4" customHeight="1" x14ac:dyDescent="0.3">
      <c r="A81" s="423" t="s">
        <v>563</v>
      </c>
      <c r="B81" s="424" t="s">
        <v>564</v>
      </c>
      <c r="C81" s="425" t="s">
        <v>596</v>
      </c>
      <c r="D81" s="426" t="s">
        <v>597</v>
      </c>
      <c r="E81" s="425" t="s">
        <v>733</v>
      </c>
      <c r="F81" s="426" t="s">
        <v>734</v>
      </c>
      <c r="G81" s="425" t="s">
        <v>751</v>
      </c>
      <c r="H81" s="425" t="s">
        <v>752</v>
      </c>
      <c r="I81" s="427">
        <v>122.44000244140625</v>
      </c>
      <c r="J81" s="427">
        <v>8</v>
      </c>
      <c r="K81" s="428">
        <v>979.47998046875</v>
      </c>
    </row>
    <row r="82" spans="1:11" ht="14.4" customHeight="1" thickBot="1" x14ac:dyDescent="0.35">
      <c r="A82" s="429" t="s">
        <v>563</v>
      </c>
      <c r="B82" s="430" t="s">
        <v>564</v>
      </c>
      <c r="C82" s="431" t="s">
        <v>596</v>
      </c>
      <c r="D82" s="432" t="s">
        <v>597</v>
      </c>
      <c r="E82" s="431" t="s">
        <v>697</v>
      </c>
      <c r="F82" s="432" t="s">
        <v>698</v>
      </c>
      <c r="G82" s="431" t="s">
        <v>753</v>
      </c>
      <c r="H82" s="431" t="s">
        <v>754</v>
      </c>
      <c r="I82" s="433">
        <v>98.010002136230469</v>
      </c>
      <c r="J82" s="433">
        <v>3</v>
      </c>
      <c r="K82" s="434">
        <v>294.02999877929687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2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31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198" customWidth="1"/>
    <col min="18" max="18" width="7.33203125" style="230" customWidth="1"/>
    <col min="19" max="19" width="8" style="198" customWidth="1"/>
    <col min="21" max="21" width="11.21875" bestFit="1" customWidth="1"/>
  </cols>
  <sheetData>
    <row r="1" spans="1:19" ht="18.600000000000001" thickBot="1" x14ac:dyDescent="0.4">
      <c r="A1" s="335" t="s">
        <v>87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</row>
    <row r="2" spans="1:19" ht="15" thickBot="1" x14ac:dyDescent="0.35">
      <c r="A2" s="199" t="s">
        <v>218</v>
      </c>
      <c r="B2" s="200"/>
    </row>
    <row r="3" spans="1:19" x14ac:dyDescent="0.3">
      <c r="A3" s="347" t="s">
        <v>150</v>
      </c>
      <c r="B3" s="348"/>
      <c r="C3" s="349" t="s">
        <v>139</v>
      </c>
      <c r="D3" s="350"/>
      <c r="E3" s="350"/>
      <c r="F3" s="351"/>
      <c r="G3" s="352" t="s">
        <v>140</v>
      </c>
      <c r="H3" s="353"/>
      <c r="I3" s="353"/>
      <c r="J3" s="354"/>
      <c r="K3" s="355" t="s">
        <v>149</v>
      </c>
      <c r="L3" s="356"/>
      <c r="M3" s="356"/>
      <c r="N3" s="356"/>
      <c r="O3" s="357"/>
      <c r="P3" s="353" t="s">
        <v>193</v>
      </c>
      <c r="Q3" s="353"/>
      <c r="R3" s="353"/>
      <c r="S3" s="354"/>
    </row>
    <row r="4" spans="1:19" ht="15" thickBot="1" x14ac:dyDescent="0.35">
      <c r="A4" s="327">
        <v>2019</v>
      </c>
      <c r="B4" s="328"/>
      <c r="C4" s="329" t="s">
        <v>192</v>
      </c>
      <c r="D4" s="331" t="s">
        <v>88</v>
      </c>
      <c r="E4" s="331" t="s">
        <v>56</v>
      </c>
      <c r="F4" s="333" t="s">
        <v>49</v>
      </c>
      <c r="G4" s="321" t="s">
        <v>141</v>
      </c>
      <c r="H4" s="323" t="s">
        <v>145</v>
      </c>
      <c r="I4" s="323" t="s">
        <v>191</v>
      </c>
      <c r="J4" s="325" t="s">
        <v>142</v>
      </c>
      <c r="K4" s="344" t="s">
        <v>190</v>
      </c>
      <c r="L4" s="345"/>
      <c r="M4" s="345"/>
      <c r="N4" s="346"/>
      <c r="O4" s="333" t="s">
        <v>189</v>
      </c>
      <c r="P4" s="336" t="s">
        <v>188</v>
      </c>
      <c r="Q4" s="336" t="s">
        <v>152</v>
      </c>
      <c r="R4" s="338" t="s">
        <v>56</v>
      </c>
      <c r="S4" s="340" t="s">
        <v>151</v>
      </c>
    </row>
    <row r="5" spans="1:19" s="265" customFormat="1" ht="19.2" customHeight="1" x14ac:dyDescent="0.3">
      <c r="A5" s="342" t="s">
        <v>187</v>
      </c>
      <c r="B5" s="343"/>
      <c r="C5" s="330"/>
      <c r="D5" s="332"/>
      <c r="E5" s="332"/>
      <c r="F5" s="334"/>
      <c r="G5" s="322"/>
      <c r="H5" s="324"/>
      <c r="I5" s="324"/>
      <c r="J5" s="326"/>
      <c r="K5" s="268" t="s">
        <v>143</v>
      </c>
      <c r="L5" s="267" t="s">
        <v>144</v>
      </c>
      <c r="M5" s="267" t="s">
        <v>186</v>
      </c>
      <c r="N5" s="266" t="s">
        <v>3</v>
      </c>
      <c r="O5" s="334"/>
      <c r="P5" s="337"/>
      <c r="Q5" s="337"/>
      <c r="R5" s="339"/>
      <c r="S5" s="341"/>
    </row>
    <row r="6" spans="1:19" ht="15" thickBot="1" x14ac:dyDescent="0.35">
      <c r="A6" s="319" t="s">
        <v>138</v>
      </c>
      <c r="B6" s="320"/>
      <c r="C6" s="264">
        <f ca="1">SUM(Tabulka[01 uv_sk])/2</f>
        <v>85.02000000000001</v>
      </c>
      <c r="D6" s="262"/>
      <c r="E6" s="262"/>
      <c r="F6" s="261"/>
      <c r="G6" s="263">
        <f ca="1">SUM(Tabulka[05 h_vram])/2</f>
        <v>66589.03</v>
      </c>
      <c r="H6" s="262">
        <f ca="1">SUM(Tabulka[06 h_naduv])/2</f>
        <v>710</v>
      </c>
      <c r="I6" s="262">
        <f ca="1">SUM(Tabulka[07 h_nadzk])/2</f>
        <v>82.3</v>
      </c>
      <c r="J6" s="261">
        <f ca="1">SUM(Tabulka[08 h_oon])/2</f>
        <v>351</v>
      </c>
      <c r="K6" s="263">
        <f ca="1">SUM(Tabulka[09 m_kl])/2</f>
        <v>0</v>
      </c>
      <c r="L6" s="262">
        <f ca="1">SUM(Tabulka[10 m_gr])/2</f>
        <v>0</v>
      </c>
      <c r="M6" s="262">
        <f ca="1">SUM(Tabulka[11 m_jo])/2</f>
        <v>25728</v>
      </c>
      <c r="N6" s="262">
        <f ca="1">SUM(Tabulka[12 m_oc])/2</f>
        <v>25728</v>
      </c>
      <c r="O6" s="261">
        <f ca="1">SUM(Tabulka[13 m_sk])/2</f>
        <v>15102576</v>
      </c>
      <c r="P6" s="260">
        <f ca="1">SUM(Tabulka[14_vzsk])/2</f>
        <v>41280</v>
      </c>
      <c r="Q6" s="260">
        <f ca="1">SUM(Tabulka[15_vzpl])/2</f>
        <v>45255.37634408602</v>
      </c>
      <c r="R6" s="259">
        <f ca="1">IF(Q6=0,0,P6/Q6)</f>
        <v>0.91215681615681621</v>
      </c>
      <c r="S6" s="258">
        <f ca="1">Q6-P6</f>
        <v>3975.3763440860203</v>
      </c>
    </row>
    <row r="7" spans="1:19" hidden="1" x14ac:dyDescent="0.3">
      <c r="A7" s="257" t="s">
        <v>185</v>
      </c>
      <c r="B7" s="256" t="s">
        <v>184</v>
      </c>
      <c r="C7" s="255" t="s">
        <v>183</v>
      </c>
      <c r="D7" s="254" t="s">
        <v>182</v>
      </c>
      <c r="E7" s="253" t="s">
        <v>181</v>
      </c>
      <c r="F7" s="252" t="s">
        <v>180</v>
      </c>
      <c r="G7" s="251" t="s">
        <v>179</v>
      </c>
      <c r="H7" s="249" t="s">
        <v>178</v>
      </c>
      <c r="I7" s="249" t="s">
        <v>177</v>
      </c>
      <c r="J7" s="248" t="s">
        <v>176</v>
      </c>
      <c r="K7" s="250" t="s">
        <v>175</v>
      </c>
      <c r="L7" s="249" t="s">
        <v>174</v>
      </c>
      <c r="M7" s="249" t="s">
        <v>173</v>
      </c>
      <c r="N7" s="248" t="s">
        <v>172</v>
      </c>
      <c r="O7" s="247" t="s">
        <v>171</v>
      </c>
      <c r="P7" s="246" t="s">
        <v>170</v>
      </c>
      <c r="Q7" s="245" t="s">
        <v>169</v>
      </c>
      <c r="R7" s="244" t="s">
        <v>168</v>
      </c>
      <c r="S7" s="243" t="s">
        <v>167</v>
      </c>
    </row>
    <row r="8" spans="1:19" x14ac:dyDescent="0.3">
      <c r="A8" s="240" t="s">
        <v>166</v>
      </c>
      <c r="B8" s="239"/>
      <c r="C8" s="23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28.97</v>
      </c>
      <c r="D8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3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22590.48</v>
      </c>
      <c r="H8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390</v>
      </c>
      <c r="I8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73.8</v>
      </c>
      <c r="J8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207</v>
      </c>
      <c r="K8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17102</v>
      </c>
      <c r="N8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17102</v>
      </c>
      <c r="O8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7211841</v>
      </c>
      <c r="P8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37800</v>
      </c>
      <c r="Q8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36505.37634408602</v>
      </c>
      <c r="R8" s="242">
        <f ca="1">IF(Tabulka[[#This Row],[15_vzpl]]=0,"",Tabulka[[#This Row],[14_vzsk]]/Tabulka[[#This Row],[15_vzpl]])</f>
        <v>1.0354639175257732</v>
      </c>
      <c r="S8" s="241">
        <f ca="1">IF(Tabulka[[#This Row],[15_vzpl]]-Tabulka[[#This Row],[14_vzsk]]=0,"",Tabulka[[#This Row],[15_vzpl]]-Tabulka[[#This Row],[14_vzsk]])</f>
        <v>-1294.6236559139797</v>
      </c>
    </row>
    <row r="9" spans="1:19" x14ac:dyDescent="0.3">
      <c r="A9" s="240">
        <v>99</v>
      </c>
      <c r="B9" s="239" t="s">
        <v>764</v>
      </c>
      <c r="C9" s="23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3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37800</v>
      </c>
      <c r="Q9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36505.37634408602</v>
      </c>
      <c r="R9" s="242">
        <f ca="1">IF(Tabulka[[#This Row],[15_vzpl]]=0,"",Tabulka[[#This Row],[14_vzsk]]/Tabulka[[#This Row],[15_vzpl]])</f>
        <v>1.0354639175257732</v>
      </c>
      <c r="S9" s="241">
        <f ca="1">IF(Tabulka[[#This Row],[15_vzpl]]-Tabulka[[#This Row],[14_vzsk]]=0,"",Tabulka[[#This Row],[15_vzpl]]-Tabulka[[#This Row],[14_vzsk]])</f>
        <v>-1294.6236559139797</v>
      </c>
    </row>
    <row r="10" spans="1:19" x14ac:dyDescent="0.3">
      <c r="A10" s="240">
        <v>203</v>
      </c>
      <c r="B10" s="239" t="s">
        <v>765</v>
      </c>
      <c r="C10" s="23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28.97</v>
      </c>
      <c r="D10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3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22590.48</v>
      </c>
      <c r="H10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390</v>
      </c>
      <c r="I10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73.8</v>
      </c>
      <c r="J10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207</v>
      </c>
      <c r="K10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17102</v>
      </c>
      <c r="N10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17102</v>
      </c>
      <c r="O10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7211841</v>
      </c>
      <c r="P10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42" t="str">
        <f ca="1">IF(Tabulka[[#This Row],[15_vzpl]]=0,"",Tabulka[[#This Row],[14_vzsk]]/Tabulka[[#This Row],[15_vzpl]])</f>
        <v/>
      </c>
      <c r="S10" s="241" t="str">
        <f ca="1">IF(Tabulka[[#This Row],[15_vzpl]]-Tabulka[[#This Row],[14_vzsk]]=0,"",Tabulka[[#This Row],[15_vzpl]]-Tabulka[[#This Row],[14_vzsk]])</f>
        <v/>
      </c>
    </row>
    <row r="11" spans="1:19" x14ac:dyDescent="0.3">
      <c r="A11" s="240" t="s">
        <v>756</v>
      </c>
      <c r="B11" s="239"/>
      <c r="C11" s="23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55.05</v>
      </c>
      <c r="D11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3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43166.55</v>
      </c>
      <c r="H11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320</v>
      </c>
      <c r="I11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8.5</v>
      </c>
      <c r="J11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</v>
      </c>
      <c r="K11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8626</v>
      </c>
      <c r="N11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8626</v>
      </c>
      <c r="O11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7729038</v>
      </c>
      <c r="P11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3480</v>
      </c>
      <c r="Q11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8750</v>
      </c>
      <c r="R11" s="242">
        <f ca="1">IF(Tabulka[[#This Row],[15_vzpl]]=0,"",Tabulka[[#This Row],[14_vzsk]]/Tabulka[[#This Row],[15_vzpl]])</f>
        <v>0.39771428571428569</v>
      </c>
      <c r="S11" s="241">
        <f ca="1">IF(Tabulka[[#This Row],[15_vzpl]]-Tabulka[[#This Row],[14_vzsk]]=0,"",Tabulka[[#This Row],[15_vzpl]]-Tabulka[[#This Row],[14_vzsk]])</f>
        <v>5270</v>
      </c>
    </row>
    <row r="12" spans="1:19" x14ac:dyDescent="0.3">
      <c r="A12" s="240">
        <v>303</v>
      </c>
      <c r="B12" s="239" t="s">
        <v>766</v>
      </c>
      <c r="C12" s="23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2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3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2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2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3480</v>
      </c>
      <c r="Q12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8750</v>
      </c>
      <c r="R12" s="242">
        <f ca="1">IF(Tabulka[[#This Row],[15_vzpl]]=0,"",Tabulka[[#This Row],[14_vzsk]]/Tabulka[[#This Row],[15_vzpl]])</f>
        <v>0.39771428571428569</v>
      </c>
      <c r="S12" s="241">
        <f ca="1">IF(Tabulka[[#This Row],[15_vzpl]]-Tabulka[[#This Row],[14_vzsk]]=0,"",Tabulka[[#This Row],[15_vzpl]]-Tabulka[[#This Row],[14_vzsk]])</f>
        <v>5270</v>
      </c>
    </row>
    <row r="13" spans="1:19" x14ac:dyDescent="0.3">
      <c r="A13" s="240">
        <v>419</v>
      </c>
      <c r="B13" s="239" t="s">
        <v>767</v>
      </c>
      <c r="C13" s="23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28.25</v>
      </c>
      <c r="D13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3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23066.55</v>
      </c>
      <c r="H13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311.5</v>
      </c>
      <c r="I13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8.5</v>
      </c>
      <c r="J13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</v>
      </c>
      <c r="K13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4892529</v>
      </c>
      <c r="P13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42" t="str">
        <f ca="1">IF(Tabulka[[#This Row],[15_vzpl]]=0,"",Tabulka[[#This Row],[14_vzsk]]/Tabulka[[#This Row],[15_vzpl]])</f>
        <v/>
      </c>
      <c r="S13" s="241" t="str">
        <f ca="1">IF(Tabulka[[#This Row],[15_vzpl]]-Tabulka[[#This Row],[14_vzsk]]=0,"",Tabulka[[#This Row],[15_vzpl]]-Tabulka[[#This Row],[14_vzsk]])</f>
        <v/>
      </c>
    </row>
    <row r="14" spans="1:19" x14ac:dyDescent="0.3">
      <c r="A14" s="240">
        <v>642</v>
      </c>
      <c r="B14" s="239" t="s">
        <v>768</v>
      </c>
      <c r="C14" s="23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26.8</v>
      </c>
      <c r="D14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3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20100</v>
      </c>
      <c r="H14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8.5</v>
      </c>
      <c r="I14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8626</v>
      </c>
      <c r="N14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8626</v>
      </c>
      <c r="O14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2836509</v>
      </c>
      <c r="P14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42" t="str">
        <f ca="1">IF(Tabulka[[#This Row],[15_vzpl]]=0,"",Tabulka[[#This Row],[14_vzsk]]/Tabulka[[#This Row],[15_vzpl]])</f>
        <v/>
      </c>
      <c r="S14" s="241" t="str">
        <f ca="1">IF(Tabulka[[#This Row],[15_vzpl]]-Tabulka[[#This Row],[14_vzsk]]=0,"",Tabulka[[#This Row],[15_vzpl]]-Tabulka[[#This Row],[14_vzsk]])</f>
        <v/>
      </c>
    </row>
    <row r="15" spans="1:19" x14ac:dyDescent="0.3">
      <c r="A15" s="240" t="s">
        <v>757</v>
      </c>
      <c r="B15" s="239"/>
      <c r="C15" s="23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5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3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832</v>
      </c>
      <c r="H15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161697</v>
      </c>
      <c r="P15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42" t="str">
        <f ca="1">IF(Tabulka[[#This Row],[15_vzpl]]=0,"",Tabulka[[#This Row],[14_vzsk]]/Tabulka[[#This Row],[15_vzpl]])</f>
        <v/>
      </c>
      <c r="S15" s="241" t="str">
        <f ca="1">IF(Tabulka[[#This Row],[15_vzpl]]-Tabulka[[#This Row],[14_vzsk]]=0,"",Tabulka[[#This Row],[15_vzpl]]-Tabulka[[#This Row],[14_vzsk]])</f>
        <v/>
      </c>
    </row>
    <row r="16" spans="1:19" x14ac:dyDescent="0.3">
      <c r="A16" s="240">
        <v>30</v>
      </c>
      <c r="B16" s="239" t="s">
        <v>769</v>
      </c>
      <c r="C16" s="23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6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3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832</v>
      </c>
      <c r="H16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161697</v>
      </c>
      <c r="P16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42" t="str">
        <f ca="1">IF(Tabulka[[#This Row],[15_vzpl]]=0,"",Tabulka[[#This Row],[14_vzsk]]/Tabulka[[#This Row],[15_vzpl]])</f>
        <v/>
      </c>
      <c r="S16" s="241" t="str">
        <f ca="1">IF(Tabulka[[#This Row],[15_vzpl]]-Tabulka[[#This Row],[14_vzsk]]=0,"",Tabulka[[#This Row],[15_vzpl]]-Tabulka[[#This Row],[14_vzsk]])</f>
        <v/>
      </c>
    </row>
    <row r="17" spans="1:1" x14ac:dyDescent="0.3">
      <c r="A17" t="s">
        <v>195</v>
      </c>
    </row>
    <row r="18" spans="1:1" x14ac:dyDescent="0.3">
      <c r="A18" s="88" t="s">
        <v>122</v>
      </c>
    </row>
    <row r="19" spans="1:1" x14ac:dyDescent="0.3">
      <c r="A19" s="89" t="s">
        <v>165</v>
      </c>
    </row>
    <row r="20" spans="1:1" x14ac:dyDescent="0.3">
      <c r="A20" s="232" t="s">
        <v>164</v>
      </c>
    </row>
    <row r="21" spans="1:1" x14ac:dyDescent="0.3">
      <c r="A21" s="202" t="s">
        <v>148</v>
      </c>
    </row>
    <row r="22" spans="1:1" x14ac:dyDescent="0.3">
      <c r="A22" s="204" t="s">
        <v>153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6">
    <cfRule type="cellIs" dxfId="4" priority="3" operator="lessThan">
      <formula>0</formula>
    </cfRule>
  </conditionalFormatting>
  <conditionalFormatting sqref="R6:R16">
    <cfRule type="cellIs" dxfId="3" priority="4" operator="greaterThan">
      <formula>1</formula>
    </cfRule>
  </conditionalFormatting>
  <conditionalFormatting sqref="A8:S16">
    <cfRule type="expression" dxfId="2" priority="2">
      <formula>$B8=""</formula>
    </cfRule>
  </conditionalFormatting>
  <conditionalFormatting sqref="P8:S16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53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763</v>
      </c>
    </row>
    <row r="2" spans="1:19" x14ac:dyDescent="0.3">
      <c r="A2" s="199" t="s">
        <v>218</v>
      </c>
    </row>
    <row r="3" spans="1:19" x14ac:dyDescent="0.3">
      <c r="A3" s="278" t="s">
        <v>125</v>
      </c>
      <c r="B3" s="277">
        <v>2019</v>
      </c>
      <c r="C3" t="s">
        <v>194</v>
      </c>
      <c r="D3" t="s">
        <v>185</v>
      </c>
      <c r="E3" t="s">
        <v>183</v>
      </c>
      <c r="F3" t="s">
        <v>182</v>
      </c>
      <c r="G3" t="s">
        <v>181</v>
      </c>
      <c r="H3" t="s">
        <v>180</v>
      </c>
      <c r="I3" t="s">
        <v>179</v>
      </c>
      <c r="J3" t="s">
        <v>178</v>
      </c>
      <c r="K3" t="s">
        <v>177</v>
      </c>
      <c r="L3" t="s">
        <v>176</v>
      </c>
      <c r="M3" t="s">
        <v>175</v>
      </c>
      <c r="N3" t="s">
        <v>174</v>
      </c>
      <c r="O3" t="s">
        <v>173</v>
      </c>
      <c r="P3" t="s">
        <v>172</v>
      </c>
      <c r="Q3" t="s">
        <v>171</v>
      </c>
      <c r="R3" t="s">
        <v>170</v>
      </c>
      <c r="S3" t="s">
        <v>169</v>
      </c>
    </row>
    <row r="4" spans="1:19" x14ac:dyDescent="0.3">
      <c r="A4" s="276" t="s">
        <v>126</v>
      </c>
      <c r="B4" s="275">
        <v>1</v>
      </c>
      <c r="C4" s="270">
        <v>1</v>
      </c>
      <c r="D4" s="270" t="s">
        <v>166</v>
      </c>
      <c r="E4" s="269">
        <v>29.77</v>
      </c>
      <c r="F4" s="269"/>
      <c r="G4" s="269"/>
      <c r="H4" s="269"/>
      <c r="I4" s="269">
        <v>4680.58</v>
      </c>
      <c r="J4" s="269">
        <v>46.5</v>
      </c>
      <c r="K4" s="269">
        <v>1.5</v>
      </c>
      <c r="L4" s="269">
        <v>23</v>
      </c>
      <c r="M4" s="269"/>
      <c r="N4" s="269"/>
      <c r="O4" s="269">
        <v>17102</v>
      </c>
      <c r="P4" s="269">
        <v>17102</v>
      </c>
      <c r="Q4" s="269">
        <v>1462072</v>
      </c>
      <c r="R4" s="269">
        <v>8450</v>
      </c>
      <c r="S4" s="269">
        <v>7301.0752688172042</v>
      </c>
    </row>
    <row r="5" spans="1:19" x14ac:dyDescent="0.3">
      <c r="A5" s="274" t="s">
        <v>127</v>
      </c>
      <c r="B5" s="273">
        <v>2</v>
      </c>
      <c r="C5">
        <v>1</v>
      </c>
      <c r="D5">
        <v>99</v>
      </c>
      <c r="R5">
        <v>8450</v>
      </c>
      <c r="S5">
        <v>7301.0752688172042</v>
      </c>
    </row>
    <row r="6" spans="1:19" x14ac:dyDescent="0.3">
      <c r="A6" s="276" t="s">
        <v>128</v>
      </c>
      <c r="B6" s="275">
        <v>3</v>
      </c>
      <c r="C6">
        <v>1</v>
      </c>
      <c r="D6">
        <v>203</v>
      </c>
      <c r="E6">
        <v>29.77</v>
      </c>
      <c r="I6">
        <v>4680.58</v>
      </c>
      <c r="J6">
        <v>46.5</v>
      </c>
      <c r="K6">
        <v>1.5</v>
      </c>
      <c r="L6">
        <v>23</v>
      </c>
      <c r="O6">
        <v>17102</v>
      </c>
      <c r="P6">
        <v>17102</v>
      </c>
      <c r="Q6">
        <v>1462072</v>
      </c>
    </row>
    <row r="7" spans="1:19" x14ac:dyDescent="0.3">
      <c r="A7" s="274" t="s">
        <v>129</v>
      </c>
      <c r="B7" s="273">
        <v>4</v>
      </c>
      <c r="C7">
        <v>1</v>
      </c>
      <c r="D7" t="s">
        <v>756</v>
      </c>
      <c r="E7">
        <v>54.45</v>
      </c>
      <c r="I7">
        <v>8811.2999999999993</v>
      </c>
      <c r="J7">
        <v>52</v>
      </c>
      <c r="L7">
        <v>36</v>
      </c>
      <c r="O7">
        <v>8626</v>
      </c>
      <c r="P7">
        <v>8626</v>
      </c>
      <c r="Q7">
        <v>1481529</v>
      </c>
      <c r="S7">
        <v>1750</v>
      </c>
    </row>
    <row r="8" spans="1:19" x14ac:dyDescent="0.3">
      <c r="A8" s="276" t="s">
        <v>130</v>
      </c>
      <c r="B8" s="275">
        <v>5</v>
      </c>
      <c r="C8">
        <v>1</v>
      </c>
      <c r="D8">
        <v>303</v>
      </c>
      <c r="S8">
        <v>1750</v>
      </c>
    </row>
    <row r="9" spans="1:19" x14ac:dyDescent="0.3">
      <c r="A9" s="274" t="s">
        <v>131</v>
      </c>
      <c r="B9" s="273">
        <v>6</v>
      </c>
      <c r="C9">
        <v>1</v>
      </c>
      <c r="D9">
        <v>419</v>
      </c>
      <c r="E9">
        <v>28.45</v>
      </c>
      <c r="I9">
        <v>4875.3</v>
      </c>
      <c r="J9">
        <v>52</v>
      </c>
      <c r="L9">
        <v>36</v>
      </c>
      <c r="Q9">
        <v>973495</v>
      </c>
    </row>
    <row r="10" spans="1:19" x14ac:dyDescent="0.3">
      <c r="A10" s="276" t="s">
        <v>132</v>
      </c>
      <c r="B10" s="275">
        <v>7</v>
      </c>
      <c r="C10">
        <v>1</v>
      </c>
      <c r="D10">
        <v>642</v>
      </c>
      <c r="E10">
        <v>26</v>
      </c>
      <c r="I10">
        <v>3936</v>
      </c>
      <c r="O10">
        <v>8626</v>
      </c>
      <c r="P10">
        <v>8626</v>
      </c>
      <c r="Q10">
        <v>508034</v>
      </c>
    </row>
    <row r="11" spans="1:19" x14ac:dyDescent="0.3">
      <c r="A11" s="274" t="s">
        <v>133</v>
      </c>
      <c r="B11" s="273">
        <v>8</v>
      </c>
      <c r="C11">
        <v>1</v>
      </c>
      <c r="D11" t="s">
        <v>757</v>
      </c>
      <c r="E11">
        <v>1</v>
      </c>
      <c r="I11">
        <v>176</v>
      </c>
      <c r="Q11">
        <v>32404</v>
      </c>
    </row>
    <row r="12" spans="1:19" x14ac:dyDescent="0.3">
      <c r="A12" s="276" t="s">
        <v>134</v>
      </c>
      <c r="B12" s="275">
        <v>9</v>
      </c>
      <c r="C12">
        <v>1</v>
      </c>
      <c r="D12">
        <v>30</v>
      </c>
      <c r="E12">
        <v>1</v>
      </c>
      <c r="I12">
        <v>176</v>
      </c>
      <c r="Q12">
        <v>32404</v>
      </c>
    </row>
    <row r="13" spans="1:19" x14ac:dyDescent="0.3">
      <c r="A13" s="274" t="s">
        <v>135</v>
      </c>
      <c r="B13" s="273">
        <v>10</v>
      </c>
      <c r="C13" t="s">
        <v>758</v>
      </c>
      <c r="E13">
        <v>85.22</v>
      </c>
      <c r="I13">
        <v>13667.880000000001</v>
      </c>
      <c r="J13">
        <v>98.5</v>
      </c>
      <c r="K13">
        <v>1.5</v>
      </c>
      <c r="L13">
        <v>59</v>
      </c>
      <c r="O13">
        <v>25728</v>
      </c>
      <c r="P13">
        <v>25728</v>
      </c>
      <c r="Q13">
        <v>2976005</v>
      </c>
      <c r="R13">
        <v>8450</v>
      </c>
      <c r="S13">
        <v>9051.0752688172033</v>
      </c>
    </row>
    <row r="14" spans="1:19" x14ac:dyDescent="0.3">
      <c r="A14" s="276" t="s">
        <v>136</v>
      </c>
      <c r="B14" s="275">
        <v>11</v>
      </c>
      <c r="C14">
        <v>2</v>
      </c>
      <c r="D14" t="s">
        <v>166</v>
      </c>
      <c r="E14">
        <v>29.769999999999996</v>
      </c>
      <c r="I14">
        <v>4159.2000000000007</v>
      </c>
      <c r="J14">
        <v>71</v>
      </c>
      <c r="K14">
        <v>24.5</v>
      </c>
      <c r="L14">
        <v>34.5</v>
      </c>
      <c r="Q14">
        <v>1415598</v>
      </c>
      <c r="R14">
        <v>4550</v>
      </c>
      <c r="S14">
        <v>7301.0752688172042</v>
      </c>
    </row>
    <row r="15" spans="1:19" x14ac:dyDescent="0.3">
      <c r="A15" s="274" t="s">
        <v>137</v>
      </c>
      <c r="B15" s="273">
        <v>12</v>
      </c>
      <c r="C15">
        <v>2</v>
      </c>
      <c r="D15">
        <v>99</v>
      </c>
      <c r="R15">
        <v>4550</v>
      </c>
      <c r="S15">
        <v>7301.0752688172042</v>
      </c>
    </row>
    <row r="16" spans="1:19" x14ac:dyDescent="0.3">
      <c r="A16" s="272" t="s">
        <v>125</v>
      </c>
      <c r="B16" s="271">
        <v>2019</v>
      </c>
      <c r="C16">
        <v>2</v>
      </c>
      <c r="D16">
        <v>203</v>
      </c>
      <c r="E16">
        <v>29.769999999999996</v>
      </c>
      <c r="I16">
        <v>4159.2000000000007</v>
      </c>
      <c r="J16">
        <v>71</v>
      </c>
      <c r="K16">
        <v>24.5</v>
      </c>
      <c r="L16">
        <v>34.5</v>
      </c>
      <c r="Q16">
        <v>1415598</v>
      </c>
    </row>
    <row r="17" spans="3:19" x14ac:dyDescent="0.3">
      <c r="C17">
        <v>2</v>
      </c>
      <c r="D17" t="s">
        <v>756</v>
      </c>
      <c r="E17">
        <v>55.45</v>
      </c>
      <c r="I17">
        <v>7816.75</v>
      </c>
      <c r="J17">
        <v>106.5</v>
      </c>
      <c r="K17">
        <v>8.5</v>
      </c>
      <c r="L17">
        <v>28</v>
      </c>
      <c r="Q17">
        <v>1560688</v>
      </c>
      <c r="R17">
        <v>1500</v>
      </c>
      <c r="S17">
        <v>1750</v>
      </c>
    </row>
    <row r="18" spans="3:19" x14ac:dyDescent="0.3">
      <c r="C18">
        <v>2</v>
      </c>
      <c r="D18">
        <v>303</v>
      </c>
      <c r="R18">
        <v>1500</v>
      </c>
      <c r="S18">
        <v>1750</v>
      </c>
    </row>
    <row r="19" spans="3:19" x14ac:dyDescent="0.3">
      <c r="C19">
        <v>2</v>
      </c>
      <c r="D19">
        <v>419</v>
      </c>
      <c r="E19">
        <v>28.45</v>
      </c>
      <c r="I19">
        <v>4172.75</v>
      </c>
      <c r="J19">
        <v>98</v>
      </c>
      <c r="K19">
        <v>8.5</v>
      </c>
      <c r="L19">
        <v>28</v>
      </c>
      <c r="Q19">
        <v>975767</v>
      </c>
    </row>
    <row r="20" spans="3:19" x14ac:dyDescent="0.3">
      <c r="C20">
        <v>2</v>
      </c>
      <c r="D20">
        <v>642</v>
      </c>
      <c r="E20">
        <v>27</v>
      </c>
      <c r="I20">
        <v>3644</v>
      </c>
      <c r="J20">
        <v>8.5</v>
      </c>
      <c r="Q20">
        <v>584921</v>
      </c>
    </row>
    <row r="21" spans="3:19" x14ac:dyDescent="0.3">
      <c r="C21">
        <v>2</v>
      </c>
      <c r="D21" t="s">
        <v>757</v>
      </c>
      <c r="E21">
        <v>1</v>
      </c>
      <c r="I21">
        <v>152</v>
      </c>
      <c r="Q21">
        <v>32194</v>
      </c>
    </row>
    <row r="22" spans="3:19" x14ac:dyDescent="0.3">
      <c r="C22">
        <v>2</v>
      </c>
      <c r="D22">
        <v>30</v>
      </c>
      <c r="E22">
        <v>1</v>
      </c>
      <c r="I22">
        <v>152</v>
      </c>
      <c r="Q22">
        <v>32194</v>
      </c>
    </row>
    <row r="23" spans="3:19" x14ac:dyDescent="0.3">
      <c r="C23" t="s">
        <v>759</v>
      </c>
      <c r="E23">
        <v>86.22</v>
      </c>
      <c r="I23">
        <v>12127.95</v>
      </c>
      <c r="J23">
        <v>177.5</v>
      </c>
      <c r="K23">
        <v>33</v>
      </c>
      <c r="L23">
        <v>62.5</v>
      </c>
      <c r="Q23">
        <v>3008480</v>
      </c>
      <c r="R23">
        <v>6050</v>
      </c>
      <c r="S23">
        <v>9051.0752688172033</v>
      </c>
    </row>
    <row r="24" spans="3:19" x14ac:dyDescent="0.3">
      <c r="C24">
        <v>3</v>
      </c>
      <c r="D24" t="s">
        <v>166</v>
      </c>
      <c r="E24">
        <v>28.770000000000003</v>
      </c>
      <c r="I24">
        <v>4391.5</v>
      </c>
      <c r="J24">
        <v>89.5</v>
      </c>
      <c r="K24">
        <v>23</v>
      </c>
      <c r="L24">
        <v>46</v>
      </c>
      <c r="Q24">
        <v>1478744</v>
      </c>
      <c r="R24">
        <v>400</v>
      </c>
      <c r="S24">
        <v>7301.0752688172042</v>
      </c>
    </row>
    <row r="25" spans="3:19" x14ac:dyDescent="0.3">
      <c r="C25">
        <v>3</v>
      </c>
      <c r="D25">
        <v>99</v>
      </c>
      <c r="R25">
        <v>400</v>
      </c>
      <c r="S25">
        <v>7301.0752688172042</v>
      </c>
    </row>
    <row r="26" spans="3:19" x14ac:dyDescent="0.3">
      <c r="C26">
        <v>3</v>
      </c>
      <c r="D26">
        <v>203</v>
      </c>
      <c r="E26">
        <v>28.770000000000003</v>
      </c>
      <c r="I26">
        <v>4391.5</v>
      </c>
      <c r="J26">
        <v>89.5</v>
      </c>
      <c r="K26">
        <v>23</v>
      </c>
      <c r="L26">
        <v>46</v>
      </c>
      <c r="Q26">
        <v>1478744</v>
      </c>
    </row>
    <row r="27" spans="3:19" x14ac:dyDescent="0.3">
      <c r="C27">
        <v>3</v>
      </c>
      <c r="D27" t="s">
        <v>756</v>
      </c>
      <c r="E27">
        <v>55.45</v>
      </c>
      <c r="I27">
        <v>8321.5</v>
      </c>
      <c r="J27">
        <v>54</v>
      </c>
      <c r="L27">
        <v>24</v>
      </c>
      <c r="Q27">
        <v>1550585</v>
      </c>
      <c r="R27">
        <v>830</v>
      </c>
      <c r="S27">
        <v>1750</v>
      </c>
    </row>
    <row r="28" spans="3:19" x14ac:dyDescent="0.3">
      <c r="C28">
        <v>3</v>
      </c>
      <c r="D28">
        <v>303</v>
      </c>
      <c r="R28">
        <v>830</v>
      </c>
      <c r="S28">
        <v>1750</v>
      </c>
    </row>
    <row r="29" spans="3:19" x14ac:dyDescent="0.3">
      <c r="C29">
        <v>3</v>
      </c>
      <c r="D29">
        <v>419</v>
      </c>
      <c r="E29">
        <v>28.45</v>
      </c>
      <c r="I29">
        <v>4465.5</v>
      </c>
      <c r="J29">
        <v>54</v>
      </c>
      <c r="L29">
        <v>24</v>
      </c>
      <c r="Q29">
        <v>970516</v>
      </c>
    </row>
    <row r="30" spans="3:19" x14ac:dyDescent="0.3">
      <c r="C30">
        <v>3</v>
      </c>
      <c r="D30">
        <v>642</v>
      </c>
      <c r="E30">
        <v>27</v>
      </c>
      <c r="I30">
        <v>3856</v>
      </c>
      <c r="Q30">
        <v>580069</v>
      </c>
    </row>
    <row r="31" spans="3:19" x14ac:dyDescent="0.3">
      <c r="C31">
        <v>3</v>
      </c>
      <c r="D31" t="s">
        <v>757</v>
      </c>
      <c r="E31">
        <v>1</v>
      </c>
      <c r="I31">
        <v>160</v>
      </c>
      <c r="Q31">
        <v>32271</v>
      </c>
    </row>
    <row r="32" spans="3:19" x14ac:dyDescent="0.3">
      <c r="C32">
        <v>3</v>
      </c>
      <c r="D32">
        <v>30</v>
      </c>
      <c r="E32">
        <v>1</v>
      </c>
      <c r="I32">
        <v>160</v>
      </c>
      <c r="Q32">
        <v>32271</v>
      </c>
    </row>
    <row r="33" spans="3:19" x14ac:dyDescent="0.3">
      <c r="C33" t="s">
        <v>760</v>
      </c>
      <c r="E33">
        <v>85.22</v>
      </c>
      <c r="I33">
        <v>12873</v>
      </c>
      <c r="J33">
        <v>143.5</v>
      </c>
      <c r="K33">
        <v>23</v>
      </c>
      <c r="L33">
        <v>70</v>
      </c>
      <c r="Q33">
        <v>3061600</v>
      </c>
      <c r="R33">
        <v>1230</v>
      </c>
      <c r="S33">
        <v>9051.0752688172033</v>
      </c>
    </row>
    <row r="34" spans="3:19" x14ac:dyDescent="0.3">
      <c r="C34">
        <v>4</v>
      </c>
      <c r="D34" t="s">
        <v>166</v>
      </c>
      <c r="E34">
        <v>27.77</v>
      </c>
      <c r="I34">
        <v>4671</v>
      </c>
      <c r="J34">
        <v>90.5</v>
      </c>
      <c r="K34">
        <v>13.3</v>
      </c>
      <c r="L34">
        <v>46</v>
      </c>
      <c r="Q34">
        <v>1413818</v>
      </c>
      <c r="R34">
        <v>20300</v>
      </c>
      <c r="S34">
        <v>7301.0752688172042</v>
      </c>
    </row>
    <row r="35" spans="3:19" x14ac:dyDescent="0.3">
      <c r="C35">
        <v>4</v>
      </c>
      <c r="D35">
        <v>99</v>
      </c>
      <c r="R35">
        <v>20300</v>
      </c>
      <c r="S35">
        <v>7301.0752688172042</v>
      </c>
    </row>
    <row r="36" spans="3:19" x14ac:dyDescent="0.3">
      <c r="C36">
        <v>4</v>
      </c>
      <c r="D36">
        <v>203</v>
      </c>
      <c r="E36">
        <v>27.77</v>
      </c>
      <c r="I36">
        <v>4671</v>
      </c>
      <c r="J36">
        <v>90.5</v>
      </c>
      <c r="K36">
        <v>13.3</v>
      </c>
      <c r="L36">
        <v>46</v>
      </c>
      <c r="Q36">
        <v>1413818</v>
      </c>
    </row>
    <row r="37" spans="3:19" x14ac:dyDescent="0.3">
      <c r="C37">
        <v>4</v>
      </c>
      <c r="D37" t="s">
        <v>756</v>
      </c>
      <c r="E37">
        <v>55.45</v>
      </c>
      <c r="I37">
        <v>8935</v>
      </c>
      <c r="J37">
        <v>53.5</v>
      </c>
      <c r="L37">
        <v>22</v>
      </c>
      <c r="Q37">
        <v>1562749</v>
      </c>
      <c r="R37">
        <v>1150</v>
      </c>
      <c r="S37">
        <v>1750</v>
      </c>
    </row>
    <row r="38" spans="3:19" x14ac:dyDescent="0.3">
      <c r="C38">
        <v>4</v>
      </c>
      <c r="D38">
        <v>303</v>
      </c>
      <c r="R38">
        <v>1150</v>
      </c>
      <c r="S38">
        <v>1750</v>
      </c>
    </row>
    <row r="39" spans="3:19" x14ac:dyDescent="0.3">
      <c r="C39">
        <v>4</v>
      </c>
      <c r="D39">
        <v>419</v>
      </c>
      <c r="E39">
        <v>28.45</v>
      </c>
      <c r="I39">
        <v>4743</v>
      </c>
      <c r="J39">
        <v>53.5</v>
      </c>
      <c r="L39">
        <v>22</v>
      </c>
      <c r="Q39">
        <v>973598</v>
      </c>
    </row>
    <row r="40" spans="3:19" x14ac:dyDescent="0.3">
      <c r="C40">
        <v>4</v>
      </c>
      <c r="D40">
        <v>642</v>
      </c>
      <c r="E40">
        <v>27</v>
      </c>
      <c r="I40">
        <v>4192</v>
      </c>
      <c r="Q40">
        <v>589151</v>
      </c>
    </row>
    <row r="41" spans="3:19" x14ac:dyDescent="0.3">
      <c r="C41">
        <v>4</v>
      </c>
      <c r="D41" t="s">
        <v>757</v>
      </c>
      <c r="E41">
        <v>1</v>
      </c>
      <c r="I41">
        <v>168</v>
      </c>
      <c r="Q41">
        <v>32382</v>
      </c>
    </row>
    <row r="42" spans="3:19" x14ac:dyDescent="0.3">
      <c r="C42">
        <v>4</v>
      </c>
      <c r="D42">
        <v>30</v>
      </c>
      <c r="E42">
        <v>1</v>
      </c>
      <c r="I42">
        <v>168</v>
      </c>
      <c r="Q42">
        <v>32382</v>
      </c>
    </row>
    <row r="43" spans="3:19" x14ac:dyDescent="0.3">
      <c r="C43" t="s">
        <v>761</v>
      </c>
      <c r="E43">
        <v>84.22</v>
      </c>
      <c r="I43">
        <v>13774</v>
      </c>
      <c r="J43">
        <v>144</v>
      </c>
      <c r="K43">
        <v>13.3</v>
      </c>
      <c r="L43">
        <v>68</v>
      </c>
      <c r="Q43">
        <v>3008949</v>
      </c>
      <c r="R43">
        <v>21450</v>
      </c>
      <c r="S43">
        <v>9051.0752688172033</v>
      </c>
    </row>
    <row r="44" spans="3:19" x14ac:dyDescent="0.3">
      <c r="C44">
        <v>5</v>
      </c>
      <c r="D44" t="s">
        <v>166</v>
      </c>
      <c r="E44">
        <v>28.770000000000003</v>
      </c>
      <c r="I44">
        <v>4688.2</v>
      </c>
      <c r="J44">
        <v>92.5</v>
      </c>
      <c r="K44">
        <v>11.5</v>
      </c>
      <c r="L44">
        <v>57.5</v>
      </c>
      <c r="Q44">
        <v>1441609</v>
      </c>
      <c r="R44">
        <v>4100</v>
      </c>
      <c r="S44">
        <v>7301.0752688172042</v>
      </c>
    </row>
    <row r="45" spans="3:19" x14ac:dyDescent="0.3">
      <c r="C45">
        <v>5</v>
      </c>
      <c r="D45">
        <v>99</v>
      </c>
      <c r="R45">
        <v>4100</v>
      </c>
      <c r="S45">
        <v>7301.0752688172042</v>
      </c>
    </row>
    <row r="46" spans="3:19" x14ac:dyDescent="0.3">
      <c r="C46">
        <v>5</v>
      </c>
      <c r="D46">
        <v>203</v>
      </c>
      <c r="E46">
        <v>28.770000000000003</v>
      </c>
      <c r="I46">
        <v>4688.2</v>
      </c>
      <c r="J46">
        <v>92.5</v>
      </c>
      <c r="K46">
        <v>11.5</v>
      </c>
      <c r="L46">
        <v>57.5</v>
      </c>
      <c r="Q46">
        <v>1441609</v>
      </c>
    </row>
    <row r="47" spans="3:19" x14ac:dyDescent="0.3">
      <c r="C47">
        <v>5</v>
      </c>
      <c r="D47" t="s">
        <v>756</v>
      </c>
      <c r="E47">
        <v>54.45</v>
      </c>
      <c r="I47">
        <v>9282</v>
      </c>
      <c r="J47">
        <v>54</v>
      </c>
      <c r="L47">
        <v>34</v>
      </c>
      <c r="Q47">
        <v>1573487</v>
      </c>
      <c r="S47">
        <v>1750</v>
      </c>
    </row>
    <row r="48" spans="3:19" x14ac:dyDescent="0.3">
      <c r="C48">
        <v>5</v>
      </c>
      <c r="D48">
        <v>303</v>
      </c>
      <c r="S48">
        <v>1750</v>
      </c>
    </row>
    <row r="49" spans="3:19" x14ac:dyDescent="0.3">
      <c r="C49">
        <v>5</v>
      </c>
      <c r="D49">
        <v>419</v>
      </c>
      <c r="E49">
        <v>27.450000000000003</v>
      </c>
      <c r="I49">
        <v>4810</v>
      </c>
      <c r="J49">
        <v>54</v>
      </c>
      <c r="L49">
        <v>34</v>
      </c>
      <c r="Q49">
        <v>999153</v>
      </c>
    </row>
    <row r="50" spans="3:19" x14ac:dyDescent="0.3">
      <c r="C50">
        <v>5</v>
      </c>
      <c r="D50">
        <v>642</v>
      </c>
      <c r="E50">
        <v>27</v>
      </c>
      <c r="I50">
        <v>4472</v>
      </c>
      <c r="Q50">
        <v>574334</v>
      </c>
    </row>
    <row r="51" spans="3:19" x14ac:dyDescent="0.3">
      <c r="C51">
        <v>5</v>
      </c>
      <c r="D51" t="s">
        <v>757</v>
      </c>
      <c r="E51">
        <v>1</v>
      </c>
      <c r="I51">
        <v>176</v>
      </c>
      <c r="Q51">
        <v>32446</v>
      </c>
    </row>
    <row r="52" spans="3:19" x14ac:dyDescent="0.3">
      <c r="C52">
        <v>5</v>
      </c>
      <c r="D52">
        <v>30</v>
      </c>
      <c r="E52">
        <v>1</v>
      </c>
      <c r="I52">
        <v>176</v>
      </c>
      <c r="Q52">
        <v>32446</v>
      </c>
    </row>
    <row r="53" spans="3:19" x14ac:dyDescent="0.3">
      <c r="C53" t="s">
        <v>762</v>
      </c>
      <c r="E53">
        <v>84.22</v>
      </c>
      <c r="I53">
        <v>14146.2</v>
      </c>
      <c r="J53">
        <v>146.5</v>
      </c>
      <c r="K53">
        <v>11.5</v>
      </c>
      <c r="L53">
        <v>91.5</v>
      </c>
      <c r="Q53">
        <v>3047542</v>
      </c>
      <c r="R53">
        <v>4100</v>
      </c>
      <c r="S53">
        <v>9051.0752688172033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04" customWidth="1" collapsed="1"/>
    <col min="2" max="2" width="7.77734375" style="81" hidden="1" customWidth="1" outlineLevel="1"/>
    <col min="3" max="4" width="5.44140625" style="104" hidden="1" customWidth="1"/>
    <col min="5" max="5" width="7.77734375" style="81" customWidth="1"/>
    <col min="6" max="6" width="7.77734375" style="81" hidden="1" customWidth="1"/>
    <col min="7" max="7" width="5.44140625" style="104" hidden="1" customWidth="1"/>
    <col min="8" max="8" width="7.77734375" style="81" customWidth="1" collapsed="1"/>
    <col min="9" max="9" width="7.77734375" style="183" hidden="1" customWidth="1" outlineLevel="1"/>
    <col min="10" max="10" width="7.77734375" style="183" customWidth="1" collapsed="1"/>
    <col min="11" max="12" width="7.77734375" style="81" hidden="1" customWidth="1"/>
    <col min="13" max="13" width="5.44140625" style="104" hidden="1" customWidth="1"/>
    <col min="14" max="14" width="7.77734375" style="81" customWidth="1"/>
    <col min="15" max="15" width="7.77734375" style="81" hidden="1" customWidth="1"/>
    <col min="16" max="16" width="5.44140625" style="104" hidden="1" customWidth="1"/>
    <col min="17" max="17" width="7.77734375" style="81" customWidth="1" collapsed="1"/>
    <col min="18" max="18" width="7.77734375" style="183" hidden="1" customWidth="1" outlineLevel="1"/>
    <col min="19" max="19" width="7.77734375" style="183" customWidth="1" collapsed="1"/>
    <col min="20" max="21" width="7.77734375" style="81" hidden="1" customWidth="1"/>
    <col min="22" max="22" width="5" style="104" hidden="1" customWidth="1"/>
    <col min="23" max="23" width="7.77734375" style="81" customWidth="1"/>
    <col min="24" max="24" width="7.77734375" style="81" hidden="1" customWidth="1"/>
    <col min="25" max="25" width="5" style="104" hidden="1" customWidth="1"/>
    <col min="26" max="26" width="7.77734375" style="81" customWidth="1" collapsed="1"/>
    <col min="27" max="27" width="7.77734375" style="183" hidden="1" customWidth="1" outlineLevel="1"/>
    <col min="28" max="28" width="7.77734375" style="183" customWidth="1" collapsed="1"/>
    <col min="29" max="16384" width="8.88671875" style="104"/>
  </cols>
  <sheetData>
    <row r="1" spans="1:28" ht="18.600000000000001" customHeight="1" thickBot="1" x14ac:dyDescent="0.4">
      <c r="A1" s="358" t="s">
        <v>772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  <c r="W1" s="283"/>
      <c r="X1" s="283"/>
      <c r="Y1" s="283"/>
      <c r="Z1" s="283"/>
      <c r="AA1" s="283"/>
      <c r="AB1" s="283"/>
    </row>
    <row r="2" spans="1:28" ht="14.4" customHeight="1" thickBot="1" x14ac:dyDescent="0.35">
      <c r="A2" s="199" t="s">
        <v>218</v>
      </c>
      <c r="B2" s="86"/>
      <c r="C2" s="86"/>
      <c r="D2" s="86"/>
      <c r="E2" s="86"/>
      <c r="F2" s="86"/>
      <c r="G2" s="86"/>
      <c r="H2" s="86"/>
      <c r="I2" s="194"/>
      <c r="J2" s="194"/>
      <c r="K2" s="86"/>
      <c r="L2" s="86"/>
      <c r="M2" s="86"/>
      <c r="N2" s="86"/>
      <c r="O2" s="86"/>
      <c r="P2" s="86"/>
      <c r="Q2" s="86"/>
      <c r="R2" s="194"/>
      <c r="S2" s="194"/>
      <c r="T2" s="86"/>
      <c r="U2" s="86"/>
      <c r="V2" s="86"/>
      <c r="W2" s="86"/>
      <c r="X2" s="86"/>
      <c r="Y2" s="86"/>
      <c r="Z2" s="86"/>
      <c r="AA2" s="194"/>
      <c r="AB2" s="194"/>
    </row>
    <row r="3" spans="1:28" ht="14.4" customHeight="1" thickBot="1" x14ac:dyDescent="0.35">
      <c r="A3" s="187" t="s">
        <v>106</v>
      </c>
      <c r="B3" s="188">
        <f>SUBTOTAL(9,B6:B1048576)/4</f>
        <v>0</v>
      </c>
      <c r="C3" s="189">
        <f t="shared" ref="C3:Z3" si="0">SUBTOTAL(9,C6:C1048576)</f>
        <v>0</v>
      </c>
      <c r="D3" s="189"/>
      <c r="E3" s="189">
        <f>SUBTOTAL(9,E6:E1048576)/4</f>
        <v>0</v>
      </c>
      <c r="F3" s="189"/>
      <c r="G3" s="189">
        <f t="shared" si="0"/>
        <v>0</v>
      </c>
      <c r="H3" s="189">
        <f>SUBTOTAL(9,H6:H1048576)/4</f>
        <v>20753</v>
      </c>
      <c r="I3" s="192" t="str">
        <f>IF(B3&lt;&gt;0,H3/B3,"")</f>
        <v/>
      </c>
      <c r="J3" s="190" t="str">
        <f>IF(E3&lt;&gt;0,H3/E3,"")</f>
        <v/>
      </c>
      <c r="K3" s="191">
        <f t="shared" si="0"/>
        <v>0</v>
      </c>
      <c r="L3" s="191"/>
      <c r="M3" s="189">
        <f t="shared" si="0"/>
        <v>0</v>
      </c>
      <c r="N3" s="189">
        <f t="shared" si="0"/>
        <v>0</v>
      </c>
      <c r="O3" s="189"/>
      <c r="P3" s="189">
        <f t="shared" si="0"/>
        <v>0</v>
      </c>
      <c r="Q3" s="189">
        <f t="shared" si="0"/>
        <v>0</v>
      </c>
      <c r="R3" s="192" t="str">
        <f>IF(K3&lt;&gt;0,Q3/K3,"")</f>
        <v/>
      </c>
      <c r="S3" s="192" t="str">
        <f>IF(N3&lt;&gt;0,Q3/N3,"")</f>
        <v/>
      </c>
      <c r="T3" s="188">
        <f t="shared" si="0"/>
        <v>0</v>
      </c>
      <c r="U3" s="191"/>
      <c r="V3" s="189">
        <f t="shared" si="0"/>
        <v>0</v>
      </c>
      <c r="W3" s="189">
        <f t="shared" si="0"/>
        <v>0</v>
      </c>
      <c r="X3" s="189"/>
      <c r="Y3" s="189">
        <f t="shared" si="0"/>
        <v>0</v>
      </c>
      <c r="Z3" s="189">
        <f t="shared" si="0"/>
        <v>0</v>
      </c>
      <c r="AA3" s="192" t="str">
        <f>IF(T3&lt;&gt;0,Z3/T3,"")</f>
        <v/>
      </c>
      <c r="AB3" s="190" t="str">
        <f>IF(W3&lt;&gt;0,Z3/W3,"")</f>
        <v/>
      </c>
    </row>
    <row r="4" spans="1:28" ht="14.4" customHeight="1" x14ac:dyDescent="0.3">
      <c r="A4" s="359" t="s">
        <v>158</v>
      </c>
      <c r="B4" s="360" t="s">
        <v>80</v>
      </c>
      <c r="C4" s="361"/>
      <c r="D4" s="362"/>
      <c r="E4" s="361"/>
      <c r="F4" s="362"/>
      <c r="G4" s="361"/>
      <c r="H4" s="361"/>
      <c r="I4" s="362"/>
      <c r="J4" s="363"/>
      <c r="K4" s="360" t="s">
        <v>81</v>
      </c>
      <c r="L4" s="362"/>
      <c r="M4" s="361"/>
      <c r="N4" s="361"/>
      <c r="O4" s="362"/>
      <c r="P4" s="361"/>
      <c r="Q4" s="361"/>
      <c r="R4" s="362"/>
      <c r="S4" s="363"/>
      <c r="T4" s="360" t="s">
        <v>82</v>
      </c>
      <c r="U4" s="362"/>
      <c r="V4" s="361"/>
      <c r="W4" s="361"/>
      <c r="X4" s="362"/>
      <c r="Y4" s="361"/>
      <c r="Z4" s="361"/>
      <c r="AA4" s="362"/>
      <c r="AB4" s="363"/>
    </row>
    <row r="5" spans="1:28" ht="14.4" customHeight="1" thickBot="1" x14ac:dyDescent="0.35">
      <c r="A5" s="435"/>
      <c r="B5" s="436">
        <v>2015</v>
      </c>
      <c r="C5" s="437"/>
      <c r="D5" s="437"/>
      <c r="E5" s="437">
        <v>2018</v>
      </c>
      <c r="F5" s="437"/>
      <c r="G5" s="437"/>
      <c r="H5" s="437">
        <v>2019</v>
      </c>
      <c r="I5" s="438" t="s">
        <v>159</v>
      </c>
      <c r="J5" s="439" t="s">
        <v>2</v>
      </c>
      <c r="K5" s="436">
        <v>2015</v>
      </c>
      <c r="L5" s="437"/>
      <c r="M5" s="437"/>
      <c r="N5" s="437">
        <v>2018</v>
      </c>
      <c r="O5" s="437"/>
      <c r="P5" s="437"/>
      <c r="Q5" s="437">
        <v>2019</v>
      </c>
      <c r="R5" s="438" t="s">
        <v>159</v>
      </c>
      <c r="S5" s="439" t="s">
        <v>2</v>
      </c>
      <c r="T5" s="436">
        <v>2015</v>
      </c>
      <c r="U5" s="437"/>
      <c r="V5" s="437"/>
      <c r="W5" s="437">
        <v>2018</v>
      </c>
      <c r="X5" s="437"/>
      <c r="Y5" s="437"/>
      <c r="Z5" s="437">
        <v>2019</v>
      </c>
      <c r="AA5" s="438" t="s">
        <v>159</v>
      </c>
      <c r="AB5" s="439" t="s">
        <v>2</v>
      </c>
    </row>
    <row r="6" spans="1:28" ht="14.4" customHeight="1" x14ac:dyDescent="0.3">
      <c r="A6" s="440" t="s">
        <v>770</v>
      </c>
      <c r="B6" s="441"/>
      <c r="C6" s="442"/>
      <c r="D6" s="442"/>
      <c r="E6" s="441"/>
      <c r="F6" s="442"/>
      <c r="G6" s="442"/>
      <c r="H6" s="441">
        <v>20753</v>
      </c>
      <c r="I6" s="442"/>
      <c r="J6" s="442"/>
      <c r="K6" s="441"/>
      <c r="L6" s="442"/>
      <c r="M6" s="442"/>
      <c r="N6" s="441"/>
      <c r="O6" s="442"/>
      <c r="P6" s="442"/>
      <c r="Q6" s="441"/>
      <c r="R6" s="442"/>
      <c r="S6" s="442"/>
      <c r="T6" s="441"/>
      <c r="U6" s="442"/>
      <c r="V6" s="442"/>
      <c r="W6" s="441"/>
      <c r="X6" s="442"/>
      <c r="Y6" s="442"/>
      <c r="Z6" s="441"/>
      <c r="AA6" s="442"/>
      <c r="AB6" s="443"/>
    </row>
    <row r="7" spans="1:28" ht="14.4" customHeight="1" thickBot="1" x14ac:dyDescent="0.35">
      <c r="A7" s="447" t="s">
        <v>771</v>
      </c>
      <c r="B7" s="444"/>
      <c r="C7" s="445"/>
      <c r="D7" s="445"/>
      <c r="E7" s="444"/>
      <c r="F7" s="445"/>
      <c r="G7" s="445"/>
      <c r="H7" s="444">
        <v>20753</v>
      </c>
      <c r="I7" s="445"/>
      <c r="J7" s="445"/>
      <c r="K7" s="444"/>
      <c r="L7" s="445"/>
      <c r="M7" s="445"/>
      <c r="N7" s="444"/>
      <c r="O7" s="445"/>
      <c r="P7" s="445"/>
      <c r="Q7" s="444"/>
      <c r="R7" s="445"/>
      <c r="S7" s="445"/>
      <c r="T7" s="444"/>
      <c r="U7" s="445"/>
      <c r="V7" s="445"/>
      <c r="W7" s="444"/>
      <c r="X7" s="445"/>
      <c r="Y7" s="445"/>
      <c r="Z7" s="444"/>
      <c r="AA7" s="445"/>
      <c r="AB7" s="446"/>
    </row>
    <row r="8" spans="1:28" ht="14.4" customHeight="1" thickBot="1" x14ac:dyDescent="0.35"/>
    <row r="9" spans="1:28" ht="14.4" customHeight="1" x14ac:dyDescent="0.3">
      <c r="A9" s="440" t="s">
        <v>773</v>
      </c>
      <c r="B9" s="441"/>
      <c r="C9" s="442"/>
      <c r="D9" s="442"/>
      <c r="E9" s="441"/>
      <c r="F9" s="442"/>
      <c r="G9" s="442"/>
      <c r="H9" s="441">
        <v>20753</v>
      </c>
      <c r="I9" s="442"/>
      <c r="J9" s="443"/>
    </row>
    <row r="10" spans="1:28" ht="14.4" customHeight="1" thickBot="1" x14ac:dyDescent="0.35">
      <c r="A10" s="447" t="s">
        <v>774</v>
      </c>
      <c r="B10" s="444"/>
      <c r="C10" s="445"/>
      <c r="D10" s="445"/>
      <c r="E10" s="444"/>
      <c r="F10" s="445"/>
      <c r="G10" s="445"/>
      <c r="H10" s="444">
        <v>20753</v>
      </c>
      <c r="I10" s="445"/>
      <c r="J10" s="446"/>
    </row>
    <row r="11" spans="1:28" ht="14.4" customHeight="1" x14ac:dyDescent="0.3">
      <c r="A11" s="448" t="s">
        <v>195</v>
      </c>
    </row>
    <row r="12" spans="1:28" ht="14.4" customHeight="1" x14ac:dyDescent="0.3">
      <c r="A12" s="449" t="s">
        <v>775</v>
      </c>
    </row>
    <row r="13" spans="1:28" ht="14.4" customHeight="1" x14ac:dyDescent="0.3">
      <c r="A13" s="448" t="s">
        <v>776</v>
      </c>
    </row>
    <row r="14" spans="1:28" ht="14.4" customHeight="1" x14ac:dyDescent="0.3">
      <c r="A14" s="448" t="s">
        <v>777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04" bestFit="1" customWidth="1"/>
    <col min="2" max="2" width="7.77734375" style="180" hidden="1" customWidth="1" outlineLevel="1"/>
    <col min="3" max="3" width="7.77734375" style="180" customWidth="1" collapsed="1"/>
    <col min="4" max="4" width="7.77734375" style="180" customWidth="1"/>
    <col min="5" max="5" width="7.77734375" style="81" hidden="1" customWidth="1" outlineLevel="1"/>
    <col min="6" max="6" width="7.77734375" style="81" customWidth="1" collapsed="1"/>
    <col min="7" max="7" width="7.77734375" style="81" customWidth="1"/>
    <col min="8" max="16384" width="8.88671875" style="104"/>
  </cols>
  <sheetData>
    <row r="1" spans="1:7" ht="18.600000000000001" customHeight="1" thickBot="1" x14ac:dyDescent="0.4">
      <c r="A1" s="358" t="s">
        <v>778</v>
      </c>
      <c r="B1" s="283"/>
      <c r="C1" s="283"/>
      <c r="D1" s="283"/>
      <c r="E1" s="283"/>
      <c r="F1" s="283"/>
      <c r="G1" s="283"/>
    </row>
    <row r="2" spans="1:7" ht="14.4" customHeight="1" thickBot="1" x14ac:dyDescent="0.35">
      <c r="A2" s="199" t="s">
        <v>218</v>
      </c>
      <c r="B2" s="86"/>
      <c r="C2" s="86"/>
      <c r="D2" s="86"/>
      <c r="E2" s="86"/>
      <c r="F2" s="86"/>
      <c r="G2" s="86"/>
    </row>
    <row r="3" spans="1:7" ht="14.4" customHeight="1" thickBot="1" x14ac:dyDescent="0.35">
      <c r="A3" s="229" t="s">
        <v>106</v>
      </c>
      <c r="B3" s="215">
        <f t="shared" ref="B3:G3" si="0">SUBTOTAL(9,B6:B1048576)</f>
        <v>0</v>
      </c>
      <c r="C3" s="216">
        <f t="shared" si="0"/>
        <v>0</v>
      </c>
      <c r="D3" s="228">
        <f t="shared" si="0"/>
        <v>105</v>
      </c>
      <c r="E3" s="191">
        <f t="shared" si="0"/>
        <v>0</v>
      </c>
      <c r="F3" s="189">
        <f t="shared" si="0"/>
        <v>0</v>
      </c>
      <c r="G3" s="217">
        <f t="shared" si="0"/>
        <v>20753</v>
      </c>
    </row>
    <row r="4" spans="1:7" ht="14.4" customHeight="1" x14ac:dyDescent="0.3">
      <c r="A4" s="359" t="s">
        <v>107</v>
      </c>
      <c r="B4" s="364" t="s">
        <v>156</v>
      </c>
      <c r="C4" s="362"/>
      <c r="D4" s="365"/>
      <c r="E4" s="364" t="s">
        <v>80</v>
      </c>
      <c r="F4" s="362"/>
      <c r="G4" s="365"/>
    </row>
    <row r="5" spans="1:7" ht="14.4" customHeight="1" thickBot="1" x14ac:dyDescent="0.35">
      <c r="A5" s="435"/>
      <c r="B5" s="436">
        <v>2015</v>
      </c>
      <c r="C5" s="437">
        <v>2018</v>
      </c>
      <c r="D5" s="450">
        <v>2019</v>
      </c>
      <c r="E5" s="436">
        <v>2015</v>
      </c>
      <c r="F5" s="437">
        <v>2018</v>
      </c>
      <c r="G5" s="450">
        <v>2019</v>
      </c>
    </row>
    <row r="6" spans="1:7" ht="14.4" customHeight="1" thickBot="1" x14ac:dyDescent="0.35">
      <c r="A6" s="454" t="s">
        <v>774</v>
      </c>
      <c r="B6" s="451"/>
      <c r="C6" s="451"/>
      <c r="D6" s="451">
        <v>105</v>
      </c>
      <c r="E6" s="452"/>
      <c r="F6" s="452"/>
      <c r="G6" s="453">
        <v>20753</v>
      </c>
    </row>
    <row r="7" spans="1:7" ht="14.4" customHeight="1" x14ac:dyDescent="0.3">
      <c r="A7" s="448" t="s">
        <v>195</v>
      </c>
    </row>
    <row r="8" spans="1:7" ht="14.4" customHeight="1" x14ac:dyDescent="0.3">
      <c r="A8" s="449" t="s">
        <v>775</v>
      </c>
    </row>
    <row r="9" spans="1:7" ht="14.4" customHeight="1" x14ac:dyDescent="0.3">
      <c r="A9" s="448" t="s">
        <v>776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8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04" customWidth="1"/>
    <col min="2" max="2" width="8.6640625" style="104" bestFit="1" customWidth="1"/>
    <col min="3" max="3" width="6.109375" style="104" customWidth="1"/>
    <col min="4" max="4" width="2.109375" style="104" bestFit="1" customWidth="1"/>
    <col min="5" max="5" width="8" style="104" customWidth="1"/>
    <col min="6" max="6" width="50.88671875" style="104" bestFit="1" customWidth="1" collapsed="1"/>
    <col min="7" max="8" width="11.109375" style="180" hidden="1" customWidth="1" outlineLevel="1"/>
    <col min="9" max="10" width="9.33203125" style="104" hidden="1" customWidth="1"/>
    <col min="11" max="12" width="11.109375" style="180" customWidth="1"/>
    <col min="13" max="14" width="9.33203125" style="104" hidden="1" customWidth="1"/>
    <col min="15" max="16" width="11.109375" style="180" customWidth="1"/>
    <col min="17" max="17" width="11.109375" style="183" customWidth="1"/>
    <col min="18" max="18" width="11.109375" style="180" customWidth="1"/>
    <col min="19" max="16384" width="8.88671875" style="104"/>
  </cols>
  <sheetData>
    <row r="1" spans="1:18" ht="18.600000000000001" customHeight="1" thickBot="1" x14ac:dyDescent="0.4">
      <c r="A1" s="283" t="s">
        <v>787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</row>
    <row r="2" spans="1:18" ht="14.4" customHeight="1" thickBot="1" x14ac:dyDescent="0.35">
      <c r="A2" s="199" t="s">
        <v>218</v>
      </c>
      <c r="B2" s="170"/>
      <c r="C2" s="170"/>
      <c r="D2" s="86"/>
      <c r="E2" s="86"/>
      <c r="F2" s="86"/>
      <c r="G2" s="197"/>
      <c r="H2" s="197"/>
      <c r="I2" s="86"/>
      <c r="J2" s="86"/>
      <c r="K2" s="197"/>
      <c r="L2" s="197"/>
      <c r="M2" s="86"/>
      <c r="N2" s="86"/>
      <c r="O2" s="197"/>
      <c r="P2" s="197"/>
      <c r="Q2" s="194"/>
      <c r="R2" s="197"/>
    </row>
    <row r="3" spans="1:18" ht="14.4" customHeight="1" thickBot="1" x14ac:dyDescent="0.35">
      <c r="F3" s="63" t="s">
        <v>106</v>
      </c>
      <c r="G3" s="77">
        <f t="shared" ref="G3:P3" si="0">SUBTOTAL(9,G6:G1048576)</f>
        <v>0</v>
      </c>
      <c r="H3" s="78">
        <f t="shared" si="0"/>
        <v>0</v>
      </c>
      <c r="I3" s="58"/>
      <c r="J3" s="58"/>
      <c r="K3" s="78">
        <f t="shared" si="0"/>
        <v>0</v>
      </c>
      <c r="L3" s="78">
        <f t="shared" si="0"/>
        <v>0</v>
      </c>
      <c r="M3" s="58"/>
      <c r="N3" s="58"/>
      <c r="O3" s="78">
        <f t="shared" si="0"/>
        <v>105</v>
      </c>
      <c r="P3" s="78">
        <f t="shared" si="0"/>
        <v>20753</v>
      </c>
      <c r="Q3" s="59">
        <f>IF(L3=0,0,P3/L3)</f>
        <v>0</v>
      </c>
      <c r="R3" s="79">
        <f>IF(O3=0,0,P3/O3)</f>
        <v>197.64761904761906</v>
      </c>
    </row>
    <row r="4" spans="1:18" ht="14.4" customHeight="1" x14ac:dyDescent="0.3">
      <c r="A4" s="366" t="s">
        <v>160</v>
      </c>
      <c r="B4" s="366" t="s">
        <v>76</v>
      </c>
      <c r="C4" s="374" t="s">
        <v>0</v>
      </c>
      <c r="D4" s="368" t="s">
        <v>77</v>
      </c>
      <c r="E4" s="373" t="s">
        <v>52</v>
      </c>
      <c r="F4" s="369" t="s">
        <v>51</v>
      </c>
      <c r="G4" s="370">
        <v>2015</v>
      </c>
      <c r="H4" s="371"/>
      <c r="I4" s="76"/>
      <c r="J4" s="76"/>
      <c r="K4" s="370">
        <v>2018</v>
      </c>
      <c r="L4" s="371"/>
      <c r="M4" s="76"/>
      <c r="N4" s="76"/>
      <c r="O4" s="370">
        <v>2019</v>
      </c>
      <c r="P4" s="371"/>
      <c r="Q4" s="372" t="s">
        <v>2</v>
      </c>
      <c r="R4" s="367" t="s">
        <v>79</v>
      </c>
    </row>
    <row r="5" spans="1:18" ht="14.4" customHeight="1" thickBot="1" x14ac:dyDescent="0.35">
      <c r="A5" s="455"/>
      <c r="B5" s="455"/>
      <c r="C5" s="456"/>
      <c r="D5" s="457"/>
      <c r="E5" s="458"/>
      <c r="F5" s="459"/>
      <c r="G5" s="460" t="s">
        <v>53</v>
      </c>
      <c r="H5" s="461" t="s">
        <v>10</v>
      </c>
      <c r="I5" s="462"/>
      <c r="J5" s="462"/>
      <c r="K5" s="460" t="s">
        <v>53</v>
      </c>
      <c r="L5" s="461" t="s">
        <v>10</v>
      </c>
      <c r="M5" s="462"/>
      <c r="N5" s="462"/>
      <c r="O5" s="460" t="s">
        <v>53</v>
      </c>
      <c r="P5" s="461" t="s">
        <v>10</v>
      </c>
      <c r="Q5" s="463"/>
      <c r="R5" s="464"/>
    </row>
    <row r="6" spans="1:18" ht="14.4" customHeight="1" x14ac:dyDescent="0.3">
      <c r="A6" s="417"/>
      <c r="B6" s="418" t="s">
        <v>779</v>
      </c>
      <c r="C6" s="418" t="s">
        <v>773</v>
      </c>
      <c r="D6" s="418" t="s">
        <v>780</v>
      </c>
      <c r="E6" s="418" t="s">
        <v>781</v>
      </c>
      <c r="F6" s="418" t="s">
        <v>782</v>
      </c>
      <c r="G6" s="421"/>
      <c r="H6" s="421"/>
      <c r="I6" s="418"/>
      <c r="J6" s="418"/>
      <c r="K6" s="421"/>
      <c r="L6" s="421"/>
      <c r="M6" s="418"/>
      <c r="N6" s="418"/>
      <c r="O6" s="421">
        <v>64</v>
      </c>
      <c r="P6" s="421">
        <v>11200</v>
      </c>
      <c r="Q6" s="465"/>
      <c r="R6" s="422">
        <v>175</v>
      </c>
    </row>
    <row r="7" spans="1:18" ht="14.4" customHeight="1" x14ac:dyDescent="0.3">
      <c r="A7" s="423"/>
      <c r="B7" s="424" t="s">
        <v>779</v>
      </c>
      <c r="C7" s="424" t="s">
        <v>773</v>
      </c>
      <c r="D7" s="424" t="s">
        <v>780</v>
      </c>
      <c r="E7" s="424" t="s">
        <v>783</v>
      </c>
      <c r="F7" s="424" t="s">
        <v>784</v>
      </c>
      <c r="G7" s="427"/>
      <c r="H7" s="427"/>
      <c r="I7" s="424"/>
      <c r="J7" s="424"/>
      <c r="K7" s="427"/>
      <c r="L7" s="427"/>
      <c r="M7" s="424"/>
      <c r="N7" s="424"/>
      <c r="O7" s="427">
        <v>24</v>
      </c>
      <c r="P7" s="427">
        <v>5592</v>
      </c>
      <c r="Q7" s="466"/>
      <c r="R7" s="428">
        <v>233</v>
      </c>
    </row>
    <row r="8" spans="1:18" ht="14.4" customHeight="1" thickBot="1" x14ac:dyDescent="0.35">
      <c r="A8" s="429"/>
      <c r="B8" s="430" t="s">
        <v>779</v>
      </c>
      <c r="C8" s="430" t="s">
        <v>773</v>
      </c>
      <c r="D8" s="430" t="s">
        <v>780</v>
      </c>
      <c r="E8" s="430" t="s">
        <v>785</v>
      </c>
      <c r="F8" s="430" t="s">
        <v>786</v>
      </c>
      <c r="G8" s="433"/>
      <c r="H8" s="433"/>
      <c r="I8" s="430"/>
      <c r="J8" s="430"/>
      <c r="K8" s="433"/>
      <c r="L8" s="433"/>
      <c r="M8" s="430"/>
      <c r="N8" s="430"/>
      <c r="O8" s="433">
        <v>17</v>
      </c>
      <c r="P8" s="433">
        <v>3961</v>
      </c>
      <c r="Q8" s="467"/>
      <c r="R8" s="434">
        <v>233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8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04" customWidth="1"/>
    <col min="2" max="2" width="8.6640625" style="104" bestFit="1" customWidth="1"/>
    <col min="3" max="3" width="6.109375" style="104" customWidth="1"/>
    <col min="4" max="4" width="27.77734375" style="104" customWidth="1"/>
    <col min="5" max="5" width="2.109375" style="104" bestFit="1" customWidth="1"/>
    <col min="6" max="6" width="8" style="104" customWidth="1"/>
    <col min="7" max="7" width="50.88671875" style="104" bestFit="1" customWidth="1" collapsed="1"/>
    <col min="8" max="9" width="11.109375" style="180" hidden="1" customWidth="1" outlineLevel="1"/>
    <col min="10" max="11" width="9.33203125" style="104" hidden="1" customWidth="1"/>
    <col min="12" max="13" width="11.109375" style="180" customWidth="1"/>
    <col min="14" max="15" width="9.33203125" style="104" hidden="1" customWidth="1"/>
    <col min="16" max="17" width="11.109375" style="180" customWidth="1"/>
    <col min="18" max="18" width="11.109375" style="183" customWidth="1"/>
    <col min="19" max="19" width="11.109375" style="180" customWidth="1"/>
    <col min="20" max="16384" width="8.88671875" style="104"/>
  </cols>
  <sheetData>
    <row r="1" spans="1:19" ht="18.600000000000001" customHeight="1" thickBot="1" x14ac:dyDescent="0.4">
      <c r="A1" s="283" t="s">
        <v>788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</row>
    <row r="2" spans="1:19" ht="14.4" customHeight="1" thickBot="1" x14ac:dyDescent="0.35">
      <c r="A2" s="199" t="s">
        <v>218</v>
      </c>
      <c r="B2" s="170"/>
      <c r="C2" s="170"/>
      <c r="D2" s="170"/>
      <c r="E2" s="86"/>
      <c r="F2" s="86"/>
      <c r="G2" s="86"/>
      <c r="H2" s="197"/>
      <c r="I2" s="197"/>
      <c r="J2" s="86"/>
      <c r="K2" s="86"/>
      <c r="L2" s="197"/>
      <c r="M2" s="197"/>
      <c r="N2" s="86"/>
      <c r="O2" s="86"/>
      <c r="P2" s="197"/>
      <c r="Q2" s="197"/>
      <c r="R2" s="194"/>
      <c r="S2" s="197"/>
    </row>
    <row r="3" spans="1:19" ht="14.4" customHeight="1" thickBot="1" x14ac:dyDescent="0.35">
      <c r="G3" s="63" t="s">
        <v>106</v>
      </c>
      <c r="H3" s="77">
        <f t="shared" ref="H3:Q3" si="0">SUBTOTAL(9,H6:H1048576)</f>
        <v>0</v>
      </c>
      <c r="I3" s="78">
        <f t="shared" si="0"/>
        <v>0</v>
      </c>
      <c r="J3" s="58"/>
      <c r="K3" s="58"/>
      <c r="L3" s="78">
        <f t="shared" si="0"/>
        <v>0</v>
      </c>
      <c r="M3" s="78">
        <f t="shared" si="0"/>
        <v>0</v>
      </c>
      <c r="N3" s="58"/>
      <c r="O3" s="58"/>
      <c r="P3" s="78">
        <f t="shared" si="0"/>
        <v>105</v>
      </c>
      <c r="Q3" s="78">
        <f t="shared" si="0"/>
        <v>20753</v>
      </c>
      <c r="R3" s="59">
        <f>IF(M3=0,0,Q3/M3)</f>
        <v>0</v>
      </c>
      <c r="S3" s="79">
        <f>IF(P3=0,0,Q3/P3)</f>
        <v>197.64761904761906</v>
      </c>
    </row>
    <row r="4" spans="1:19" ht="14.4" customHeight="1" x14ac:dyDescent="0.3">
      <c r="A4" s="366" t="s">
        <v>160</v>
      </c>
      <c r="B4" s="366" t="s">
        <v>76</v>
      </c>
      <c r="C4" s="374" t="s">
        <v>0</v>
      </c>
      <c r="D4" s="222" t="s">
        <v>107</v>
      </c>
      <c r="E4" s="368" t="s">
        <v>77</v>
      </c>
      <c r="F4" s="373" t="s">
        <v>52</v>
      </c>
      <c r="G4" s="369" t="s">
        <v>51</v>
      </c>
      <c r="H4" s="370">
        <v>2015</v>
      </c>
      <c r="I4" s="371"/>
      <c r="J4" s="76"/>
      <c r="K4" s="76"/>
      <c r="L4" s="370">
        <v>2018</v>
      </c>
      <c r="M4" s="371"/>
      <c r="N4" s="76"/>
      <c r="O4" s="76"/>
      <c r="P4" s="370">
        <v>2019</v>
      </c>
      <c r="Q4" s="371"/>
      <c r="R4" s="372" t="s">
        <v>2</v>
      </c>
      <c r="S4" s="367" t="s">
        <v>79</v>
      </c>
    </row>
    <row r="5" spans="1:19" ht="14.4" customHeight="1" thickBot="1" x14ac:dyDescent="0.35">
      <c r="A5" s="455"/>
      <c r="B5" s="455"/>
      <c r="C5" s="456"/>
      <c r="D5" s="468"/>
      <c r="E5" s="457"/>
      <c r="F5" s="458"/>
      <c r="G5" s="459"/>
      <c r="H5" s="460" t="s">
        <v>53</v>
      </c>
      <c r="I5" s="461" t="s">
        <v>10</v>
      </c>
      <c r="J5" s="462"/>
      <c r="K5" s="462"/>
      <c r="L5" s="460" t="s">
        <v>53</v>
      </c>
      <c r="M5" s="461" t="s">
        <v>10</v>
      </c>
      <c r="N5" s="462"/>
      <c r="O5" s="462"/>
      <c r="P5" s="460" t="s">
        <v>53</v>
      </c>
      <c r="Q5" s="461" t="s">
        <v>10</v>
      </c>
      <c r="R5" s="463"/>
      <c r="S5" s="464"/>
    </row>
    <row r="6" spans="1:19" ht="14.4" customHeight="1" x14ac:dyDescent="0.3">
      <c r="A6" s="417"/>
      <c r="B6" s="418" t="s">
        <v>779</v>
      </c>
      <c r="C6" s="418" t="s">
        <v>773</v>
      </c>
      <c r="D6" s="418" t="s">
        <v>774</v>
      </c>
      <c r="E6" s="418" t="s">
        <v>780</v>
      </c>
      <c r="F6" s="418" t="s">
        <v>781</v>
      </c>
      <c r="G6" s="418" t="s">
        <v>782</v>
      </c>
      <c r="H6" s="421"/>
      <c r="I6" s="421"/>
      <c r="J6" s="418"/>
      <c r="K6" s="418"/>
      <c r="L6" s="421"/>
      <c r="M6" s="421"/>
      <c r="N6" s="418"/>
      <c r="O6" s="418"/>
      <c r="P6" s="421">
        <v>64</v>
      </c>
      <c r="Q6" s="421">
        <v>11200</v>
      </c>
      <c r="R6" s="465"/>
      <c r="S6" s="422">
        <v>175</v>
      </c>
    </row>
    <row r="7" spans="1:19" ht="14.4" customHeight="1" x14ac:dyDescent="0.3">
      <c r="A7" s="423"/>
      <c r="B7" s="424" t="s">
        <v>779</v>
      </c>
      <c r="C7" s="424" t="s">
        <v>773</v>
      </c>
      <c r="D7" s="424" t="s">
        <v>774</v>
      </c>
      <c r="E7" s="424" t="s">
        <v>780</v>
      </c>
      <c r="F7" s="424" t="s">
        <v>783</v>
      </c>
      <c r="G7" s="424" t="s">
        <v>784</v>
      </c>
      <c r="H7" s="427"/>
      <c r="I7" s="427"/>
      <c r="J7" s="424"/>
      <c r="K7" s="424"/>
      <c r="L7" s="427"/>
      <c r="M7" s="427"/>
      <c r="N7" s="424"/>
      <c r="O7" s="424"/>
      <c r="P7" s="427">
        <v>24</v>
      </c>
      <c r="Q7" s="427">
        <v>5592</v>
      </c>
      <c r="R7" s="466"/>
      <c r="S7" s="428">
        <v>233</v>
      </c>
    </row>
    <row r="8" spans="1:19" ht="14.4" customHeight="1" thickBot="1" x14ac:dyDescent="0.35">
      <c r="A8" s="429"/>
      <c r="B8" s="430" t="s">
        <v>779</v>
      </c>
      <c r="C8" s="430" t="s">
        <v>773</v>
      </c>
      <c r="D8" s="430" t="s">
        <v>774</v>
      </c>
      <c r="E8" s="430" t="s">
        <v>780</v>
      </c>
      <c r="F8" s="430" t="s">
        <v>785</v>
      </c>
      <c r="G8" s="430" t="s">
        <v>786</v>
      </c>
      <c r="H8" s="433"/>
      <c r="I8" s="433"/>
      <c r="J8" s="430"/>
      <c r="K8" s="430"/>
      <c r="L8" s="433"/>
      <c r="M8" s="433"/>
      <c r="N8" s="430"/>
      <c r="O8" s="430"/>
      <c r="P8" s="433">
        <v>17</v>
      </c>
      <c r="Q8" s="433">
        <v>3961</v>
      </c>
      <c r="R8" s="467"/>
      <c r="S8" s="434">
        <v>233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1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04" bestFit="1" customWidth="1" collapsed="1"/>
    <col min="2" max="2" width="7.77734375" style="81" hidden="1" customWidth="1" outlineLevel="1"/>
    <col min="3" max="3" width="0.109375" style="104" hidden="1" customWidth="1"/>
    <col min="4" max="4" width="7.77734375" style="81" customWidth="1"/>
    <col min="5" max="5" width="5.44140625" style="104" hidden="1" customWidth="1"/>
    <col min="6" max="6" width="7.77734375" style="81" customWidth="1"/>
    <col min="7" max="7" width="7.77734375" style="183" customWidth="1" collapsed="1"/>
    <col min="8" max="8" width="7.77734375" style="81" hidden="1" customWidth="1" outlineLevel="1"/>
    <col min="9" max="9" width="5.44140625" style="104" hidden="1" customWidth="1"/>
    <col min="10" max="10" width="7.77734375" style="81" customWidth="1"/>
    <col min="11" max="11" width="5.44140625" style="104" hidden="1" customWidth="1"/>
    <col min="12" max="12" width="7.77734375" style="81" customWidth="1"/>
    <col min="13" max="13" width="7.77734375" style="183" customWidth="1" collapsed="1"/>
    <col min="14" max="14" width="7.77734375" style="81" hidden="1" customWidth="1" outlineLevel="1"/>
    <col min="15" max="15" width="5" style="104" hidden="1" customWidth="1"/>
    <col min="16" max="16" width="7.77734375" style="81" customWidth="1"/>
    <col min="17" max="17" width="5" style="104" hidden="1" customWidth="1"/>
    <col min="18" max="18" width="7.77734375" style="81" customWidth="1"/>
    <col min="19" max="19" width="7.77734375" style="183" customWidth="1"/>
    <col min="20" max="16384" width="8.88671875" style="104"/>
  </cols>
  <sheetData>
    <row r="1" spans="1:19" ht="18.600000000000001" customHeight="1" thickBot="1" x14ac:dyDescent="0.4">
      <c r="A1" s="295" t="s">
        <v>105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</row>
    <row r="2" spans="1:19" ht="14.4" customHeight="1" thickBot="1" x14ac:dyDescent="0.35">
      <c r="A2" s="199" t="s">
        <v>218</v>
      </c>
      <c r="B2" s="193"/>
      <c r="C2" s="86"/>
      <c r="D2" s="193"/>
      <c r="E2" s="86"/>
      <c r="F2" s="193"/>
      <c r="G2" s="194"/>
      <c r="H2" s="193"/>
      <c r="I2" s="86"/>
      <c r="J2" s="193"/>
      <c r="K2" s="86"/>
      <c r="L2" s="193"/>
      <c r="M2" s="194"/>
      <c r="N2" s="193"/>
      <c r="O2" s="86"/>
      <c r="P2" s="193"/>
      <c r="Q2" s="86"/>
      <c r="R2" s="193"/>
      <c r="S2" s="194"/>
    </row>
    <row r="3" spans="1:19" ht="14.4" customHeight="1" thickBot="1" x14ac:dyDescent="0.35">
      <c r="A3" s="187" t="s">
        <v>106</v>
      </c>
      <c r="B3" s="188">
        <f>SUBTOTAL(9,B6:B1048576)</f>
        <v>0</v>
      </c>
      <c r="C3" s="189">
        <f t="shared" ref="C3:R3" si="0">SUBTOTAL(9,C6:C1048576)</f>
        <v>0</v>
      </c>
      <c r="D3" s="189">
        <f t="shared" si="0"/>
        <v>18154</v>
      </c>
      <c r="E3" s="189">
        <f t="shared" si="0"/>
        <v>4</v>
      </c>
      <c r="F3" s="189">
        <f t="shared" si="0"/>
        <v>532147</v>
      </c>
      <c r="G3" s="192">
        <f>IF(D3&lt;&gt;0,F3/D3,"")</f>
        <v>29.312933788696707</v>
      </c>
      <c r="H3" s="188">
        <f t="shared" si="0"/>
        <v>0</v>
      </c>
      <c r="I3" s="189">
        <f t="shared" si="0"/>
        <v>0</v>
      </c>
      <c r="J3" s="189">
        <f t="shared" si="0"/>
        <v>0</v>
      </c>
      <c r="K3" s="189">
        <f t="shared" si="0"/>
        <v>0</v>
      </c>
      <c r="L3" s="189">
        <f t="shared" si="0"/>
        <v>0</v>
      </c>
      <c r="M3" s="190" t="str">
        <f>IF(J3&lt;&gt;0,L3/J3,"")</f>
        <v/>
      </c>
      <c r="N3" s="191">
        <f t="shared" si="0"/>
        <v>0</v>
      </c>
      <c r="O3" s="189">
        <f t="shared" si="0"/>
        <v>0</v>
      </c>
      <c r="P3" s="189">
        <f t="shared" si="0"/>
        <v>0</v>
      </c>
      <c r="Q3" s="189">
        <f t="shared" si="0"/>
        <v>0</v>
      </c>
      <c r="R3" s="189">
        <f t="shared" si="0"/>
        <v>0</v>
      </c>
      <c r="S3" s="190" t="str">
        <f>IF(P3&lt;&gt;0,R3/P3,"")</f>
        <v/>
      </c>
    </row>
    <row r="4" spans="1:19" ht="14.4" customHeight="1" x14ac:dyDescent="0.3">
      <c r="A4" s="359" t="s">
        <v>86</v>
      </c>
      <c r="B4" s="360" t="s">
        <v>80</v>
      </c>
      <c r="C4" s="361"/>
      <c r="D4" s="361"/>
      <c r="E4" s="361"/>
      <c r="F4" s="361"/>
      <c r="G4" s="363"/>
      <c r="H4" s="360" t="s">
        <v>81</v>
      </c>
      <c r="I4" s="361"/>
      <c r="J4" s="361"/>
      <c r="K4" s="361"/>
      <c r="L4" s="361"/>
      <c r="M4" s="363"/>
      <c r="N4" s="360" t="s">
        <v>82</v>
      </c>
      <c r="O4" s="361"/>
      <c r="P4" s="361"/>
      <c r="Q4" s="361"/>
      <c r="R4" s="361"/>
      <c r="S4" s="363"/>
    </row>
    <row r="5" spans="1:19" ht="14.4" customHeight="1" thickBot="1" x14ac:dyDescent="0.35">
      <c r="A5" s="435"/>
      <c r="B5" s="436">
        <v>2015</v>
      </c>
      <c r="C5" s="437"/>
      <c r="D5" s="437">
        <v>2018</v>
      </c>
      <c r="E5" s="437"/>
      <c r="F5" s="437">
        <v>2019</v>
      </c>
      <c r="G5" s="469" t="s">
        <v>2</v>
      </c>
      <c r="H5" s="436">
        <v>2015</v>
      </c>
      <c r="I5" s="437"/>
      <c r="J5" s="437">
        <v>2018</v>
      </c>
      <c r="K5" s="437"/>
      <c r="L5" s="437">
        <v>2019</v>
      </c>
      <c r="M5" s="469" t="s">
        <v>2</v>
      </c>
      <c r="N5" s="436">
        <v>2015</v>
      </c>
      <c r="O5" s="437"/>
      <c r="P5" s="437">
        <v>2018</v>
      </c>
      <c r="Q5" s="437"/>
      <c r="R5" s="437">
        <v>2019</v>
      </c>
      <c r="S5" s="469" t="s">
        <v>2</v>
      </c>
    </row>
    <row r="6" spans="1:19" ht="14.4" customHeight="1" x14ac:dyDescent="0.3">
      <c r="A6" s="476" t="s">
        <v>789</v>
      </c>
      <c r="B6" s="470"/>
      <c r="C6" s="418"/>
      <c r="D6" s="470"/>
      <c r="E6" s="418"/>
      <c r="F6" s="470">
        <v>175</v>
      </c>
      <c r="G6" s="465"/>
      <c r="H6" s="470"/>
      <c r="I6" s="418"/>
      <c r="J6" s="470"/>
      <c r="K6" s="418"/>
      <c r="L6" s="470"/>
      <c r="M6" s="465"/>
      <c r="N6" s="470"/>
      <c r="O6" s="418"/>
      <c r="P6" s="470"/>
      <c r="Q6" s="418"/>
      <c r="R6" s="470"/>
      <c r="S6" s="471"/>
    </row>
    <row r="7" spans="1:19" ht="14.4" customHeight="1" x14ac:dyDescent="0.3">
      <c r="A7" s="477" t="s">
        <v>790</v>
      </c>
      <c r="B7" s="472"/>
      <c r="C7" s="424"/>
      <c r="D7" s="472">
        <v>5916</v>
      </c>
      <c r="E7" s="424">
        <v>1</v>
      </c>
      <c r="F7" s="472">
        <v>96756</v>
      </c>
      <c r="G7" s="466">
        <v>16.35496957403651</v>
      </c>
      <c r="H7" s="472"/>
      <c r="I7" s="424"/>
      <c r="J7" s="472"/>
      <c r="K7" s="424"/>
      <c r="L7" s="472"/>
      <c r="M7" s="466"/>
      <c r="N7" s="472"/>
      <c r="O7" s="424"/>
      <c r="P7" s="472"/>
      <c r="Q7" s="424"/>
      <c r="R7" s="472"/>
      <c r="S7" s="473"/>
    </row>
    <row r="8" spans="1:19" ht="14.4" customHeight="1" x14ac:dyDescent="0.3">
      <c r="A8" s="477" t="s">
        <v>791</v>
      </c>
      <c r="B8" s="472"/>
      <c r="C8" s="424"/>
      <c r="D8" s="472"/>
      <c r="E8" s="424"/>
      <c r="F8" s="472">
        <v>408</v>
      </c>
      <c r="G8" s="466"/>
      <c r="H8" s="472"/>
      <c r="I8" s="424"/>
      <c r="J8" s="472"/>
      <c r="K8" s="424"/>
      <c r="L8" s="472"/>
      <c r="M8" s="466"/>
      <c r="N8" s="472"/>
      <c r="O8" s="424"/>
      <c r="P8" s="472"/>
      <c r="Q8" s="424"/>
      <c r="R8" s="472"/>
      <c r="S8" s="473"/>
    </row>
    <row r="9" spans="1:19" ht="14.4" customHeight="1" x14ac:dyDescent="0.3">
      <c r="A9" s="477" t="s">
        <v>792</v>
      </c>
      <c r="B9" s="472"/>
      <c r="C9" s="424"/>
      <c r="D9" s="472">
        <v>7134</v>
      </c>
      <c r="E9" s="424">
        <v>1</v>
      </c>
      <c r="F9" s="472">
        <v>154715</v>
      </c>
      <c r="G9" s="466">
        <v>21.6869918699187</v>
      </c>
      <c r="H9" s="472"/>
      <c r="I9" s="424"/>
      <c r="J9" s="472"/>
      <c r="K9" s="424"/>
      <c r="L9" s="472"/>
      <c r="M9" s="466"/>
      <c r="N9" s="472"/>
      <c r="O9" s="424"/>
      <c r="P9" s="472"/>
      <c r="Q9" s="424"/>
      <c r="R9" s="472"/>
      <c r="S9" s="473"/>
    </row>
    <row r="10" spans="1:19" ht="14.4" customHeight="1" x14ac:dyDescent="0.3">
      <c r="A10" s="477" t="s">
        <v>793</v>
      </c>
      <c r="B10" s="472"/>
      <c r="C10" s="424"/>
      <c r="D10" s="472"/>
      <c r="E10" s="424"/>
      <c r="F10" s="472">
        <v>169523</v>
      </c>
      <c r="G10" s="466"/>
      <c r="H10" s="472"/>
      <c r="I10" s="424"/>
      <c r="J10" s="472"/>
      <c r="K10" s="424"/>
      <c r="L10" s="472"/>
      <c r="M10" s="466"/>
      <c r="N10" s="472"/>
      <c r="O10" s="424"/>
      <c r="P10" s="472"/>
      <c r="Q10" s="424"/>
      <c r="R10" s="472"/>
      <c r="S10" s="473"/>
    </row>
    <row r="11" spans="1:19" ht="14.4" customHeight="1" x14ac:dyDescent="0.3">
      <c r="A11" s="477" t="s">
        <v>794</v>
      </c>
      <c r="B11" s="472"/>
      <c r="C11" s="424"/>
      <c r="D11" s="472">
        <v>4698</v>
      </c>
      <c r="E11" s="424">
        <v>1</v>
      </c>
      <c r="F11" s="472">
        <v>35567</v>
      </c>
      <c r="G11" s="466">
        <v>7.5706683695189438</v>
      </c>
      <c r="H11" s="472"/>
      <c r="I11" s="424"/>
      <c r="J11" s="472"/>
      <c r="K11" s="424"/>
      <c r="L11" s="472"/>
      <c r="M11" s="466"/>
      <c r="N11" s="472"/>
      <c r="O11" s="424"/>
      <c r="P11" s="472"/>
      <c r="Q11" s="424"/>
      <c r="R11" s="472"/>
      <c r="S11" s="473"/>
    </row>
    <row r="12" spans="1:19" ht="14.4" customHeight="1" x14ac:dyDescent="0.3">
      <c r="A12" s="477" t="s">
        <v>795</v>
      </c>
      <c r="B12" s="472"/>
      <c r="C12" s="424"/>
      <c r="D12" s="472">
        <v>406</v>
      </c>
      <c r="E12" s="424">
        <v>1</v>
      </c>
      <c r="F12" s="472">
        <v>74128</v>
      </c>
      <c r="G12" s="466">
        <v>182.58128078817734</v>
      </c>
      <c r="H12" s="472"/>
      <c r="I12" s="424"/>
      <c r="J12" s="472"/>
      <c r="K12" s="424"/>
      <c r="L12" s="472"/>
      <c r="M12" s="466"/>
      <c r="N12" s="472"/>
      <c r="O12" s="424"/>
      <c r="P12" s="472"/>
      <c r="Q12" s="424"/>
      <c r="R12" s="472"/>
      <c r="S12" s="473"/>
    </row>
    <row r="13" spans="1:19" ht="14.4" customHeight="1" thickBot="1" x14ac:dyDescent="0.35">
      <c r="A13" s="478" t="s">
        <v>796</v>
      </c>
      <c r="B13" s="474"/>
      <c r="C13" s="430"/>
      <c r="D13" s="474"/>
      <c r="E13" s="430"/>
      <c r="F13" s="474">
        <v>875</v>
      </c>
      <c r="G13" s="467"/>
      <c r="H13" s="474"/>
      <c r="I13" s="430"/>
      <c r="J13" s="474"/>
      <c r="K13" s="430"/>
      <c r="L13" s="474"/>
      <c r="M13" s="467"/>
      <c r="N13" s="474"/>
      <c r="O13" s="430"/>
      <c r="P13" s="474"/>
      <c r="Q13" s="430"/>
      <c r="R13" s="474"/>
      <c r="S13" s="475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2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04" bestFit="1" customWidth="1"/>
    <col min="2" max="2" width="8.6640625" style="104" bestFit="1" customWidth="1"/>
    <col min="3" max="3" width="2.109375" style="104" bestFit="1" customWidth="1"/>
    <col min="4" max="4" width="8" style="104" bestFit="1" customWidth="1"/>
    <col min="5" max="5" width="52.88671875" style="104" bestFit="1" customWidth="1" collapsed="1"/>
    <col min="6" max="7" width="11.109375" style="180" hidden="1" customWidth="1" outlineLevel="1"/>
    <col min="8" max="9" width="9.33203125" style="180" hidden="1" customWidth="1"/>
    <col min="10" max="11" width="11.109375" style="180" customWidth="1"/>
    <col min="12" max="13" width="9.33203125" style="180" hidden="1" customWidth="1"/>
    <col min="14" max="15" width="11.109375" style="180" customWidth="1"/>
    <col min="16" max="16" width="11.109375" style="183" customWidth="1"/>
    <col min="17" max="17" width="11.109375" style="180" customWidth="1"/>
    <col min="18" max="16384" width="8.88671875" style="104"/>
  </cols>
  <sheetData>
    <row r="1" spans="1:17" ht="18.600000000000001" customHeight="1" thickBot="1" x14ac:dyDescent="0.4">
      <c r="A1" s="283" t="s">
        <v>805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</row>
    <row r="2" spans="1:17" ht="14.4" customHeight="1" thickBot="1" x14ac:dyDescent="0.35">
      <c r="A2" s="199" t="s">
        <v>218</v>
      </c>
      <c r="B2" s="105"/>
      <c r="C2" s="105"/>
      <c r="D2" s="105"/>
      <c r="E2" s="10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6"/>
      <c r="Q2" s="195"/>
    </row>
    <row r="3" spans="1:17" ht="14.4" customHeight="1" thickBot="1" x14ac:dyDescent="0.35">
      <c r="E3" s="63" t="s">
        <v>106</v>
      </c>
      <c r="F3" s="77">
        <f t="shared" ref="F3:O3" si="0">SUBTOTAL(9,F6:F1048576)</f>
        <v>0</v>
      </c>
      <c r="G3" s="78">
        <f t="shared" si="0"/>
        <v>0</v>
      </c>
      <c r="H3" s="78"/>
      <c r="I3" s="78"/>
      <c r="J3" s="78">
        <f t="shared" si="0"/>
        <v>89</v>
      </c>
      <c r="K3" s="78">
        <f t="shared" si="0"/>
        <v>18154</v>
      </c>
      <c r="L3" s="78"/>
      <c r="M3" s="78"/>
      <c r="N3" s="78">
        <f t="shared" si="0"/>
        <v>2839</v>
      </c>
      <c r="O3" s="78">
        <f t="shared" si="0"/>
        <v>532147</v>
      </c>
      <c r="P3" s="59">
        <f>IF(K3=0,0,O3/K3)</f>
        <v>29.312933788696707</v>
      </c>
      <c r="Q3" s="79">
        <f>IF(N3=0,0,O3/N3)</f>
        <v>187.44170482564283</v>
      </c>
    </row>
    <row r="4" spans="1:17" ht="14.4" customHeight="1" x14ac:dyDescent="0.3">
      <c r="A4" s="368" t="s">
        <v>50</v>
      </c>
      <c r="B4" s="366" t="s">
        <v>76</v>
      </c>
      <c r="C4" s="368" t="s">
        <v>77</v>
      </c>
      <c r="D4" s="377" t="s">
        <v>78</v>
      </c>
      <c r="E4" s="369" t="s">
        <v>51</v>
      </c>
      <c r="F4" s="375">
        <v>2015</v>
      </c>
      <c r="G4" s="376"/>
      <c r="H4" s="80"/>
      <c r="I4" s="80"/>
      <c r="J4" s="375">
        <v>2018</v>
      </c>
      <c r="K4" s="376"/>
      <c r="L4" s="80"/>
      <c r="M4" s="80"/>
      <c r="N4" s="375">
        <v>2019</v>
      </c>
      <c r="O4" s="376"/>
      <c r="P4" s="378" t="s">
        <v>2</v>
      </c>
      <c r="Q4" s="367" t="s">
        <v>79</v>
      </c>
    </row>
    <row r="5" spans="1:17" ht="14.4" customHeight="1" thickBot="1" x14ac:dyDescent="0.35">
      <c r="A5" s="457"/>
      <c r="B5" s="455"/>
      <c r="C5" s="457"/>
      <c r="D5" s="479"/>
      <c r="E5" s="459"/>
      <c r="F5" s="480" t="s">
        <v>53</v>
      </c>
      <c r="G5" s="481" t="s">
        <v>10</v>
      </c>
      <c r="H5" s="482"/>
      <c r="I5" s="482"/>
      <c r="J5" s="480" t="s">
        <v>53</v>
      </c>
      <c r="K5" s="481" t="s">
        <v>10</v>
      </c>
      <c r="L5" s="482"/>
      <c r="M5" s="482"/>
      <c r="N5" s="480" t="s">
        <v>53</v>
      </c>
      <c r="O5" s="481" t="s">
        <v>10</v>
      </c>
      <c r="P5" s="483"/>
      <c r="Q5" s="464"/>
    </row>
    <row r="6" spans="1:17" ht="14.4" customHeight="1" x14ac:dyDescent="0.3">
      <c r="A6" s="417" t="s">
        <v>797</v>
      </c>
      <c r="B6" s="418" t="s">
        <v>779</v>
      </c>
      <c r="C6" s="418" t="s">
        <v>780</v>
      </c>
      <c r="D6" s="418" t="s">
        <v>781</v>
      </c>
      <c r="E6" s="418" t="s">
        <v>782</v>
      </c>
      <c r="F6" s="421"/>
      <c r="G6" s="421"/>
      <c r="H6" s="421"/>
      <c r="I6" s="421"/>
      <c r="J6" s="421"/>
      <c r="K6" s="421"/>
      <c r="L6" s="421"/>
      <c r="M6" s="421"/>
      <c r="N6" s="421">
        <v>1</v>
      </c>
      <c r="O6" s="421">
        <v>175</v>
      </c>
      <c r="P6" s="465"/>
      <c r="Q6" s="422">
        <v>175</v>
      </c>
    </row>
    <row r="7" spans="1:17" ht="14.4" customHeight="1" x14ac:dyDescent="0.3">
      <c r="A7" s="423" t="s">
        <v>798</v>
      </c>
      <c r="B7" s="424" t="s">
        <v>779</v>
      </c>
      <c r="C7" s="424" t="s">
        <v>780</v>
      </c>
      <c r="D7" s="424" t="s">
        <v>781</v>
      </c>
      <c r="E7" s="424" t="s">
        <v>782</v>
      </c>
      <c r="F7" s="427"/>
      <c r="G7" s="427"/>
      <c r="H7" s="427"/>
      <c r="I7" s="427"/>
      <c r="J7" s="427">
        <v>14</v>
      </c>
      <c r="K7" s="427">
        <v>2436</v>
      </c>
      <c r="L7" s="427">
        <v>1</v>
      </c>
      <c r="M7" s="427">
        <v>174</v>
      </c>
      <c r="N7" s="427">
        <v>477</v>
      </c>
      <c r="O7" s="427">
        <v>83475</v>
      </c>
      <c r="P7" s="466">
        <v>34.267241379310342</v>
      </c>
      <c r="Q7" s="428">
        <v>175</v>
      </c>
    </row>
    <row r="8" spans="1:17" ht="14.4" customHeight="1" x14ac:dyDescent="0.3">
      <c r="A8" s="423" t="s">
        <v>798</v>
      </c>
      <c r="B8" s="424" t="s">
        <v>779</v>
      </c>
      <c r="C8" s="424" t="s">
        <v>780</v>
      </c>
      <c r="D8" s="424" t="s">
        <v>783</v>
      </c>
      <c r="E8" s="424" t="s">
        <v>784</v>
      </c>
      <c r="F8" s="427"/>
      <c r="G8" s="427"/>
      <c r="H8" s="427"/>
      <c r="I8" s="427"/>
      <c r="J8" s="427">
        <v>14</v>
      </c>
      <c r="K8" s="427">
        <v>3248</v>
      </c>
      <c r="L8" s="427">
        <v>1</v>
      </c>
      <c r="M8" s="427">
        <v>232</v>
      </c>
      <c r="N8" s="427">
        <v>48</v>
      </c>
      <c r="O8" s="427">
        <v>11184</v>
      </c>
      <c r="P8" s="466">
        <v>3.4433497536945814</v>
      </c>
      <c r="Q8" s="428">
        <v>233</v>
      </c>
    </row>
    <row r="9" spans="1:17" ht="14.4" customHeight="1" x14ac:dyDescent="0.3">
      <c r="A9" s="423" t="s">
        <v>798</v>
      </c>
      <c r="B9" s="424" t="s">
        <v>779</v>
      </c>
      <c r="C9" s="424" t="s">
        <v>780</v>
      </c>
      <c r="D9" s="424" t="s">
        <v>785</v>
      </c>
      <c r="E9" s="424" t="s">
        <v>786</v>
      </c>
      <c r="F9" s="427"/>
      <c r="G9" s="427"/>
      <c r="H9" s="427"/>
      <c r="I9" s="427"/>
      <c r="J9" s="427">
        <v>1</v>
      </c>
      <c r="K9" s="427">
        <v>232</v>
      </c>
      <c r="L9" s="427">
        <v>1</v>
      </c>
      <c r="M9" s="427">
        <v>232</v>
      </c>
      <c r="N9" s="427">
        <v>9</v>
      </c>
      <c r="O9" s="427">
        <v>2097</v>
      </c>
      <c r="P9" s="466">
        <v>9.0387931034482758</v>
      </c>
      <c r="Q9" s="428">
        <v>233</v>
      </c>
    </row>
    <row r="10" spans="1:17" ht="14.4" customHeight="1" x14ac:dyDescent="0.3">
      <c r="A10" s="423" t="s">
        <v>799</v>
      </c>
      <c r="B10" s="424" t="s">
        <v>779</v>
      </c>
      <c r="C10" s="424" t="s">
        <v>780</v>
      </c>
      <c r="D10" s="424" t="s">
        <v>781</v>
      </c>
      <c r="E10" s="424" t="s">
        <v>782</v>
      </c>
      <c r="F10" s="427"/>
      <c r="G10" s="427"/>
      <c r="H10" s="427"/>
      <c r="I10" s="427"/>
      <c r="J10" s="427"/>
      <c r="K10" s="427"/>
      <c r="L10" s="427"/>
      <c r="M10" s="427"/>
      <c r="N10" s="427">
        <v>1</v>
      </c>
      <c r="O10" s="427">
        <v>175</v>
      </c>
      <c r="P10" s="466"/>
      <c r="Q10" s="428">
        <v>175</v>
      </c>
    </row>
    <row r="11" spans="1:17" ht="14.4" customHeight="1" x14ac:dyDescent="0.3">
      <c r="A11" s="423" t="s">
        <v>799</v>
      </c>
      <c r="B11" s="424" t="s">
        <v>779</v>
      </c>
      <c r="C11" s="424" t="s">
        <v>780</v>
      </c>
      <c r="D11" s="424" t="s">
        <v>783</v>
      </c>
      <c r="E11" s="424" t="s">
        <v>784</v>
      </c>
      <c r="F11" s="427"/>
      <c r="G11" s="427"/>
      <c r="H11" s="427"/>
      <c r="I11" s="427"/>
      <c r="J11" s="427"/>
      <c r="K11" s="427"/>
      <c r="L11" s="427"/>
      <c r="M11" s="427"/>
      <c r="N11" s="427">
        <v>1</v>
      </c>
      <c r="O11" s="427">
        <v>233</v>
      </c>
      <c r="P11" s="466"/>
      <c r="Q11" s="428">
        <v>233</v>
      </c>
    </row>
    <row r="12" spans="1:17" ht="14.4" customHeight="1" x14ac:dyDescent="0.3">
      <c r="A12" s="423" t="s">
        <v>800</v>
      </c>
      <c r="B12" s="424" t="s">
        <v>779</v>
      </c>
      <c r="C12" s="424" t="s">
        <v>780</v>
      </c>
      <c r="D12" s="424" t="s">
        <v>781</v>
      </c>
      <c r="E12" s="424" t="s">
        <v>782</v>
      </c>
      <c r="F12" s="427"/>
      <c r="G12" s="427"/>
      <c r="H12" s="427"/>
      <c r="I12" s="427"/>
      <c r="J12" s="427">
        <v>17</v>
      </c>
      <c r="K12" s="427">
        <v>2958</v>
      </c>
      <c r="L12" s="427">
        <v>1</v>
      </c>
      <c r="M12" s="427">
        <v>174</v>
      </c>
      <c r="N12" s="427">
        <v>711</v>
      </c>
      <c r="O12" s="427">
        <v>124425</v>
      </c>
      <c r="P12" s="466">
        <v>42.063894523326574</v>
      </c>
      <c r="Q12" s="428">
        <v>175</v>
      </c>
    </row>
    <row r="13" spans="1:17" ht="14.4" customHeight="1" x14ac:dyDescent="0.3">
      <c r="A13" s="423" t="s">
        <v>800</v>
      </c>
      <c r="B13" s="424" t="s">
        <v>779</v>
      </c>
      <c r="C13" s="424" t="s">
        <v>780</v>
      </c>
      <c r="D13" s="424" t="s">
        <v>783</v>
      </c>
      <c r="E13" s="424" t="s">
        <v>784</v>
      </c>
      <c r="F13" s="427"/>
      <c r="G13" s="427"/>
      <c r="H13" s="427"/>
      <c r="I13" s="427"/>
      <c r="J13" s="427">
        <v>17</v>
      </c>
      <c r="K13" s="427">
        <v>3944</v>
      </c>
      <c r="L13" s="427">
        <v>1</v>
      </c>
      <c r="M13" s="427">
        <v>232</v>
      </c>
      <c r="N13" s="427">
        <v>122</v>
      </c>
      <c r="O13" s="427">
        <v>28426</v>
      </c>
      <c r="P13" s="466">
        <v>7.2074036511156185</v>
      </c>
      <c r="Q13" s="428">
        <v>233</v>
      </c>
    </row>
    <row r="14" spans="1:17" ht="14.4" customHeight="1" x14ac:dyDescent="0.3">
      <c r="A14" s="423" t="s">
        <v>800</v>
      </c>
      <c r="B14" s="424" t="s">
        <v>779</v>
      </c>
      <c r="C14" s="424" t="s">
        <v>780</v>
      </c>
      <c r="D14" s="424" t="s">
        <v>785</v>
      </c>
      <c r="E14" s="424" t="s">
        <v>786</v>
      </c>
      <c r="F14" s="427"/>
      <c r="G14" s="427"/>
      <c r="H14" s="427"/>
      <c r="I14" s="427"/>
      <c r="J14" s="427">
        <v>1</v>
      </c>
      <c r="K14" s="427">
        <v>232</v>
      </c>
      <c r="L14" s="427">
        <v>1</v>
      </c>
      <c r="M14" s="427">
        <v>232</v>
      </c>
      <c r="N14" s="427">
        <v>8</v>
      </c>
      <c r="O14" s="427">
        <v>1864</v>
      </c>
      <c r="P14" s="466">
        <v>8.0344827586206904</v>
      </c>
      <c r="Q14" s="428">
        <v>233</v>
      </c>
    </row>
    <row r="15" spans="1:17" ht="14.4" customHeight="1" x14ac:dyDescent="0.3">
      <c r="A15" s="423" t="s">
        <v>801</v>
      </c>
      <c r="B15" s="424" t="s">
        <v>779</v>
      </c>
      <c r="C15" s="424" t="s">
        <v>780</v>
      </c>
      <c r="D15" s="424" t="s">
        <v>781</v>
      </c>
      <c r="E15" s="424" t="s">
        <v>782</v>
      </c>
      <c r="F15" s="427"/>
      <c r="G15" s="427"/>
      <c r="H15" s="427"/>
      <c r="I15" s="427"/>
      <c r="J15" s="427"/>
      <c r="K15" s="427"/>
      <c r="L15" s="427"/>
      <c r="M15" s="427"/>
      <c r="N15" s="427">
        <v>528</v>
      </c>
      <c r="O15" s="427">
        <v>92400</v>
      </c>
      <c r="P15" s="466"/>
      <c r="Q15" s="428">
        <v>175</v>
      </c>
    </row>
    <row r="16" spans="1:17" ht="14.4" customHeight="1" x14ac:dyDescent="0.3">
      <c r="A16" s="423" t="s">
        <v>801</v>
      </c>
      <c r="B16" s="424" t="s">
        <v>779</v>
      </c>
      <c r="C16" s="424" t="s">
        <v>780</v>
      </c>
      <c r="D16" s="424" t="s">
        <v>783</v>
      </c>
      <c r="E16" s="424" t="s">
        <v>784</v>
      </c>
      <c r="F16" s="427"/>
      <c r="G16" s="427"/>
      <c r="H16" s="427"/>
      <c r="I16" s="427"/>
      <c r="J16" s="427"/>
      <c r="K16" s="427"/>
      <c r="L16" s="427"/>
      <c r="M16" s="427"/>
      <c r="N16" s="427">
        <v>214</v>
      </c>
      <c r="O16" s="427">
        <v>49862</v>
      </c>
      <c r="P16" s="466"/>
      <c r="Q16" s="428">
        <v>233</v>
      </c>
    </row>
    <row r="17" spans="1:17" ht="14.4" customHeight="1" x14ac:dyDescent="0.3">
      <c r="A17" s="423" t="s">
        <v>801</v>
      </c>
      <c r="B17" s="424" t="s">
        <v>779</v>
      </c>
      <c r="C17" s="424" t="s">
        <v>780</v>
      </c>
      <c r="D17" s="424" t="s">
        <v>785</v>
      </c>
      <c r="E17" s="424" t="s">
        <v>786</v>
      </c>
      <c r="F17" s="427"/>
      <c r="G17" s="427"/>
      <c r="H17" s="427"/>
      <c r="I17" s="427"/>
      <c r="J17" s="427"/>
      <c r="K17" s="427"/>
      <c r="L17" s="427"/>
      <c r="M17" s="427"/>
      <c r="N17" s="427">
        <v>117</v>
      </c>
      <c r="O17" s="427">
        <v>27261</v>
      </c>
      <c r="P17" s="466"/>
      <c r="Q17" s="428">
        <v>233</v>
      </c>
    </row>
    <row r="18" spans="1:17" ht="14.4" customHeight="1" x14ac:dyDescent="0.3">
      <c r="A18" s="423" t="s">
        <v>802</v>
      </c>
      <c r="B18" s="424" t="s">
        <v>779</v>
      </c>
      <c r="C18" s="424" t="s">
        <v>780</v>
      </c>
      <c r="D18" s="424" t="s">
        <v>781</v>
      </c>
      <c r="E18" s="424" t="s">
        <v>782</v>
      </c>
      <c r="F18" s="427"/>
      <c r="G18" s="427"/>
      <c r="H18" s="427"/>
      <c r="I18" s="427"/>
      <c r="J18" s="427">
        <v>11</v>
      </c>
      <c r="K18" s="427">
        <v>1914</v>
      </c>
      <c r="L18" s="427">
        <v>1</v>
      </c>
      <c r="M18" s="427">
        <v>174</v>
      </c>
      <c r="N18" s="427">
        <v>138</v>
      </c>
      <c r="O18" s="427">
        <v>24150</v>
      </c>
      <c r="P18" s="466">
        <v>12.617554858934168</v>
      </c>
      <c r="Q18" s="428">
        <v>175</v>
      </c>
    </row>
    <row r="19" spans="1:17" ht="14.4" customHeight="1" x14ac:dyDescent="0.3">
      <c r="A19" s="423" t="s">
        <v>802</v>
      </c>
      <c r="B19" s="424" t="s">
        <v>779</v>
      </c>
      <c r="C19" s="424" t="s">
        <v>780</v>
      </c>
      <c r="D19" s="424" t="s">
        <v>783</v>
      </c>
      <c r="E19" s="424" t="s">
        <v>784</v>
      </c>
      <c r="F19" s="427"/>
      <c r="G19" s="427"/>
      <c r="H19" s="427"/>
      <c r="I19" s="427"/>
      <c r="J19" s="427">
        <v>11</v>
      </c>
      <c r="K19" s="427">
        <v>2552</v>
      </c>
      <c r="L19" s="427">
        <v>1</v>
      </c>
      <c r="M19" s="427">
        <v>232</v>
      </c>
      <c r="N19" s="427">
        <v>35</v>
      </c>
      <c r="O19" s="427">
        <v>8155</v>
      </c>
      <c r="P19" s="466">
        <v>3.1955329153605017</v>
      </c>
      <c r="Q19" s="428">
        <v>233</v>
      </c>
    </row>
    <row r="20" spans="1:17" ht="14.4" customHeight="1" x14ac:dyDescent="0.3">
      <c r="A20" s="423" t="s">
        <v>802</v>
      </c>
      <c r="B20" s="424" t="s">
        <v>779</v>
      </c>
      <c r="C20" s="424" t="s">
        <v>780</v>
      </c>
      <c r="D20" s="424" t="s">
        <v>785</v>
      </c>
      <c r="E20" s="424" t="s">
        <v>786</v>
      </c>
      <c r="F20" s="427"/>
      <c r="G20" s="427"/>
      <c r="H20" s="427"/>
      <c r="I20" s="427"/>
      <c r="J20" s="427">
        <v>1</v>
      </c>
      <c r="K20" s="427">
        <v>232</v>
      </c>
      <c r="L20" s="427">
        <v>1</v>
      </c>
      <c r="M20" s="427">
        <v>232</v>
      </c>
      <c r="N20" s="427">
        <v>14</v>
      </c>
      <c r="O20" s="427">
        <v>3262</v>
      </c>
      <c r="P20" s="466">
        <v>14.060344827586206</v>
      </c>
      <c r="Q20" s="428">
        <v>233</v>
      </c>
    </row>
    <row r="21" spans="1:17" ht="14.4" customHeight="1" x14ac:dyDescent="0.3">
      <c r="A21" s="423" t="s">
        <v>803</v>
      </c>
      <c r="B21" s="424" t="s">
        <v>779</v>
      </c>
      <c r="C21" s="424" t="s">
        <v>780</v>
      </c>
      <c r="D21" s="424" t="s">
        <v>781</v>
      </c>
      <c r="E21" s="424" t="s">
        <v>782</v>
      </c>
      <c r="F21" s="427"/>
      <c r="G21" s="427"/>
      <c r="H21" s="427"/>
      <c r="I21" s="427"/>
      <c r="J21" s="427">
        <v>1</v>
      </c>
      <c r="K21" s="427">
        <v>174</v>
      </c>
      <c r="L21" s="427">
        <v>1</v>
      </c>
      <c r="M21" s="427">
        <v>174</v>
      </c>
      <c r="N21" s="427">
        <v>369</v>
      </c>
      <c r="O21" s="427">
        <v>64575</v>
      </c>
      <c r="P21" s="466">
        <v>371.12068965517244</v>
      </c>
      <c r="Q21" s="428">
        <v>175</v>
      </c>
    </row>
    <row r="22" spans="1:17" ht="14.4" customHeight="1" x14ac:dyDescent="0.3">
      <c r="A22" s="423" t="s">
        <v>803</v>
      </c>
      <c r="B22" s="424" t="s">
        <v>779</v>
      </c>
      <c r="C22" s="424" t="s">
        <v>780</v>
      </c>
      <c r="D22" s="424" t="s">
        <v>783</v>
      </c>
      <c r="E22" s="424" t="s">
        <v>784</v>
      </c>
      <c r="F22" s="427"/>
      <c r="G22" s="427"/>
      <c r="H22" s="427"/>
      <c r="I22" s="427"/>
      <c r="J22" s="427">
        <v>1</v>
      </c>
      <c r="K22" s="427">
        <v>232</v>
      </c>
      <c r="L22" s="427">
        <v>1</v>
      </c>
      <c r="M22" s="427">
        <v>232</v>
      </c>
      <c r="N22" s="427">
        <v>31</v>
      </c>
      <c r="O22" s="427">
        <v>7223</v>
      </c>
      <c r="P22" s="466">
        <v>31.133620689655171</v>
      </c>
      <c r="Q22" s="428">
        <v>233</v>
      </c>
    </row>
    <row r="23" spans="1:17" ht="14.4" customHeight="1" x14ac:dyDescent="0.3">
      <c r="A23" s="423" t="s">
        <v>803</v>
      </c>
      <c r="B23" s="424" t="s">
        <v>779</v>
      </c>
      <c r="C23" s="424" t="s">
        <v>780</v>
      </c>
      <c r="D23" s="424" t="s">
        <v>785</v>
      </c>
      <c r="E23" s="424" t="s">
        <v>786</v>
      </c>
      <c r="F23" s="427"/>
      <c r="G23" s="427"/>
      <c r="H23" s="427"/>
      <c r="I23" s="427"/>
      <c r="J23" s="427"/>
      <c r="K23" s="427"/>
      <c r="L23" s="427"/>
      <c r="M23" s="427"/>
      <c r="N23" s="427">
        <v>10</v>
      </c>
      <c r="O23" s="427">
        <v>2330</v>
      </c>
      <c r="P23" s="466"/>
      <c r="Q23" s="428">
        <v>233</v>
      </c>
    </row>
    <row r="24" spans="1:17" ht="14.4" customHeight="1" thickBot="1" x14ac:dyDescent="0.35">
      <c r="A24" s="429" t="s">
        <v>804</v>
      </c>
      <c r="B24" s="430" t="s">
        <v>779</v>
      </c>
      <c r="C24" s="430" t="s">
        <v>780</v>
      </c>
      <c r="D24" s="430" t="s">
        <v>781</v>
      </c>
      <c r="E24" s="430" t="s">
        <v>782</v>
      </c>
      <c r="F24" s="433"/>
      <c r="G24" s="433"/>
      <c r="H24" s="433"/>
      <c r="I24" s="433"/>
      <c r="J24" s="433"/>
      <c r="K24" s="433"/>
      <c r="L24" s="433"/>
      <c r="M24" s="433"/>
      <c r="N24" s="433">
        <v>5</v>
      </c>
      <c r="O24" s="433">
        <v>875</v>
      </c>
      <c r="P24" s="467"/>
      <c r="Q24" s="434">
        <v>175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3</vt:i4>
      </vt:variant>
    </vt:vector>
  </HeadingPairs>
  <TitlesOfParts>
    <vt:vector size="20" baseType="lpstr">
      <vt:lpstr>Obsah</vt:lpstr>
      <vt:lpstr>Motivace</vt:lpstr>
      <vt:lpstr>HI</vt:lpstr>
      <vt:lpstr>HI Graf</vt:lpstr>
      <vt:lpstr>Man Tab</vt:lpstr>
      <vt:lpstr>HV</vt:lpstr>
      <vt:lpstr>Léky Žádanky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2019-06-27T11:37:28Z</dcterms:modified>
</cp:coreProperties>
</file>