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648" windowWidth="15300" windowHeight="8604" tabRatio="930"/>
  </bookViews>
  <sheets>
    <sheet name="Obsah" sheetId="383" r:id="rId1"/>
    <sheet name="Motivace" sheetId="414" r:id="rId2"/>
    <sheet name="HI" sheetId="339" r:id="rId3"/>
    <sheet name="HI Graf" sheetId="340" r:id="rId4"/>
    <sheet name="Man Tab" sheetId="366" r:id="rId5"/>
    <sheet name="HV" sheetId="367" r:id="rId6"/>
    <sheet name="Léky Žádanky" sheetId="219" r:id="rId7"/>
    <sheet name="LŽ Detail" sheetId="220" r:id="rId8"/>
    <sheet name="LŽ PL" sheetId="380" r:id="rId9"/>
    <sheet name="LŽ PL Detail" sheetId="387" r:id="rId10"/>
    <sheet name="Léky Recepty" sheetId="346" r:id="rId11"/>
    <sheet name="LRp Lékaři" sheetId="415" r:id="rId12"/>
    <sheet name="LRp Detail" sheetId="347" r:id="rId13"/>
    <sheet name="LRp PL" sheetId="388" r:id="rId14"/>
    <sheet name="LRp PL Detail" sheetId="390" r:id="rId15"/>
    <sheet name="Materiál Žádanky" sheetId="402" r:id="rId16"/>
    <sheet name="MŽ Detail" sheetId="403" r:id="rId17"/>
    <sheet name="Osobní náklady" sheetId="419" r:id="rId18"/>
    <sheet name="ON Data" sheetId="418" state="hidden" r:id="rId19"/>
    <sheet name="ZV Vykáz.-A" sheetId="344" r:id="rId20"/>
    <sheet name="ZV Vykáz.-A Detail" sheetId="345" r:id="rId21"/>
    <sheet name="ZV Vykáz.-H" sheetId="410" r:id="rId22"/>
    <sheet name="ZV Vykáz.-H Detail" sheetId="377" r:id="rId23"/>
    <sheet name="CaseMix" sheetId="370" r:id="rId24"/>
    <sheet name="ALOS" sheetId="374" r:id="rId25"/>
    <sheet name="Total" sheetId="371" r:id="rId26"/>
    <sheet name="ZV Vyžád." sheetId="342" r:id="rId27"/>
    <sheet name="ZV Vyžád. Detail" sheetId="343" r:id="rId28"/>
    <sheet name="OD TISS" sheetId="372" r:id="rId29"/>
  </sheets>
  <definedNames>
    <definedName name="_xlnm._FilterDatabase" localSheetId="5" hidden="1">HV!$A$5:$A$5</definedName>
    <definedName name="_xlnm._FilterDatabase" localSheetId="10" hidden="1">'Léky Recepty'!$A$4:$M$4</definedName>
    <definedName name="_xlnm._FilterDatabase" localSheetId="6" hidden="1">'Léky Žádanky'!$A$3:$G$3</definedName>
    <definedName name="_xlnm._FilterDatabase" localSheetId="12" hidden="1">'LRp Detail'!$A$6:$U$6</definedName>
    <definedName name="_xlnm._FilterDatabase" localSheetId="11" hidden="1">'LRp Lékaři'!$A$4:$N$4</definedName>
    <definedName name="_xlnm._FilterDatabase" localSheetId="13" hidden="1">'LRp PL'!$A$3:$F$50</definedName>
    <definedName name="_xlnm._FilterDatabase" localSheetId="14" hidden="1">'LRp PL Detail'!$A$5:$M$1005</definedName>
    <definedName name="_xlnm._FilterDatabase" localSheetId="7" hidden="1">'LŽ Detail'!$A$4:$N$4</definedName>
    <definedName name="_xlnm._FilterDatabase" localSheetId="8" hidden="1">'LŽ PL'!$A$4:$F$15</definedName>
    <definedName name="_xlnm._FilterDatabase" localSheetId="9" hidden="1">'LŽ PL Detail'!$A$5:$M$374</definedName>
    <definedName name="_xlnm._FilterDatabase" localSheetId="4" hidden="1">'Man Tab'!$A$5:$A$31</definedName>
    <definedName name="_xlnm._FilterDatabase" localSheetId="15" hidden="1">'Materiál Žádanky'!$A$3:$G$3</definedName>
    <definedName name="_xlnm._FilterDatabase" localSheetId="16" hidden="1">'MŽ Detail'!$A$4:$K$4</definedName>
    <definedName name="_xlnm._FilterDatabase" localSheetId="28" hidden="1">'OD TISS'!$A$5:$N$5</definedName>
    <definedName name="_xlnm._FilterDatabase" localSheetId="25" hidden="1">Total!$A$4:$W$4</definedName>
    <definedName name="_xlnm._FilterDatabase" localSheetId="20" hidden="1">'ZV Vykáz.-A Detail'!$A$5:$P$5</definedName>
    <definedName name="_xlnm._FilterDatabase" localSheetId="22" hidden="1">'ZV Vykáz.-H Detail'!$A$5:$Q$5</definedName>
    <definedName name="_xlnm._FilterDatabase" localSheetId="26" hidden="1">'ZV Vyžád.'!$A$5:$M$5</definedName>
    <definedName name="_xlnm._FilterDatabase" localSheetId="27" hidden="1">'ZV Vyžád. Detail'!$A$5:$Q$5</definedName>
    <definedName name="doměsíce">'HI Graf'!$C$11</definedName>
    <definedName name="_xlnm.Print_Area" localSheetId="24">ALOS!$A$1:$M$45</definedName>
    <definedName name="_xlnm.Print_Area" localSheetId="23">CaseMix!$A$1:$M$39</definedName>
  </definedNames>
  <calcPr calcId="145621"/>
</workbook>
</file>

<file path=xl/calcChain.xml><?xml version="1.0" encoding="utf-8"?>
<calcChain xmlns="http://schemas.openxmlformats.org/spreadsheetml/2006/main">
  <c r="V47" i="371" l="1"/>
  <c r="U47" i="371"/>
  <c r="T47" i="371"/>
  <c r="S47" i="371"/>
  <c r="R47" i="371"/>
  <c r="Q47" i="371"/>
  <c r="V46" i="371"/>
  <c r="U46" i="371"/>
  <c r="T46" i="371"/>
  <c r="S46" i="371"/>
  <c r="R46" i="371"/>
  <c r="Q46" i="371"/>
  <c r="V45" i="371"/>
  <c r="U45" i="371"/>
  <c r="T45" i="371"/>
  <c r="S45" i="371"/>
  <c r="R45" i="371"/>
  <c r="Q45" i="371"/>
  <c r="V44" i="371"/>
  <c r="U44" i="371"/>
  <c r="T44" i="371"/>
  <c r="S44" i="371"/>
  <c r="R44" i="371"/>
  <c r="Q44" i="371"/>
  <c r="T43" i="371"/>
  <c r="V43" i="371" s="1"/>
  <c r="S43" i="371"/>
  <c r="R43" i="371"/>
  <c r="Q43" i="371"/>
  <c r="V42" i="371"/>
  <c r="U42" i="371"/>
  <c r="T42" i="371"/>
  <c r="S42" i="371"/>
  <c r="R42" i="371"/>
  <c r="Q42" i="371"/>
  <c r="T41" i="371"/>
  <c r="V41" i="371" s="1"/>
  <c r="S41" i="371"/>
  <c r="R41" i="371"/>
  <c r="Q41" i="371"/>
  <c r="V40" i="371"/>
  <c r="U40" i="371"/>
  <c r="T40" i="371"/>
  <c r="S40" i="371"/>
  <c r="R40" i="371"/>
  <c r="Q40" i="371"/>
  <c r="T39" i="371"/>
  <c r="V39" i="371" s="1"/>
  <c r="S39" i="371"/>
  <c r="R39" i="371"/>
  <c r="Q39" i="371"/>
  <c r="V38" i="371"/>
  <c r="U38" i="371"/>
  <c r="T38" i="371"/>
  <c r="S38" i="371"/>
  <c r="R38" i="371"/>
  <c r="Q38" i="371"/>
  <c r="T37" i="371"/>
  <c r="V37" i="371" s="1"/>
  <c r="S37" i="371"/>
  <c r="R37" i="371"/>
  <c r="Q37" i="371"/>
  <c r="V36" i="371"/>
  <c r="U36" i="371"/>
  <c r="T36" i="371"/>
  <c r="S36" i="371"/>
  <c r="R36" i="371"/>
  <c r="Q36" i="371"/>
  <c r="V35" i="371"/>
  <c r="U35" i="371"/>
  <c r="T35" i="371"/>
  <c r="S35" i="371"/>
  <c r="R35" i="371"/>
  <c r="Q35" i="371"/>
  <c r="V34" i="371"/>
  <c r="U34" i="371"/>
  <c r="T34" i="371"/>
  <c r="S34" i="371"/>
  <c r="R34" i="371"/>
  <c r="Q34" i="371"/>
  <c r="V33" i="371"/>
  <c r="U33" i="371"/>
  <c r="T33" i="371"/>
  <c r="S33" i="371"/>
  <c r="R33" i="371"/>
  <c r="Q33" i="371"/>
  <c r="V32" i="371"/>
  <c r="U32" i="371"/>
  <c r="T32" i="371"/>
  <c r="S32" i="371"/>
  <c r="R32" i="371"/>
  <c r="Q32" i="371"/>
  <c r="T31" i="371"/>
  <c r="V31" i="371" s="1"/>
  <c r="S31" i="371"/>
  <c r="R31" i="371"/>
  <c r="Q31" i="371"/>
  <c r="V30" i="371"/>
  <c r="U30" i="371"/>
  <c r="T30" i="371"/>
  <c r="S30" i="371"/>
  <c r="R30" i="371"/>
  <c r="Q30" i="371"/>
  <c r="T29" i="371"/>
  <c r="V29" i="371" s="1"/>
  <c r="S29" i="371"/>
  <c r="R29" i="371"/>
  <c r="Q29" i="371"/>
  <c r="V28" i="371"/>
  <c r="U28" i="371"/>
  <c r="T28" i="371"/>
  <c r="S28" i="371"/>
  <c r="R28" i="371"/>
  <c r="Q28" i="371"/>
  <c r="T27" i="371"/>
  <c r="V27" i="371" s="1"/>
  <c r="S27" i="371"/>
  <c r="R27" i="371"/>
  <c r="Q27" i="371"/>
  <c r="V26" i="371"/>
  <c r="U26" i="371"/>
  <c r="T26" i="371"/>
  <c r="S26" i="371"/>
  <c r="R26" i="371"/>
  <c r="Q26" i="371"/>
  <c r="V25" i="371"/>
  <c r="U25" i="371"/>
  <c r="T25" i="371"/>
  <c r="S25" i="371"/>
  <c r="R25" i="371"/>
  <c r="Q25" i="371"/>
  <c r="V24" i="371"/>
  <c r="U24" i="371"/>
  <c r="T24" i="371"/>
  <c r="S24" i="371"/>
  <c r="R24" i="371"/>
  <c r="Q24" i="371"/>
  <c r="T23" i="371"/>
  <c r="V23" i="371" s="1"/>
  <c r="S23" i="371"/>
  <c r="R23" i="371"/>
  <c r="Q23" i="371"/>
  <c r="V22" i="371"/>
  <c r="U22" i="371"/>
  <c r="T22" i="371"/>
  <c r="S22" i="371"/>
  <c r="R22" i="371"/>
  <c r="Q22" i="371"/>
  <c r="T21" i="371"/>
  <c r="V21" i="371" s="1"/>
  <c r="S21" i="371"/>
  <c r="R21" i="371"/>
  <c r="Q21" i="371"/>
  <c r="V20" i="371"/>
  <c r="U20" i="371"/>
  <c r="T20" i="371"/>
  <c r="S20" i="371"/>
  <c r="R20" i="371"/>
  <c r="Q20" i="371"/>
  <c r="T19" i="371"/>
  <c r="V19" i="371" s="1"/>
  <c r="S19" i="371"/>
  <c r="R19" i="371"/>
  <c r="Q19" i="371"/>
  <c r="V18" i="371"/>
  <c r="U18" i="371"/>
  <c r="T18" i="371"/>
  <c r="S18" i="371"/>
  <c r="R18" i="371"/>
  <c r="Q18" i="371"/>
  <c r="T17" i="371"/>
  <c r="V17" i="371" s="1"/>
  <c r="S17" i="371"/>
  <c r="R17" i="371"/>
  <c r="Q17" i="371"/>
  <c r="V16" i="371"/>
  <c r="U16" i="371"/>
  <c r="T16" i="371"/>
  <c r="S16" i="371"/>
  <c r="R16" i="371"/>
  <c r="Q16" i="371"/>
  <c r="V15" i="371"/>
  <c r="U15" i="371"/>
  <c r="T15" i="371"/>
  <c r="S15" i="371"/>
  <c r="R15" i="371"/>
  <c r="Q15" i="371"/>
  <c r="V14" i="371"/>
  <c r="U14" i="371"/>
  <c r="T14" i="371"/>
  <c r="S14" i="371"/>
  <c r="R14" i="371"/>
  <c r="Q14" i="371"/>
  <c r="V13" i="371"/>
  <c r="U13" i="371"/>
  <c r="T13" i="371"/>
  <c r="S13" i="371"/>
  <c r="R13" i="371"/>
  <c r="Q13" i="371"/>
  <c r="V12" i="371"/>
  <c r="U12" i="371"/>
  <c r="T12" i="371"/>
  <c r="S12" i="371"/>
  <c r="R12" i="371"/>
  <c r="Q12" i="371"/>
  <c r="V11" i="371"/>
  <c r="U11" i="371"/>
  <c r="T11" i="371"/>
  <c r="S11" i="371"/>
  <c r="R11" i="371"/>
  <c r="Q11" i="371"/>
  <c r="V10" i="371"/>
  <c r="U10" i="371"/>
  <c r="T10" i="371"/>
  <c r="S10" i="371"/>
  <c r="R10" i="371"/>
  <c r="Q10" i="371"/>
  <c r="V9" i="371"/>
  <c r="U9" i="371"/>
  <c r="T9" i="371"/>
  <c r="S9" i="371"/>
  <c r="R9" i="371"/>
  <c r="Q9" i="371"/>
  <c r="V8" i="371"/>
  <c r="U8" i="371"/>
  <c r="T8" i="371"/>
  <c r="S8" i="371"/>
  <c r="R8" i="371"/>
  <c r="Q8" i="371"/>
  <c r="T7" i="371"/>
  <c r="V7" i="371" s="1"/>
  <c r="S7" i="371"/>
  <c r="R7" i="371"/>
  <c r="Q7" i="371"/>
  <c r="V6" i="371"/>
  <c r="U6" i="371"/>
  <c r="T6" i="371"/>
  <c r="S6" i="371"/>
  <c r="R6" i="371"/>
  <c r="Q6" i="371"/>
  <c r="T5" i="371"/>
  <c r="V5" i="371" s="1"/>
  <c r="S5" i="371"/>
  <c r="R5" i="371"/>
  <c r="Q5" i="371"/>
  <c r="U5" i="371" l="1"/>
  <c r="U7" i="371"/>
  <c r="U17" i="371"/>
  <c r="U19" i="371"/>
  <c r="U21" i="371"/>
  <c r="U23" i="371"/>
  <c r="U27" i="371"/>
  <c r="U29" i="371"/>
  <c r="U31" i="371"/>
  <c r="U37" i="371"/>
  <c r="U39" i="371"/>
  <c r="U41" i="371"/>
  <c r="U43" i="371"/>
  <c r="A7" i="339"/>
  <c r="B3" i="418" l="1"/>
  <c r="L6" i="419" l="1"/>
  <c r="H6" i="419"/>
  <c r="K6" i="419"/>
  <c r="G6" i="419"/>
  <c r="D6" i="419"/>
  <c r="J6" i="419"/>
  <c r="F6" i="419"/>
  <c r="C6" i="419"/>
  <c r="I6" i="419"/>
  <c r="E6" i="419"/>
  <c r="B6" i="419"/>
  <c r="B28" i="419"/>
  <c r="B27" i="419"/>
  <c r="B26" i="419"/>
  <c r="B25" i="419"/>
  <c r="L20" i="419" l="1"/>
  <c r="K20" i="419"/>
  <c r="J20" i="419"/>
  <c r="I20" i="419"/>
  <c r="H20" i="419"/>
  <c r="G20" i="419"/>
  <c r="F20" i="419"/>
  <c r="E20" i="419"/>
  <c r="D20" i="419"/>
  <c r="C20" i="419"/>
  <c r="B20" i="419"/>
  <c r="L19" i="419"/>
  <c r="K19" i="419"/>
  <c r="J19" i="419"/>
  <c r="I19" i="419"/>
  <c r="H19" i="419"/>
  <c r="G19" i="419"/>
  <c r="F19" i="419"/>
  <c r="E19" i="419"/>
  <c r="D19" i="419"/>
  <c r="C19" i="419"/>
  <c r="B19" i="419"/>
  <c r="L17" i="419"/>
  <c r="K17" i="419"/>
  <c r="J17" i="419"/>
  <c r="I17" i="419"/>
  <c r="H17" i="419"/>
  <c r="G17" i="419"/>
  <c r="F17" i="419"/>
  <c r="E17" i="419"/>
  <c r="D17" i="419"/>
  <c r="C17" i="419"/>
  <c r="B17" i="419"/>
  <c r="L16" i="419"/>
  <c r="K16" i="419"/>
  <c r="J16" i="419"/>
  <c r="I16" i="419"/>
  <c r="H16" i="419"/>
  <c r="G16" i="419"/>
  <c r="F16" i="419"/>
  <c r="E16" i="419"/>
  <c r="D16" i="419"/>
  <c r="C16" i="419"/>
  <c r="B16" i="419"/>
  <c r="L14" i="419"/>
  <c r="K14" i="419"/>
  <c r="J14" i="419"/>
  <c r="I14" i="419"/>
  <c r="H14" i="419"/>
  <c r="G14" i="419"/>
  <c r="F14" i="419"/>
  <c r="E14" i="419"/>
  <c r="D14" i="419"/>
  <c r="C14" i="419"/>
  <c r="B14" i="419"/>
  <c r="L13" i="419"/>
  <c r="K13" i="419"/>
  <c r="J13" i="419"/>
  <c r="I13" i="419"/>
  <c r="H13" i="419"/>
  <c r="G13" i="419"/>
  <c r="F13" i="419"/>
  <c r="E13" i="419"/>
  <c r="D13" i="419"/>
  <c r="C13" i="419"/>
  <c r="B13" i="419"/>
  <c r="L12" i="419"/>
  <c r="K12" i="419"/>
  <c r="J12" i="419"/>
  <c r="I12" i="419"/>
  <c r="H12" i="419"/>
  <c r="G12" i="419"/>
  <c r="F12" i="419"/>
  <c r="E12" i="419"/>
  <c r="D12" i="419"/>
  <c r="C12" i="419"/>
  <c r="B12" i="419"/>
  <c r="L11" i="419"/>
  <c r="K11" i="419"/>
  <c r="J11" i="419"/>
  <c r="I11" i="419"/>
  <c r="H11" i="419"/>
  <c r="G11" i="419"/>
  <c r="F11" i="419"/>
  <c r="E11" i="419"/>
  <c r="D11" i="419"/>
  <c r="C11" i="419"/>
  <c r="B11" i="419"/>
  <c r="L18" i="419" l="1"/>
  <c r="K18" i="419"/>
  <c r="J18" i="419"/>
  <c r="I18" i="419"/>
  <c r="H18" i="419"/>
  <c r="G18" i="419"/>
  <c r="F18" i="419"/>
  <c r="E18" i="419"/>
  <c r="D18" i="419"/>
  <c r="C18" i="419"/>
  <c r="B18" i="419" l="1"/>
  <c r="O3" i="418" l="1"/>
  <c r="N3" i="418"/>
  <c r="M3" i="418"/>
  <c r="L3" i="418"/>
  <c r="K3" i="418"/>
  <c r="J3" i="418"/>
  <c r="I3" i="418"/>
  <c r="H3" i="418"/>
  <c r="G3" i="418"/>
  <c r="F3" i="418"/>
  <c r="E3" i="418"/>
  <c r="D3" i="418"/>
  <c r="B39" i="370" l="1"/>
  <c r="H39" i="370"/>
  <c r="G39" i="370"/>
  <c r="F39" i="370"/>
  <c r="D39" i="370"/>
  <c r="C39" i="370"/>
  <c r="H26" i="370"/>
  <c r="G26" i="370"/>
  <c r="F26" i="370"/>
  <c r="D26" i="370"/>
  <c r="C26" i="370"/>
  <c r="B26" i="370"/>
  <c r="H13" i="370"/>
  <c r="G13" i="370"/>
  <c r="F13" i="370"/>
  <c r="D13" i="370"/>
  <c r="C13" i="370"/>
  <c r="B13" i="370"/>
  <c r="M38" i="370" l="1"/>
  <c r="L38" i="370"/>
  <c r="M25" i="370"/>
  <c r="L25" i="370"/>
  <c r="M12" i="370"/>
  <c r="L12" i="370"/>
  <c r="M8" i="340" l="1"/>
  <c r="L8" i="340"/>
  <c r="K8" i="340"/>
  <c r="J8" i="340"/>
  <c r="I8" i="340"/>
  <c r="H8" i="340"/>
  <c r="G8" i="340"/>
  <c r="F8" i="340"/>
  <c r="E8" i="340"/>
  <c r="D8" i="340"/>
  <c r="C8" i="340"/>
  <c r="B8" i="340"/>
  <c r="D14" i="414" l="1"/>
  <c r="D7" i="414"/>
  <c r="J24" i="370" l="1"/>
  <c r="J23" i="370"/>
  <c r="J22" i="370"/>
  <c r="J21" i="370"/>
  <c r="J20" i="370"/>
  <c r="J19" i="370"/>
  <c r="J18" i="370"/>
  <c r="A27" i="414" l="1"/>
  <c r="A17" i="414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25" i="414" l="1"/>
  <c r="A24" i="414"/>
  <c r="A23" i="414"/>
  <c r="A22" i="414" l="1"/>
  <c r="A21" i="414"/>
  <c r="A18" i="414"/>
  <c r="L3" i="342" l="1"/>
  <c r="K3" i="342"/>
  <c r="J3" i="342"/>
  <c r="I3" i="342"/>
  <c r="H3" i="342"/>
  <c r="M3" i="342" s="1"/>
  <c r="F3" i="342"/>
  <c r="E3" i="342"/>
  <c r="D3" i="342"/>
  <c r="C3" i="342"/>
  <c r="B3" i="342"/>
  <c r="G3" i="342" s="1"/>
  <c r="D27" i="414" s="1"/>
  <c r="R3" i="410"/>
  <c r="Q3" i="410"/>
  <c r="P3" i="410"/>
  <c r="O3" i="410"/>
  <c r="N3" i="410"/>
  <c r="S3" i="410" s="1"/>
  <c r="L3" i="410"/>
  <c r="K3" i="410"/>
  <c r="J3" i="410"/>
  <c r="I3" i="410"/>
  <c r="H3" i="410"/>
  <c r="M3" i="410" s="1"/>
  <c r="F3" i="410"/>
  <c r="E3" i="410"/>
  <c r="D3" i="410"/>
  <c r="C3" i="410"/>
  <c r="B3" i="410"/>
  <c r="G3" i="410" s="1"/>
  <c r="D20" i="414" s="1"/>
  <c r="R3" i="344" l="1"/>
  <c r="Q3" i="344"/>
  <c r="P3" i="344"/>
  <c r="O3" i="344"/>
  <c r="N3" i="344"/>
  <c r="S3" i="344" s="1"/>
  <c r="L3" i="344"/>
  <c r="K3" i="344"/>
  <c r="J3" i="344"/>
  <c r="I3" i="344"/>
  <c r="H3" i="344"/>
  <c r="M3" i="344" s="1"/>
  <c r="F3" i="344"/>
  <c r="E11" i="339" s="1"/>
  <c r="E3" i="344"/>
  <c r="D3" i="344"/>
  <c r="C3" i="344"/>
  <c r="B3" i="344"/>
  <c r="B11" i="339" s="1"/>
  <c r="F11" i="339" l="1"/>
  <c r="G3" i="344"/>
  <c r="D19" i="414" s="1"/>
  <c r="C11" i="339"/>
  <c r="H11" i="339" l="1"/>
  <c r="G11" i="339"/>
  <c r="A26" i="414"/>
  <c r="A20" i="414"/>
  <c r="A19" i="414"/>
  <c r="A14" i="414"/>
  <c r="A11" i="414"/>
  <c r="A10" i="414"/>
  <c r="A8" i="414"/>
  <c r="A7" i="414"/>
  <c r="A15" i="414"/>
  <c r="A4" i="414"/>
  <c r="A6" i="339" l="1"/>
  <c r="A5" i="339"/>
  <c r="D18" i="414"/>
  <c r="C18" i="414"/>
  <c r="D4" i="414"/>
  <c r="D15" i="414"/>
  <c r="D11" i="414" l="1"/>
  <c r="D8" i="414"/>
  <c r="C14" i="414" l="1"/>
  <c r="C7" i="414"/>
  <c r="D10" i="414" l="1"/>
  <c r="E10" i="414" s="1"/>
  <c r="E20" i="414"/>
  <c r="E19" i="414"/>
  <c r="E14" i="414"/>
  <c r="E7" i="414"/>
  <c r="E11" i="414"/>
  <c r="E8" i="414"/>
  <c r="A16" i="383" l="1"/>
  <c r="A19" i="383" l="1"/>
  <c r="A14" i="383" l="1"/>
  <c r="C11" i="340" l="1"/>
  <c r="B10" i="340" l="1"/>
  <c r="B5" i="340"/>
  <c r="B6" i="340" s="1"/>
  <c r="M5" i="340"/>
  <c r="L5" i="340"/>
  <c r="K5" i="340"/>
  <c r="J5" i="340"/>
  <c r="I5" i="340"/>
  <c r="H5" i="340"/>
  <c r="G5" i="340"/>
  <c r="F5" i="340"/>
  <c r="E5" i="340"/>
  <c r="D5" i="340"/>
  <c r="C5" i="340"/>
  <c r="K3" i="403" l="1"/>
  <c r="J3" i="403"/>
  <c r="I3" i="403" s="1"/>
  <c r="M3" i="220" l="1"/>
  <c r="M37" i="370" l="1"/>
  <c r="L37" i="370"/>
  <c r="M36" i="370"/>
  <c r="L36" i="370"/>
  <c r="M35" i="370"/>
  <c r="L35" i="370"/>
  <c r="M34" i="370"/>
  <c r="L34" i="370"/>
  <c r="M33" i="370"/>
  <c r="L33" i="370"/>
  <c r="M32" i="370"/>
  <c r="L32" i="370"/>
  <c r="M31" i="370"/>
  <c r="L31" i="370"/>
  <c r="E39" i="370" l="1"/>
  <c r="D24" i="414" s="1"/>
  <c r="E24" i="414" s="1"/>
  <c r="I39" i="370"/>
  <c r="I26" i="370"/>
  <c r="E12" i="339"/>
  <c r="M39" i="370"/>
  <c r="E26" i="370"/>
  <c r="D23" i="414" s="1"/>
  <c r="E23" i="414" s="1"/>
  <c r="L39" i="370"/>
  <c r="C12" i="339"/>
  <c r="E13" i="370"/>
  <c r="D22" i="414" s="1"/>
  <c r="E22" i="414" s="1"/>
  <c r="L13" i="370"/>
  <c r="B12" i="339"/>
  <c r="F12" i="339" s="1"/>
  <c r="I13" i="370"/>
  <c r="D25" i="414" s="1"/>
  <c r="E25" i="414" s="1"/>
  <c r="M3" i="372"/>
  <c r="L3" i="372"/>
  <c r="K3" i="372"/>
  <c r="I3" i="372"/>
  <c r="H3" i="372"/>
  <c r="G3" i="372"/>
  <c r="E3" i="372"/>
  <c r="D3" i="372"/>
  <c r="C3" i="372"/>
  <c r="O3" i="343"/>
  <c r="N3" i="343"/>
  <c r="K3" i="343"/>
  <c r="J3" i="343"/>
  <c r="G3" i="343"/>
  <c r="F3" i="343"/>
  <c r="O3" i="377"/>
  <c r="N3" i="377"/>
  <c r="Q3" i="377" s="1"/>
  <c r="K3" i="377"/>
  <c r="J3" i="377"/>
  <c r="G3" i="377"/>
  <c r="P3" i="377" s="1"/>
  <c r="F3" i="377"/>
  <c r="N3" i="345"/>
  <c r="M3" i="345"/>
  <c r="P3" i="345" s="1"/>
  <c r="J3" i="345"/>
  <c r="I3" i="345"/>
  <c r="F3" i="345"/>
  <c r="O3" i="345" s="1"/>
  <c r="E3" i="345"/>
  <c r="M3" i="390"/>
  <c r="H3" i="390" s="1"/>
  <c r="L3" i="390"/>
  <c r="J3" i="390"/>
  <c r="I3" i="390"/>
  <c r="G3" i="390"/>
  <c r="F3" i="390"/>
  <c r="T3" i="347"/>
  <c r="R3" i="347"/>
  <c r="P3" i="347"/>
  <c r="O3" i="347"/>
  <c r="N3" i="347"/>
  <c r="M3" i="347"/>
  <c r="M3" i="387"/>
  <c r="K3" i="387" s="1"/>
  <c r="L3" i="387"/>
  <c r="J3" i="387"/>
  <c r="I3" i="387"/>
  <c r="G3" i="387"/>
  <c r="H3" i="387" s="1"/>
  <c r="F3" i="387"/>
  <c r="N3" i="220"/>
  <c r="L3" i="220" s="1"/>
  <c r="C21" i="414"/>
  <c r="D21" i="414"/>
  <c r="Q3" i="347" l="1"/>
  <c r="S3" i="347"/>
  <c r="U3" i="347"/>
  <c r="F3" i="372"/>
  <c r="N3" i="372"/>
  <c r="C27" i="414"/>
  <c r="E27" i="414" s="1"/>
  <c r="F13" i="339"/>
  <c r="E13" i="339"/>
  <c r="E15" i="339" s="1"/>
  <c r="J3" i="372"/>
  <c r="H12" i="339"/>
  <c r="G12" i="339"/>
  <c r="K3" i="390"/>
  <c r="A11" i="383"/>
  <c r="A4" i="383"/>
  <c r="A34" i="383"/>
  <c r="A33" i="383"/>
  <c r="A32" i="383"/>
  <c r="A31" i="383"/>
  <c r="A30" i="383"/>
  <c r="A29" i="383"/>
  <c r="A28" i="383"/>
  <c r="A27" i="383"/>
  <c r="A26" i="383"/>
  <c r="A25" i="383"/>
  <c r="A22" i="383"/>
  <c r="A21" i="383"/>
  <c r="A20" i="383"/>
  <c r="A18" i="383"/>
  <c r="A17" i="383"/>
  <c r="A15" i="383"/>
  <c r="A13" i="383"/>
  <c r="A12" i="383"/>
  <c r="A8" i="383"/>
  <c r="A7" i="383"/>
  <c r="A6" i="383"/>
  <c r="A5" i="383"/>
  <c r="C10" i="340"/>
  <c r="D10" i="340" s="1"/>
  <c r="E10" i="340" s="1"/>
  <c r="F10" i="340" s="1"/>
  <c r="G10" i="340" s="1"/>
  <c r="H10" i="340" s="1"/>
  <c r="I10" i="340" s="1"/>
  <c r="J10" i="340" s="1"/>
  <c r="K10" i="340" s="1"/>
  <c r="L10" i="340" s="1"/>
  <c r="M10" i="340" s="1"/>
  <c r="E45" i="374"/>
  <c r="D45" i="374"/>
  <c r="E44" i="374"/>
  <c r="D44" i="374"/>
  <c r="E43" i="374"/>
  <c r="D43" i="374"/>
  <c r="E42" i="374"/>
  <c r="D42" i="374"/>
  <c r="E41" i="374"/>
  <c r="D41" i="374"/>
  <c r="E40" i="374"/>
  <c r="D40" i="374"/>
  <c r="E39" i="374"/>
  <c r="D39" i="374"/>
  <c r="E38" i="374"/>
  <c r="D38" i="374"/>
  <c r="E37" i="374"/>
  <c r="D37" i="374"/>
  <c r="E36" i="374"/>
  <c r="D36" i="374"/>
  <c r="E35" i="374"/>
  <c r="D35" i="374"/>
  <c r="E34" i="374"/>
  <c r="D34" i="374"/>
  <c r="E33" i="374"/>
  <c r="D33" i="374"/>
  <c r="M24" i="370"/>
  <c r="L24" i="370"/>
  <c r="M23" i="370"/>
  <c r="L23" i="370"/>
  <c r="M22" i="370"/>
  <c r="L22" i="370"/>
  <c r="M21" i="370"/>
  <c r="L21" i="370"/>
  <c r="M20" i="370"/>
  <c r="L20" i="370"/>
  <c r="M19" i="370"/>
  <c r="L19" i="370"/>
  <c r="M18" i="370"/>
  <c r="L18" i="370"/>
  <c r="M13" i="370"/>
  <c r="M11" i="370"/>
  <c r="L11" i="370"/>
  <c r="M10" i="370"/>
  <c r="L10" i="370"/>
  <c r="M9" i="370"/>
  <c r="L9" i="370"/>
  <c r="M8" i="370"/>
  <c r="L8" i="370"/>
  <c r="M7" i="370"/>
  <c r="L7" i="370"/>
  <c r="M6" i="370"/>
  <c r="L6" i="370"/>
  <c r="M5" i="370"/>
  <c r="L5" i="370"/>
  <c r="Q3" i="343"/>
  <c r="P3" i="343"/>
  <c r="C13" i="339"/>
  <c r="C15" i="339" s="1"/>
  <c r="B13" i="339"/>
  <c r="B15" i="339" s="1"/>
  <c r="L26" i="370"/>
  <c r="M26" i="370"/>
  <c r="C15" i="414"/>
  <c r="D17" i="414"/>
  <c r="C4" i="414"/>
  <c r="H13" i="339" l="1"/>
  <c r="F15" i="339"/>
  <c r="D26" i="414"/>
  <c r="E26" i="414" s="1"/>
  <c r="E15" i="414"/>
  <c r="E4" i="414"/>
  <c r="C6" i="340"/>
  <c r="D6" i="340" s="1"/>
  <c r="B4" i="340"/>
  <c r="G13" i="339"/>
  <c r="B13" i="340" l="1"/>
  <c r="B12" i="340"/>
  <c r="G15" i="339"/>
  <c r="H15" i="339"/>
  <c r="C4" i="340"/>
  <c r="E18" i="414"/>
  <c r="E21" i="414"/>
  <c r="D4" i="340"/>
  <c r="E6" i="340"/>
  <c r="C17" i="414"/>
  <c r="E17" i="414" l="1"/>
  <c r="E4" i="340"/>
  <c r="F6" i="340"/>
  <c r="G6" i="340" l="1"/>
  <c r="F4" i="340"/>
  <c r="H6" i="340" l="1"/>
  <c r="G4" i="340"/>
  <c r="H4" i="340" l="1"/>
  <c r="I6" i="340"/>
  <c r="I4" i="340" l="1"/>
  <c r="J6" i="340"/>
  <c r="K6" i="340" l="1"/>
  <c r="J4" i="340"/>
  <c r="K4" i="340" l="1"/>
  <c r="L6" i="340"/>
  <c r="L4" i="340" l="1"/>
  <c r="M6" i="340"/>
  <c r="M4" i="340" s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 vpravo vyberte požadovanou hodnotu.</t>
        </r>
      </text>
    </comment>
  </commentList>
</comments>
</file>

<file path=xl/sharedStrings.xml><?xml version="1.0" encoding="utf-8"?>
<sst xmlns="http://schemas.openxmlformats.org/spreadsheetml/2006/main" count="19268" uniqueCount="4387">
  <si>
    <t>NS</t>
  </si>
  <si>
    <t>Č. účtu</t>
  </si>
  <si>
    <t>Účet</t>
  </si>
  <si>
    <t>Limit Kč</t>
  </si>
  <si>
    <t>Spotř. Kč</t>
  </si>
  <si>
    <t>%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</si>
  <si>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</si>
  <si>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</si>
  <si>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</si>
  <si>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</si>
  <si>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</si>
  <si>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</si>
  <si>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</si>
  <si>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</si>
  <si>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</si>
  <si>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</si>
  <si>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</si>
  <si>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Kč</t>
  </si>
  <si>
    <t>Předepsáno</t>
  </si>
  <si>
    <t>Zachyceno v lékárně</t>
  </si>
  <si>
    <t>Č.</t>
  </si>
  <si>
    <t>Druh</t>
  </si>
  <si>
    <t>Úhrada Kč</t>
  </si>
  <si>
    <t>Dokl.</t>
  </si>
  <si>
    <t>Zachyceno v lékárně FNOL</t>
  </si>
  <si>
    <t>Úhr.</t>
  </si>
  <si>
    <t>Č.kliniky</t>
  </si>
  <si>
    <t>IČP</t>
  </si>
  <si>
    <t>Typ</t>
  </si>
  <si>
    <t>Náz.skup.</t>
  </si>
  <si>
    <t>Úhr</t>
  </si>
  <si>
    <t>ks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</si>
  <si>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</si>
  <si>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</si>
  <si>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</si>
  <si>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</si>
  <si>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</si>
  <si>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</si>
  <si>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</si>
  <si>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</si>
  <si>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</si>
  <si>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</si>
  <si>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</si>
  <si>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</si>
  <si>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</si>
  <si>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</si>
  <si>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</si>
  <si>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</si>
  <si>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</si>
  <si>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</si>
  <si>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</si>
  <si>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</si>
  <si>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</si>
  <si>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</si>
  <si>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</si>
  <si>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</si>
  <si>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</si>
  <si>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</si>
  <si>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</si>
  <si>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</si>
  <si>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</si>
  <si>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</si>
  <si>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</si>
  <si>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</si>
  <si>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</si>
  <si>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</si>
  <si>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</si>
  <si>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</si>
  <si>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</si>
  <si>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</si>
  <si>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</si>
  <si>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Měsíc</t>
  </si>
  <si>
    <t>Rozdíl</t>
  </si>
  <si>
    <t>DRG total</t>
  </si>
  <si>
    <t>Casemix</t>
  </si>
  <si>
    <t>CM</t>
  </si>
  <si>
    <t>Hosp.</t>
  </si>
  <si>
    <t>KL</t>
  </si>
  <si>
    <t>DRG</t>
  </si>
  <si>
    <t>Váha DRG</t>
  </si>
  <si>
    <t>LTP</t>
  </si>
  <si>
    <t>HTP</t>
  </si>
  <si>
    <t>Alos</t>
  </si>
  <si>
    <t>Alfa</t>
  </si>
  <si>
    <t>Nazev</t>
  </si>
  <si>
    <t>Rozdíly</t>
  </si>
  <si>
    <t>Ošetřovací dny</t>
  </si>
  <si>
    <t>poč.</t>
  </si>
  <si>
    <t>ø dnů</t>
  </si>
  <si>
    <t>ALOS</t>
  </si>
  <si>
    <t>FNOL</t>
  </si>
  <si>
    <t>rozdíl</t>
  </si>
  <si>
    <t>případy nad ALOS</t>
  </si>
  <si>
    <t>Kód</t>
  </si>
  <si>
    <t>Počet</t>
  </si>
  <si>
    <t>Lékový paušál</t>
  </si>
  <si>
    <t>Kč / j.</t>
  </si>
  <si>
    <t>Skutečnost</t>
  </si>
  <si>
    <t>Rozpočet</t>
  </si>
  <si>
    <t>Plnění</t>
  </si>
  <si>
    <t>Ostatní (Kč)</t>
  </si>
  <si>
    <t>Náklady celkem</t>
  </si>
  <si>
    <t>Hospitalizace (casemix * 29500)</t>
  </si>
  <si>
    <t>Ambulance (body)</t>
  </si>
  <si>
    <t>Výnosy celkem</t>
  </si>
  <si>
    <t>Hospodářský index (Výnosy / Náklady)</t>
  </si>
  <si>
    <t>1-1</t>
  </si>
  <si>
    <t>1-2</t>
  </si>
  <si>
    <t>1-3</t>
  </si>
  <si>
    <t>1-4</t>
  </si>
  <si>
    <t>1-5</t>
  </si>
  <si>
    <t>1-6</t>
  </si>
  <si>
    <t>1-7</t>
  </si>
  <si>
    <t>1-8</t>
  </si>
  <si>
    <t>1-9</t>
  </si>
  <si>
    <t>1-10</t>
  </si>
  <si>
    <t>1-11</t>
  </si>
  <si>
    <t>1-12</t>
  </si>
  <si>
    <t>Přehled délky hospitalizace ve FNOL oproti ALOS (průměru v České republice)</t>
  </si>
  <si>
    <t>b</t>
  </si>
  <si>
    <t>1-13</t>
  </si>
  <si>
    <t>Zdravotnické pracoviště poskytující zdravotní výkon</t>
  </si>
  <si>
    <t>Odb. sml.</t>
  </si>
  <si>
    <t>S</t>
  </si>
  <si>
    <t>Kod</t>
  </si>
  <si>
    <t>Cena/j.</t>
  </si>
  <si>
    <t>Sml.odb.</t>
  </si>
  <si>
    <t>Body (tisíce)</t>
  </si>
  <si>
    <t>ZUM + ZULP (tisíce Kč)</t>
  </si>
  <si>
    <t>ZULP Centra (tisíce Kč)</t>
  </si>
  <si>
    <t>casemix 2012</t>
  </si>
  <si>
    <t>Ambulance</t>
  </si>
  <si>
    <t>Hospodářský index (Výnosy / Náklady) - vývoj</t>
  </si>
  <si>
    <t>Zdravotnické pracoviště vyžadující zdravotní výkon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</si>
  <si>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</si>
  <si>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</si>
  <si>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</si>
  <si>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</si>
  <si>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</si>
  <si>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Plnění casemixu dle FNOL</t>
  </si>
  <si>
    <t>HI</t>
  </si>
  <si>
    <t>HI Graf</t>
  </si>
  <si>
    <t>Man Tab</t>
  </si>
  <si>
    <t>Léky Žádanky</t>
  </si>
  <si>
    <t>LŽ Detail</t>
  </si>
  <si>
    <t>Léky Recepty</t>
  </si>
  <si>
    <t>LRp Detail</t>
  </si>
  <si>
    <t>Materiál Žádanky</t>
  </si>
  <si>
    <t>MŽ Detail</t>
  </si>
  <si>
    <t>Osobní náklady</t>
  </si>
  <si>
    <t>CaseMix</t>
  </si>
  <si>
    <t>Total</t>
  </si>
  <si>
    <t>OD TISS</t>
  </si>
  <si>
    <t>ZV Vyžád. Detail</t>
  </si>
  <si>
    <t>ZV Vyžád.</t>
  </si>
  <si>
    <t>Motivační kritéria</t>
  </si>
  <si>
    <t>Motivace</t>
  </si>
  <si>
    <t>ZV Vykáz.-A</t>
  </si>
  <si>
    <t>ZV Vykáz.-A Detail</t>
  </si>
  <si>
    <t>ZV Vykáz.-H</t>
  </si>
  <si>
    <t>ZV Vykáz.-H Detail</t>
  </si>
  <si>
    <t>Zdravotní výkony vykázané na pracovišti pro pacienty hospitalizované ve FNOL</t>
  </si>
  <si>
    <t>Zdravotní výkony (vybraných odborností) vyžádané pro pacienty hospitalizované na vlastním pracovišti</t>
  </si>
  <si>
    <t>Celkem:</t>
  </si>
  <si>
    <t>V rámci PL</t>
  </si>
  <si>
    <t>Mimo PL</t>
  </si>
  <si>
    <t xml:space="preserve">NS </t>
  </si>
  <si>
    <t xml:space="preserve">ATC </t>
  </si>
  <si>
    <t>Název Léku</t>
  </si>
  <si>
    <t>Popis Léku</t>
  </si>
  <si>
    <t>% Kč</t>
  </si>
  <si>
    <t>Lékař</t>
  </si>
  <si>
    <t>111 - VZP</t>
  </si>
  <si>
    <t>201 - VoZP</t>
  </si>
  <si>
    <t>205 - ČPZP</t>
  </si>
  <si>
    <t>207 - OZP</t>
  </si>
  <si>
    <t>209 - ZP ŠKODA</t>
  </si>
  <si>
    <t>211 - ZP MV</t>
  </si>
  <si>
    <t>213 - RBP</t>
  </si>
  <si>
    <t>Hospodaření zdravotnického pracoviště (v tisících)</t>
  </si>
  <si>
    <t>Spotřeba léčivých přípravků</t>
  </si>
  <si>
    <t>Preskripce a záchyt receptů a poukazů</t>
  </si>
  <si>
    <t>Spotřeba zdravotnického materiálu</t>
  </si>
  <si>
    <t>Optimum CM pro</t>
  </si>
  <si>
    <t>olomoucký kraj</t>
  </si>
  <si>
    <t>Ošetřovací dny a TISS (v tisících Kč)</t>
  </si>
  <si>
    <t>Přehledové sestavy</t>
  </si>
  <si>
    <t>Akt. měsíc</t>
  </si>
  <si>
    <t>Přečerpáno</t>
  </si>
  <si>
    <t>Kč/ks</t>
  </si>
  <si>
    <t>NS / ATC</t>
  </si>
  <si>
    <t>LŽ PL</t>
  </si>
  <si>
    <t>LRp PL</t>
  </si>
  <si>
    <t>LŽ PL Detail</t>
  </si>
  <si>
    <t>LRp PL Detail</t>
  </si>
  <si>
    <t>Nezachyceno v lékárně</t>
  </si>
  <si>
    <t>Preskripce a záchyt receptů a poukazů dle lékařů</t>
  </si>
  <si>
    <t>LRp Lékaři</t>
  </si>
  <si>
    <t>Předepsal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</si>
  <si>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</si>
  <si>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</si>
  <si>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</si>
  <si>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</si>
  <si>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</si>
  <si>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</si>
  <si>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</si>
  <si>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</si>
  <si>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</si>
  <si>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</si>
  <si>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</si>
  <si>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</si>
  <si>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</si>
  <si>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</si>
  <si>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Rozpočet Kč</t>
  </si>
  <si>
    <t>Přehled plnění pozitivniho listu (PL) -
   spotřeba léčivých přípravků dle objemu Kč mimo PL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</si>
  <si>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</si>
  <si>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</si>
  <si>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</si>
  <si>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</si>
  <si>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</si>
  <si>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</si>
  <si>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</si>
  <si>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</si>
  <si>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</si>
  <si>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</si>
  <si>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</si>
  <si>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</si>
  <si>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</si>
  <si>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</si>
  <si>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</si>
  <si>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</si>
  <si>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</si>
  <si>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</si>
  <si>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</si>
  <si>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</si>
  <si>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DRG mimo vyjmenované baze</t>
  </si>
  <si>
    <t>Vyjmenované baze DRG</t>
  </si>
  <si>
    <t>optimum 100% *</t>
  </si>
  <si>
    <t>optimum 95% *</t>
  </si>
  <si>
    <t>* Legenda</t>
  </si>
  <si>
    <t>Dle vyhlášky optimum casemixu 97%, hospitalizace 93%</t>
  </si>
  <si>
    <t>333 - Cizinci</t>
  </si>
  <si>
    <t>Počet hospitalizací - případů DRG</t>
  </si>
  <si>
    <t>POMĚROVÉ  PLNĚNÍ = Rozpočet na rok 2014 celkem a 1/12  ročního rozpočtu, skutečnost daných měsíců a % plnění načítané skutečnosti do data k poměrné části rozpočtu do data.</t>
  </si>
  <si>
    <t>Lékař / ATC</t>
  </si>
  <si>
    <t>Pol</t>
  </si>
  <si>
    <t>0</t>
  </si>
  <si>
    <t>101</t>
  </si>
  <si>
    <t>102</t>
  </si>
  <si>
    <t>203</t>
  </si>
  <si>
    <t>305-306</t>
  </si>
  <si>
    <t>407-421</t>
  </si>
  <si>
    <t>522-528</t>
  </si>
  <si>
    <t>629-642</t>
  </si>
  <si>
    <t>743-749</t>
  </si>
  <si>
    <t>930</t>
  </si>
  <si>
    <t>940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</si>
  <si>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</si>
  <si>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</si>
  <si>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</si>
  <si>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</si>
  <si>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</si>
  <si>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</si>
  <si>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</si>
  <si>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</si>
  <si>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</si>
  <si>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</si>
  <si>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</si>
  <si>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</si>
  <si>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</si>
  <si>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</si>
  <si>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</si>
  <si>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</si>
  <si>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farmaceuti</t>
  </si>
  <si>
    <t>všeobecné sestry a porodní asistentky</t>
  </si>
  <si>
    <t>zdravot. prac. nelékaři s odb. způsobilostí</t>
  </si>
  <si>
    <t>zdravot. prac. nelékaři s odb. a spec. způsobilostí</t>
  </si>
  <si>
    <t>zdravot. prac. nelékaři pod odb. dohledem nebo přímým vedením</t>
  </si>
  <si>
    <t>jiní odb. prac. nelékaři s odb. způsobilostí a dentisté</t>
  </si>
  <si>
    <t>THP prac.</t>
  </si>
  <si>
    <t>dělníci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</si>
  <si>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</si>
  <si>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</si>
  <si>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</si>
  <si>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</si>
  <si>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</si>
  <si>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</si>
  <si>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</si>
  <si>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</si>
  <si>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</si>
  <si>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</si>
  <si>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NLZP/VŠ nelékaři</t>
  </si>
  <si>
    <t>Měsíc/Rok: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</si>
  <si>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</si>
  <si>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</si>
  <si>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</si>
  <si>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</si>
  <si>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</si>
  <si>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r>
      <t>Zpět na Obsah</t>
    </r>
    <r>
      <rPr>
        <sz val="9"/>
        <rFont val="Calibri"/>
        <family val="2"/>
        <charset val="238"/>
        <scheme val="minor"/>
      </rPr>
      <t xml:space="preserve"> | 1.-2.měsíc | Kardiochirurgická klinika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</si>
  <si>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</si>
  <si>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</si>
  <si>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</si>
  <si>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</si>
  <si>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</si>
  <si>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50109     Cenové odchylky k materiálu</t>
  </si>
  <si>
    <t>--</t>
  </si>
  <si>
    <t>50109000     cenové odchylky k materiálu</t>
  </si>
  <si>
    <t>50110     Biologické implantáty</t>
  </si>
  <si>
    <t>50110001     biologické implantáty (sk.507)</t>
  </si>
  <si>
    <t>50113     Léky a léčiva</t>
  </si>
  <si>
    <t>50113001     léky - paušál+TISS (LEK)</t>
  </si>
  <si>
    <t>50113006     léky - enter. a parenter. výživa (LEK)</t>
  </si>
  <si>
    <t>50113008     léky - krev.deriváty ZUL (TO)</t>
  </si>
  <si>
    <t>50113013     léky (paušál) - antibiotika (LEK)</t>
  </si>
  <si>
    <t>50113014     léky (paušál) - antimykotika (LEK)</t>
  </si>
  <si>
    <t>50113190     medicinální plyny</t>
  </si>
  <si>
    <t>50114     Krevní přípravky</t>
  </si>
  <si>
    <t>50114002     krevní přípravky</t>
  </si>
  <si>
    <t>50114003     plazma</t>
  </si>
  <si>
    <t>50115     Zdravotnické prostředky</t>
  </si>
  <si>
    <t>50115001     implant.umělé těl.náhr.-kardiostim. (sk.Z_517)</t>
  </si>
  <si>
    <t>50115004     implant.umělé těl.náhr.-kovové (s.Z_506)</t>
  </si>
  <si>
    <t>50115011     implant.umělé těl.náhr.-ostat.nákl.PZT(s.Z_515)</t>
  </si>
  <si>
    <t>50115020     diagnostika laboratorní-LEK (sk.Z_501)</t>
  </si>
  <si>
    <t>50115040     laboratorní materiál (sk.Z_505)</t>
  </si>
  <si>
    <t>50115050     obvazový materiál (sk.Z_502)</t>
  </si>
  <si>
    <t>50115060     ostatní ZPr - mimo níže uvedené (sk.Z_503)</t>
  </si>
  <si>
    <t>50115063     ostatní ZPr - vaky, sety (sk.Z_528)</t>
  </si>
  <si>
    <t>50115064     ostatní ZPr - šicí materiál (sk.Z_529)</t>
  </si>
  <si>
    <t>50115065     ostatní ZPr - vpichovací materiál (sk.Z_530)</t>
  </si>
  <si>
    <t>50115067     ostatní ZPr - rukavice (sk.Z_532)</t>
  </si>
  <si>
    <t>50115070     ostatní ZPr - katetry, stenty, porty (sk.Z_513)</t>
  </si>
  <si>
    <t>50115080     ostatní ZPr - staplery, extraktory (sk.Z_523)</t>
  </si>
  <si>
    <t>50116     Potraviny</t>
  </si>
  <si>
    <t>50116001     lůžk. pacienti</t>
  </si>
  <si>
    <t>50116002     lůžk. pacienti nad normu</t>
  </si>
  <si>
    <t>50116099     nápoje - horké dny (daň.neúčinné)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</si>
  <si>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</si>
  <si>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</si>
  <si>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</si>
  <si>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</si>
  <si>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</si>
  <si>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</si>
  <si>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50117007     údržbový materiál ostatní - sklady (sk.T17)</t>
  </si>
  <si>
    <t>50117009     spotřební materiál k ZPr. (sk.V21)</t>
  </si>
  <si>
    <t>50117011     obalový mat. pro sterilizaci (sk.V20)</t>
  </si>
  <si>
    <t>50117015     IT - spotřební materiál (sk. P37, 48)</t>
  </si>
  <si>
    <t>50117022     všeob.mat. - kuchyň tech. (V33) od 1tis do 2999,99</t>
  </si>
  <si>
    <t>50117023     všeob.mat. - kancel.tech. (V34) od 1tis do 2999,99</t>
  </si>
  <si>
    <t>50117024     všeob.mat. - ostatní-vyjímky (V44) od 0,01 do 999,99</t>
  </si>
  <si>
    <t>50117025     všeob.mat. - razítka ostatní (V111) od 0,01 do 2999,99</t>
  </si>
  <si>
    <t>50117190     technické plyny</t>
  </si>
  <si>
    <t>50118     Náhradní díly</t>
  </si>
  <si>
    <t>50118002     ND - zdravot.techn.(sklad) (sk.Z39)</t>
  </si>
  <si>
    <t>50118003     ND - ostatní techn.(dispečink)</t>
  </si>
  <si>
    <t>50118004     ND - zdravot.techn.(dispečink)</t>
  </si>
  <si>
    <t>50118005     ND - výpoč. techn.(sklad) (sk.P47)</t>
  </si>
  <si>
    <t>50118006     ND - ZVIT (sk.B63)</t>
  </si>
  <si>
    <t>50119     DDHM a textil</t>
  </si>
  <si>
    <t>50119077     OOPP a prádlo pro zaměstnance (sk.T14)</t>
  </si>
  <si>
    <t>50119090     OOPP pro pacienty a doprovod (sk.T11)</t>
  </si>
  <si>
    <t>50119092     pokojový textil (sk. T15)</t>
  </si>
  <si>
    <t>50119099     netkaný textil (sk.T18)</t>
  </si>
  <si>
    <t>50119100     jednorázové ochranné pomůcky (sk.T18A)</t>
  </si>
  <si>
    <t>50119101     jednorázový operační materiál (sk.T18B)</t>
  </si>
  <si>
    <t>50119102     jednorázové hygienické potřeby (sk.T18C)</t>
  </si>
  <si>
    <t>50180     Materiál z darů, FKSP</t>
  </si>
  <si>
    <t>50180000     spotř.nák.- z fin. darů</t>
  </si>
  <si>
    <t>50180001     věcné dary</t>
  </si>
  <si>
    <t>50210     Spotřeba energie</t>
  </si>
  <si>
    <t>50210071     elektřina</t>
  </si>
  <si>
    <t>50210072     vodné, stočné</t>
  </si>
  <si>
    <t>50210073     pára</t>
  </si>
  <si>
    <t>51     Služby</t>
  </si>
  <si>
    <t>51102     Technika a stavby</t>
  </si>
  <si>
    <t>51102021     opravy zdravotnické techniky</t>
  </si>
  <si>
    <t>51102022     opravy - Úsek inf.systémů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</si>
  <si>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</si>
  <si>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</si>
  <si>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</si>
  <si>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</si>
  <si>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</si>
  <si>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(pokl.)</t>
  </si>
  <si>
    <t>51203     Cestovné zaměstnanců-zahraniční</t>
  </si>
  <si>
    <t>51203000     cestovné zahr. - mzdy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</si>
  <si>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</si>
  <si>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</si>
  <si>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</si>
  <si>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</si>
  <si>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</si>
  <si>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</si>
  <si>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</si>
  <si>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51804005     náj. plynových lahví</t>
  </si>
  <si>
    <t>51806     Úklid, odpad, desinf., deratizace</t>
  </si>
  <si>
    <t>51806001     úklid pravidelný</t>
  </si>
  <si>
    <t>51806004     popl. za DDD a ostatní služby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</si>
  <si>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</si>
  <si>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</si>
  <si>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</si>
  <si>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</si>
  <si>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</si>
  <si>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</si>
  <si>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51808018     smluvní servis - OHM</t>
  </si>
  <si>
    <t>51880     Služby z darů, FKSP</t>
  </si>
  <si>
    <t>51880000     služby z fin.darů</t>
  </si>
  <si>
    <t>521     Mzdové náklady</t>
  </si>
  <si>
    <t>52111     Hrubé mzdy</t>
  </si>
  <si>
    <t>52111000     hrubé mzdy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</si>
  <si>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</si>
  <si>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</si>
  <si>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</si>
  <si>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</si>
  <si>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</si>
  <si>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</si>
  <si>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</si>
  <si>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</si>
  <si>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</si>
  <si>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</si>
  <si>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</si>
  <si>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541     Smluvní pokuty a úroky z prodlení</t>
  </si>
  <si>
    <t>54102     Sankce za překročení regul.léčiv a PZT</t>
  </si>
  <si>
    <t>54102002     preskripce L a PZT - min. rok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</si>
  <si>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</si>
  <si>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</si>
  <si>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</si>
  <si>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</si>
  <si>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</si>
  <si>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</si>
  <si>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</si>
  <si>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</si>
  <si>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</si>
  <si>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</si>
  <si>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54977     Registrační poplatky - kongresy zahraniční (pouze OPMČ)</t>
  </si>
  <si>
    <t>54977000     registrační poplatky - kongresy zahraniční 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</si>
  <si>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</si>
  <si>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</si>
  <si>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</si>
  <si>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</si>
  <si>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</si>
  <si>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55110005     odpisy DHM - ostatní z odpisů</t>
  </si>
  <si>
    <t>55110013     odpisy DHM - budovy z dotací</t>
  </si>
  <si>
    <t>55110014     odpisy DHM - zdravot.techn. z dotací</t>
  </si>
  <si>
    <t>55110015     odpisy DHM - ostatní z dotací</t>
  </si>
  <si>
    <t>55120     ZC vyřazeného DM</t>
  </si>
  <si>
    <t>55120004     ZC DHM - zdravot.techn. z odpisů</t>
  </si>
  <si>
    <t>55120014     ZC DHM - zdravot.techn. z dotací</t>
  </si>
  <si>
    <t>55120015     ZC DHM - ostatní z dotací</t>
  </si>
  <si>
    <t>558     Náklady z drobného dlouhodobého majetku</t>
  </si>
  <si>
    <t>55801     DDHM zdravotnický a laboratorní</t>
  </si>
  <si>
    <t>55801001     DDHM - zdravotnické přístroje (sk.N_525)</t>
  </si>
  <si>
    <t>55801002     DDHM - zdravotnické nástroje (sk.Z_515)</t>
  </si>
  <si>
    <t>55801080     DDHM - zdravotnický a laboratorní (věcné dary)</t>
  </si>
  <si>
    <t>55802     DDHM - provozní</t>
  </si>
  <si>
    <t>55802003     DDHM - kacelářská technika (sk.V_37)</t>
  </si>
  <si>
    <t>55802080     DDHM - provozní (věcné dary)</t>
  </si>
  <si>
    <t>55804     DDHM - výpočetní technika</t>
  </si>
  <si>
    <t>55804080     DDHM - výpočetní technika (vecné dary)</t>
  </si>
  <si>
    <t>55805     DDHM - inventář</t>
  </si>
  <si>
    <t>55805002     DDHM - nábytek (sk.V_31)</t>
  </si>
  <si>
    <t>55806     DDHM ostatní</t>
  </si>
  <si>
    <t>55806001     DDHM - ostatní, razítka (sk.V_47, V_112)</t>
  </si>
  <si>
    <t>55806080     DDHM ostatní (věcné dary)</t>
  </si>
  <si>
    <t>55806081     DDHM ostatní (finanční dary)</t>
  </si>
  <si>
    <t>56     Finanční náklady</t>
  </si>
  <si>
    <t>563     Kurzové ztráty</t>
  </si>
  <si>
    <t>56301     Kurzové ztráty</t>
  </si>
  <si>
    <t>56301000     kurzové ztráty</t>
  </si>
  <si>
    <t>6     Účtová třída 6 - Výnosy</t>
  </si>
  <si>
    <t>60     Tržby za vlastní výkony a zboží</t>
  </si>
  <si>
    <t>602     Výnosy z prodeje služeb</t>
  </si>
  <si>
    <t>60210     Zdravotní služby samoplátcům a právnickým osobám</t>
  </si>
  <si>
    <t>60210322     zdr.služby - právn.osoby</t>
  </si>
  <si>
    <t>60210323     zdr.služby - státní orgány</t>
  </si>
  <si>
    <t>60210359     zdr.služby - tuzemci (plastika atd. ...)</t>
  </si>
  <si>
    <t>60228     Zdr. výkony - VZP sledov.položky    OZPI</t>
  </si>
  <si>
    <t>60228190     výkony pojištěncům EHS</t>
  </si>
  <si>
    <t>60241     Odmítnutí vykázané péče     OZPI</t>
  </si>
  <si>
    <t>60241101     odmítnutí vykázané péče, receptů, poukázek PZt, Tr - VZP</t>
  </si>
  <si>
    <t>60241201     odmítnutí vykázané péče, receptů, poukázek PZt, Tr - ostatní ZP</t>
  </si>
  <si>
    <t>60245     Fakturace ZP - běžný rok (paušál)   OZPI</t>
  </si>
  <si>
    <t>60245400     tržby VZP za zdrav.péči - paušál</t>
  </si>
  <si>
    <t>60245401     tržby ostatní ZP za zdrav.péči - paušál</t>
  </si>
  <si>
    <t>60246     Dorovnání péče ZP - min.let         OZPI</t>
  </si>
  <si>
    <t>60246400     tržby VZP za zdrav.péči - dorovnání min.let</t>
  </si>
  <si>
    <t>60246401     tržby ostat.ZP za zdrav.péči - dorovnání min.let</t>
  </si>
  <si>
    <t>64     Jiné provozní výnosy</t>
  </si>
  <si>
    <t>644     Výnosy z prodeje materiálu</t>
  </si>
  <si>
    <t>64423     Výnosy z prodeje materiálu</t>
  </si>
  <si>
    <t>64423015     prodej zdravotnického materiálu</t>
  </si>
  <si>
    <t>648     Čerpání fondů</t>
  </si>
  <si>
    <t>64803     Čerpání RF - čerpání fin. darů</t>
  </si>
  <si>
    <t>64803000     čerpání RF - čerpání finančních darů</t>
  </si>
  <si>
    <t>64804     Čerpání FRM</t>
  </si>
  <si>
    <t>64804221     čerp. FRM - opravy ZT</t>
  </si>
  <si>
    <t>64804222     čerp. FRM - opravy VT</t>
  </si>
  <si>
    <t>64804223     čerp. FRM - opravy ost. techn.</t>
  </si>
  <si>
    <t>64804224     čerp. FRM - údržba OSB</t>
  </si>
  <si>
    <t>64804225     čerp. FRM - údržba OHE</t>
  </si>
  <si>
    <t>649     Ostatní výnosy z činnosti</t>
  </si>
  <si>
    <t>64908     Ostatní výnosy z činnosti</t>
  </si>
  <si>
    <t>64908000     rozdíly v zaokrouhlení</t>
  </si>
  <si>
    <t>64908007     ostatní výnosy</t>
  </si>
  <si>
    <t>64924     Ostatní služby - mimo zdrav.výkony  FAKTURACE</t>
  </si>
  <si>
    <t>64924442     telekom.služby, soukr. hovory</t>
  </si>
  <si>
    <t>64924459     školení, stáže, odb. semináře, konference</t>
  </si>
  <si>
    <t>64980     Věcné dary</t>
  </si>
  <si>
    <t>64980001     věcné dary</t>
  </si>
  <si>
    <t>67     Zúčtování rezerva opravných položek finančních výnosů</t>
  </si>
  <si>
    <t>671     Výnosy vybraných vládních institucí z transferů</t>
  </si>
  <si>
    <t>67101     Nein.dotace, příspěvky, granty od zřizovatele</t>
  </si>
  <si>
    <t>67101006     transfery MZ na rezidenční místa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</si>
  <si>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</si>
  <si>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</si>
  <si>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</si>
  <si>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</si>
  <si>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</si>
  <si>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</si>
  <si>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</si>
  <si>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</si>
  <si>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79907     VPN - sklad</t>
  </si>
  <si>
    <t>79907002     výkony skladu - tisk tiskopisů</t>
  </si>
  <si>
    <t>79910     VPN - informační technologie</t>
  </si>
  <si>
    <t>79910001     výkony IT - fixní náklady (z 9086)</t>
  </si>
  <si>
    <t>79910003     výkony PACS - přeúčtování nákl. (z 9087)</t>
  </si>
  <si>
    <t>79920     VPN - mezistřediskové převody</t>
  </si>
  <si>
    <t>79920001     převody - agregované výkony laboratoří</t>
  </si>
  <si>
    <t>79950     VPN - správní režie</t>
  </si>
  <si>
    <t>79950001     režie HTS</t>
  </si>
  <si>
    <t>8     Vnútroorganizačné účtovníctvo</t>
  </si>
  <si>
    <t>89     Vnitropodnikové výnosy</t>
  </si>
  <si>
    <t>899     Vnitropodnikové výnosy</t>
  </si>
  <si>
    <t>89920     VPV - mezistřediskové převody</t>
  </si>
  <si>
    <t>89920001     převody - agregované výkony laboratoří</t>
  </si>
  <si>
    <t>89920004     převody - klinické studie</t>
  </si>
  <si>
    <t>50</t>
  </si>
  <si>
    <t/>
  </si>
  <si>
    <t>Kardiochirurgická klinika</t>
  </si>
  <si>
    <t>50113001</t>
  </si>
  <si>
    <t>Lékárna - léčiva</t>
  </si>
  <si>
    <t>50113006</t>
  </si>
  <si>
    <t>Lékárna - enterární výživa</t>
  </si>
  <si>
    <t>50113008</t>
  </si>
  <si>
    <t>393 TO krevní deriváty IVLP (112 01 003)</t>
  </si>
  <si>
    <t>50113013</t>
  </si>
  <si>
    <t>Lékárna - antibiotika</t>
  </si>
  <si>
    <t>50113014</t>
  </si>
  <si>
    <t>Lékárna - antimykotika</t>
  </si>
  <si>
    <t>SumaKL</t>
  </si>
  <si>
    <t>5011</t>
  </si>
  <si>
    <t>Kardiochirurgická klinika, lůžkové oddělení 50</t>
  </si>
  <si>
    <t>SumaNS</t>
  </si>
  <si>
    <t>mezeraNS</t>
  </si>
  <si>
    <t>5021</t>
  </si>
  <si>
    <t>Kardiochirurgická klinika, ambulance</t>
  </si>
  <si>
    <t>5031</t>
  </si>
  <si>
    <t>Kardiochirurgická klinika, JIP 50B</t>
  </si>
  <si>
    <t>5062</t>
  </si>
  <si>
    <t>Kardiochirurgická klinika, operační sál - lokální</t>
  </si>
  <si>
    <t>151403</t>
  </si>
  <si>
    <t>51403</t>
  </si>
  <si>
    <t>AMPRILAN H 5 MG/25 MG</t>
  </si>
  <si>
    <t>POR TBL NOB 30 BLI</t>
  </si>
  <si>
    <t>O</t>
  </si>
  <si>
    <t>51366</t>
  </si>
  <si>
    <t>CHLORID SODNÝ 0,9% BRAUN</t>
  </si>
  <si>
    <t>INF SOL 20X100MLPELAH</t>
  </si>
  <si>
    <t>31915</t>
  </si>
  <si>
    <t>GLUKÓZA 10 BRAUN</t>
  </si>
  <si>
    <t>INF SOL 10X500ML-PE</t>
  </si>
  <si>
    <t>47256</t>
  </si>
  <si>
    <t>GLUKÓZA 5 BRAUN</t>
  </si>
  <si>
    <t>INF SOL 20X100ML-PE</t>
  </si>
  <si>
    <t>51367</t>
  </si>
  <si>
    <t>INF SOL 10X250MLPELAH</t>
  </si>
  <si>
    <t>51383</t>
  </si>
  <si>
    <t>INF SOL 10X500MLPELAH</t>
  </si>
  <si>
    <t>100362</t>
  </si>
  <si>
    <t>362</t>
  </si>
  <si>
    <t>ADRENALIN LECIVA</t>
  </si>
  <si>
    <t>INJ 5X1ML/1MG</t>
  </si>
  <si>
    <t>100499</t>
  </si>
  <si>
    <t>499</t>
  </si>
  <si>
    <t>MAGNESIUM SULFURICUM BIOTIKA</t>
  </si>
  <si>
    <t>INJ 5X10ML 20%</t>
  </si>
  <si>
    <t>100502</t>
  </si>
  <si>
    <t>502</t>
  </si>
  <si>
    <t>MESOCAIN</t>
  </si>
  <si>
    <t>INJ 10X10ML 1%</t>
  </si>
  <si>
    <t>100610</t>
  </si>
  <si>
    <t>610</t>
  </si>
  <si>
    <t>SYNTOPHYLLIN</t>
  </si>
  <si>
    <t>INJ 5X10ML/240MG</t>
  </si>
  <si>
    <t>100802</t>
  </si>
  <si>
    <t>802</t>
  </si>
  <si>
    <t>OPHTHALMO-SEPTONEX</t>
  </si>
  <si>
    <t>GTT OPH 1X10ML</t>
  </si>
  <si>
    <t>100835</t>
  </si>
  <si>
    <t>835</t>
  </si>
  <si>
    <t>CALCIUM PANTHOTEN. SLOVAKOFARMA</t>
  </si>
  <si>
    <t>UNG 1X30GM</t>
  </si>
  <si>
    <t>101125</t>
  </si>
  <si>
    <t>1125</t>
  </si>
  <si>
    <t>MORPHIN BIOTIKA 1%</t>
  </si>
  <si>
    <t>INJ 10X1ML/10MG</t>
  </si>
  <si>
    <t>101710</t>
  </si>
  <si>
    <t>1710</t>
  </si>
  <si>
    <t>MILURIT 300</t>
  </si>
  <si>
    <t>TBL 30X300MG</t>
  </si>
  <si>
    <t>102133</t>
  </si>
  <si>
    <t>2133</t>
  </si>
  <si>
    <t>FUROSEMID BIOTIKA</t>
  </si>
  <si>
    <t>INJ 5X2ML/20MG</t>
  </si>
  <si>
    <t>102420</t>
  </si>
  <si>
    <t>2420</t>
  </si>
  <si>
    <t>PANCREOLAN FORTE</t>
  </si>
  <si>
    <t>TBL ENT 30X220MG</t>
  </si>
  <si>
    <t>102478</t>
  </si>
  <si>
    <t>2478</t>
  </si>
  <si>
    <t>DIAZEPAM SLOVAKOFARMA</t>
  </si>
  <si>
    <t>TBL 20X10MG</t>
  </si>
  <si>
    <t>102679</t>
  </si>
  <si>
    <t>2679</t>
  </si>
  <si>
    <t>BERODUAL N</t>
  </si>
  <si>
    <t>INH SOL PSS 200DÁV</t>
  </si>
  <si>
    <t>102785</t>
  </si>
  <si>
    <t>2785</t>
  </si>
  <si>
    <t>FUROSEMID SLOVAKOFARMA FORTE</t>
  </si>
  <si>
    <t>TBL 10X250MG</t>
  </si>
  <si>
    <t>103575</t>
  </si>
  <si>
    <t>3575</t>
  </si>
  <si>
    <t>HEPAROID LECIVA</t>
  </si>
  <si>
    <t>103688</t>
  </si>
  <si>
    <t>3688</t>
  </si>
  <si>
    <t>SUPPOSITORIA GLYCERINI LECIVA</t>
  </si>
  <si>
    <t>SUP 10X2.35GM</t>
  </si>
  <si>
    <t>104307</t>
  </si>
  <si>
    <t>4307</t>
  </si>
  <si>
    <t>NITRO POHL INFUS.</t>
  </si>
  <si>
    <t>INF 10X10ML/10MG</t>
  </si>
  <si>
    <t>107981</t>
  </si>
  <si>
    <t>7981</t>
  </si>
  <si>
    <t>NOVALGIN</t>
  </si>
  <si>
    <t>INJ 10X2ML/1000MG</t>
  </si>
  <si>
    <t>110151</t>
  </si>
  <si>
    <t>10151</t>
  </si>
  <si>
    <t>LOPERON CPS</t>
  </si>
  <si>
    <t>POR CPS DUR 10X2MG</t>
  </si>
  <si>
    <t>111671</t>
  </si>
  <si>
    <t>11671</t>
  </si>
  <si>
    <t>PLASMALYTE ROZTOK</t>
  </si>
  <si>
    <t>INF SOL 10X1000ML</t>
  </si>
  <si>
    <t>112770</t>
  </si>
  <si>
    <t>12770</t>
  </si>
  <si>
    <t>YAL</t>
  </si>
  <si>
    <t>SOL 2X67.5ML</t>
  </si>
  <si>
    <t>114075</t>
  </si>
  <si>
    <t>14075</t>
  </si>
  <si>
    <t>DETRALEX</t>
  </si>
  <si>
    <t>POR TBL FLM 60</t>
  </si>
  <si>
    <t>119378</t>
  </si>
  <si>
    <t>19378</t>
  </si>
  <si>
    <t>FAKTU</t>
  </si>
  <si>
    <t>RCT SUP 20</t>
  </si>
  <si>
    <t>124067</t>
  </si>
  <si>
    <t>HYDROCORTISON VUAB 100 MG</t>
  </si>
  <si>
    <t>INJ PLV SOL 1X100MG</t>
  </si>
  <si>
    <t>125366</t>
  </si>
  <si>
    <t>25366</t>
  </si>
  <si>
    <t>HELICID 20 ZENTIVA</t>
  </si>
  <si>
    <t>POR CPS ETD 90X20MG</t>
  </si>
  <si>
    <t>126578</t>
  </si>
  <si>
    <t>26578</t>
  </si>
  <si>
    <t>MICARDISPLUS 80/12.5 MG</t>
  </si>
  <si>
    <t>POR TBL NOB 28</t>
  </si>
  <si>
    <t>131536</t>
  </si>
  <si>
    <t>31536</t>
  </si>
  <si>
    <t>BETALOC ZOK 25 MG</t>
  </si>
  <si>
    <t>TBL RET 100X25MG</t>
  </si>
  <si>
    <t>132917</t>
  </si>
  <si>
    <t>32917</t>
  </si>
  <si>
    <t>PREDUCTAL MR</t>
  </si>
  <si>
    <t>POR TBL RET 60X35MG</t>
  </si>
  <si>
    <t>132992</t>
  </si>
  <si>
    <t>32992</t>
  </si>
  <si>
    <t>ATROVENT N</t>
  </si>
  <si>
    <t>INH SOL PSS200X20RG</t>
  </si>
  <si>
    <t>144305</t>
  </si>
  <si>
    <t>44305</t>
  </si>
  <si>
    <t>EUPHYLLIN CR N 200</t>
  </si>
  <si>
    <t>CPS RET 50X200MG</t>
  </si>
  <si>
    <t>147193</t>
  </si>
  <si>
    <t>47193</t>
  </si>
  <si>
    <t>HUMULIN R 100 M.J./ML</t>
  </si>
  <si>
    <t>INJ 1X10ML/1KU</t>
  </si>
  <si>
    <t>147195</t>
  </si>
  <si>
    <t>47195</t>
  </si>
  <si>
    <t>HUMULIN N 100 M.J./ML</t>
  </si>
  <si>
    <t>149017</t>
  </si>
  <si>
    <t>49017</t>
  </si>
  <si>
    <t>GUTTALAX</t>
  </si>
  <si>
    <t>POR GTT SOL 1X15ML</t>
  </si>
  <si>
    <t>154150</t>
  </si>
  <si>
    <t>54150</t>
  </si>
  <si>
    <t>EGILOK 25MG</t>
  </si>
  <si>
    <t>TBL 60X25MG</t>
  </si>
  <si>
    <t>155823</t>
  </si>
  <si>
    <t>55823</t>
  </si>
  <si>
    <t>TBL OBD 20X500MG</t>
  </si>
  <si>
    <t>156993</t>
  </si>
  <si>
    <t>56993</t>
  </si>
  <si>
    <t>CODEIN SLOVAKOFARMA 30MG</t>
  </si>
  <si>
    <t>TBL 10X30MG-BLISTR</t>
  </si>
  <si>
    <t>157396</t>
  </si>
  <si>
    <t>57396</t>
  </si>
  <si>
    <t>ACC LONG</t>
  </si>
  <si>
    <t>TBL EFF 20X600MG</t>
  </si>
  <si>
    <t>158037</t>
  </si>
  <si>
    <t>58037</t>
  </si>
  <si>
    <t>BETALOC ZOK 50MG</t>
  </si>
  <si>
    <t>TBL RET 30X50MG</t>
  </si>
  <si>
    <t>158041</t>
  </si>
  <si>
    <t>58041</t>
  </si>
  <si>
    <t>BETALOC ZOK 200 MG</t>
  </si>
  <si>
    <t>POR TBL PRO 30X200MG</t>
  </si>
  <si>
    <t>183270</t>
  </si>
  <si>
    <t>83270</t>
  </si>
  <si>
    <t>EBRANTIL 30 RETARD</t>
  </si>
  <si>
    <t>POR CPS PRO 50X30MG</t>
  </si>
  <si>
    <t>183272</t>
  </si>
  <si>
    <t>83272</t>
  </si>
  <si>
    <t>EBRANTIL 60 RETARD</t>
  </si>
  <si>
    <t>POR CPS PRO 50X60MG</t>
  </si>
  <si>
    <t>183318</t>
  </si>
  <si>
    <t>83318</t>
  </si>
  <si>
    <t>DIGOXIN 0.125 LECIVA</t>
  </si>
  <si>
    <t>TBL 30X0.125MG</t>
  </si>
  <si>
    <t>183974</t>
  </si>
  <si>
    <t>83974</t>
  </si>
  <si>
    <t>BETALOC</t>
  </si>
  <si>
    <t>INJ 5X5ML/5MG</t>
  </si>
  <si>
    <t>184360</t>
  </si>
  <si>
    <t>84360</t>
  </si>
  <si>
    <t>TENAXUM</t>
  </si>
  <si>
    <t>TBL 30X1MG</t>
  </si>
  <si>
    <t>187076</t>
  </si>
  <si>
    <t>87076</t>
  </si>
  <si>
    <t>ERDOMED 300MG</t>
  </si>
  <si>
    <t>CPS 20X300MG</t>
  </si>
  <si>
    <t>188219</t>
  </si>
  <si>
    <t>88219</t>
  </si>
  <si>
    <t>LEXAURIN</t>
  </si>
  <si>
    <t>TBL 30X3MG</t>
  </si>
  <si>
    <t>188356</t>
  </si>
  <si>
    <t>88356</t>
  </si>
  <si>
    <t>CARDILAN</t>
  </si>
  <si>
    <t>TBL 100X175MG</t>
  </si>
  <si>
    <t>191836</t>
  </si>
  <si>
    <t>91836</t>
  </si>
  <si>
    <t>TORECAN</t>
  </si>
  <si>
    <t>INJ 5X1ML/6.5MG</t>
  </si>
  <si>
    <t>192086</t>
  </si>
  <si>
    <t>92086</t>
  </si>
  <si>
    <t>ROWATINEX</t>
  </si>
  <si>
    <t>GTT 1X10ML</t>
  </si>
  <si>
    <t>192351</t>
  </si>
  <si>
    <t>92351</t>
  </si>
  <si>
    <t>ATROVENT 0.025%</t>
  </si>
  <si>
    <t>INH SOL 1X20ML</t>
  </si>
  <si>
    <t>192853</t>
  </si>
  <si>
    <t>POR CPS DUR 20X2MG</t>
  </si>
  <si>
    <t>193104</t>
  </si>
  <si>
    <t>93104</t>
  </si>
  <si>
    <t>DEGAN</t>
  </si>
  <si>
    <t>TBL 40X10MG</t>
  </si>
  <si>
    <t>193105</t>
  </si>
  <si>
    <t>93105</t>
  </si>
  <si>
    <t>INJ 50X2ML/10MG</t>
  </si>
  <si>
    <t>193582</t>
  </si>
  <si>
    <t>93582</t>
  </si>
  <si>
    <t>ANACID 5ML</t>
  </si>
  <si>
    <t>SUS 30X5ML</t>
  </si>
  <si>
    <t>193746</t>
  </si>
  <si>
    <t>93746</t>
  </si>
  <si>
    <t>HEPARIN LECIVA</t>
  </si>
  <si>
    <t>INJ 1X10ML/50KU</t>
  </si>
  <si>
    <t>196118</t>
  </si>
  <si>
    <t>96118</t>
  </si>
  <si>
    <t>VESSEL DUE F</t>
  </si>
  <si>
    <t>CPS 50X250LSU</t>
  </si>
  <si>
    <t>196696</t>
  </si>
  <si>
    <t>96696</t>
  </si>
  <si>
    <t>INDAP</t>
  </si>
  <si>
    <t>CPS 30X2.5MG</t>
  </si>
  <si>
    <t>197522</t>
  </si>
  <si>
    <t>97522</t>
  </si>
  <si>
    <t>TBL OBD 30</t>
  </si>
  <si>
    <t>198219</t>
  </si>
  <si>
    <t>98219</t>
  </si>
  <si>
    <t>FURON</t>
  </si>
  <si>
    <t>TBL 50X40MG</t>
  </si>
  <si>
    <t>199295</t>
  </si>
  <si>
    <t>99295</t>
  </si>
  <si>
    <t>ANOPYRIN 100MG</t>
  </si>
  <si>
    <t>TBL 20X100MG</t>
  </si>
  <si>
    <t>395210</t>
  </si>
  <si>
    <t>Aqua Touch Jelly 25x6ml</t>
  </si>
  <si>
    <t>395294</t>
  </si>
  <si>
    <t>180306</t>
  </si>
  <si>
    <t>TANTUM VERDE</t>
  </si>
  <si>
    <t>LIQ 1X240ML-PET TR</t>
  </si>
  <si>
    <t>395997</t>
  </si>
  <si>
    <t>DZ SOFTASEPT N BEZBARVÝ 250 ml</t>
  </si>
  <si>
    <t>840220</t>
  </si>
  <si>
    <t>Lactobacillus acidophil.cps.75 bez laktózy</t>
  </si>
  <si>
    <t>841572</t>
  </si>
  <si>
    <t>MENALIND Ubrousky 50ks náhradní náplň</t>
  </si>
  <si>
    <t>845220</t>
  </si>
  <si>
    <t>101211</t>
  </si>
  <si>
    <t>PRESTARIUM NEO</t>
  </si>
  <si>
    <t>POR TBL FLM 90X5MG</t>
  </si>
  <si>
    <t>845369</t>
  </si>
  <si>
    <t>107987</t>
  </si>
  <si>
    <t>ANALGIN</t>
  </si>
  <si>
    <t>INJ SOL 5X5ML</t>
  </si>
  <si>
    <t>845697</t>
  </si>
  <si>
    <t>125599</t>
  </si>
  <si>
    <t>KALNORMIN</t>
  </si>
  <si>
    <t>POR TBL PRO 30X1GM</t>
  </si>
  <si>
    <t>846341</t>
  </si>
  <si>
    <t>Indulona Kamilková</t>
  </si>
  <si>
    <t>1x100g</t>
  </si>
  <si>
    <t>846413</t>
  </si>
  <si>
    <t>57585</t>
  </si>
  <si>
    <t>Espumisan cps.100x40mg-blistr</t>
  </si>
  <si>
    <t>0057585</t>
  </si>
  <si>
    <t>846599</t>
  </si>
  <si>
    <t>107754</t>
  </si>
  <si>
    <t>Dobutamin Admeda 250 inf.sol50ml</t>
  </si>
  <si>
    <t>846758</t>
  </si>
  <si>
    <t>103387</t>
  </si>
  <si>
    <t>ACC INJEKT</t>
  </si>
  <si>
    <t>INJ SOL 5X3ML/300MG</t>
  </si>
  <si>
    <t>847132</t>
  </si>
  <si>
    <t>137238</t>
  </si>
  <si>
    <t>ADENOCOR</t>
  </si>
  <si>
    <t>INJ SOL 6X2ML/6MG</t>
  </si>
  <si>
    <t>847713</t>
  </si>
  <si>
    <t>125526</t>
  </si>
  <si>
    <t>APO-IBUPROFEN 400 MG</t>
  </si>
  <si>
    <t>POR TBL FLM 100X400MG</t>
  </si>
  <si>
    <t>847871</t>
  </si>
  <si>
    <t>125524</t>
  </si>
  <si>
    <t>APO-AMILZIDE 5/50 MG</t>
  </si>
  <si>
    <t>POR TBL NOB 100X5MG/50MG</t>
  </si>
  <si>
    <t>848335</t>
  </si>
  <si>
    <t>155782</t>
  </si>
  <si>
    <t>GODASAL 100</t>
  </si>
  <si>
    <t>POR TBL NOB 100</t>
  </si>
  <si>
    <t>848632</t>
  </si>
  <si>
    <t>125315</t>
  </si>
  <si>
    <t>TIAPRIDAL</t>
  </si>
  <si>
    <t>INJ SOL 12X2ML/100MG</t>
  </si>
  <si>
    <t>848866</t>
  </si>
  <si>
    <t>119654</t>
  </si>
  <si>
    <t>SORBIFER DURULES</t>
  </si>
  <si>
    <t>POR TBL FLM 100X100MG</t>
  </si>
  <si>
    <t>849254</t>
  </si>
  <si>
    <t>155780</t>
  </si>
  <si>
    <t>POR TBL NOB 20</t>
  </si>
  <si>
    <t>849831</t>
  </si>
  <si>
    <t>162008</t>
  </si>
  <si>
    <t>PRESTARIUM NEO COMBI 10 MG/2,5 MG</t>
  </si>
  <si>
    <t>POR TBL FLM 30</t>
  </si>
  <si>
    <t>849941</t>
  </si>
  <si>
    <t>162142</t>
  </si>
  <si>
    <t>PARALEN 500</t>
  </si>
  <si>
    <t>POR TBL NOB 24X500MG</t>
  </si>
  <si>
    <t>850010</t>
  </si>
  <si>
    <t>149543</t>
  </si>
  <si>
    <t>CLOPIDOGREL APOTEX 75 MG</t>
  </si>
  <si>
    <t>POR TBL FLM 30X75MG</t>
  </si>
  <si>
    <t>905097</t>
  </si>
  <si>
    <t>23987</t>
  </si>
  <si>
    <t>DZ OCTENISEPT 250 ml</t>
  </si>
  <si>
    <t>DPH 15%</t>
  </si>
  <si>
    <t>51384</t>
  </si>
  <si>
    <t>INF SOL 10X1000MLPLAH</t>
  </si>
  <si>
    <t>100489</t>
  </si>
  <si>
    <t>489</t>
  </si>
  <si>
    <t>KANAVIT</t>
  </si>
  <si>
    <t>INJ 5X1ML/10MG</t>
  </si>
  <si>
    <t>100536</t>
  </si>
  <si>
    <t>536</t>
  </si>
  <si>
    <t>NORADRENALIN LECIVA</t>
  </si>
  <si>
    <t>100612</t>
  </si>
  <si>
    <t>612</t>
  </si>
  <si>
    <t>SYNTOSTIGMIN</t>
  </si>
  <si>
    <t>INJ 10X1ML/0.5MG</t>
  </si>
  <si>
    <t>109139</t>
  </si>
  <si>
    <t>9139</t>
  </si>
  <si>
    <t>HEMINEVRIN 300MG</t>
  </si>
  <si>
    <t>CPS 100X300MG</t>
  </si>
  <si>
    <t>110086</t>
  </si>
  <si>
    <t>10086</t>
  </si>
  <si>
    <t>NEODOLPASSE</t>
  </si>
  <si>
    <t>INF 10X250ML</t>
  </si>
  <si>
    <t>118305</t>
  </si>
  <si>
    <t>18305</t>
  </si>
  <si>
    <t>RINGERFUNDIN B.BRAUN</t>
  </si>
  <si>
    <t>INF SOL10X1000ML PE</t>
  </si>
  <si>
    <t>138839</t>
  </si>
  <si>
    <t>DORETA 37,5 MG/325 MG</t>
  </si>
  <si>
    <t>POR TBL FLM 10</t>
  </si>
  <si>
    <t>169189</t>
  </si>
  <si>
    <t>69189</t>
  </si>
  <si>
    <t>EUTHYROX 50</t>
  </si>
  <si>
    <t>TBL 100X50RG</t>
  </si>
  <si>
    <t>176501</t>
  </si>
  <si>
    <t>IBALGIN DUO EFFECT</t>
  </si>
  <si>
    <t>DRM CRM 1X50GM</t>
  </si>
  <si>
    <t>185733</t>
  </si>
  <si>
    <t>85733</t>
  </si>
  <si>
    <t>ISOKET LOSUNG 0.1% PRO INFUS.</t>
  </si>
  <si>
    <t>INJ PRO INF 10X10ML</t>
  </si>
  <si>
    <t>189244</t>
  </si>
  <si>
    <t>89244</t>
  </si>
  <si>
    <t>AQUA PRO INJECTIONE ARDEAPHARMA</t>
  </si>
  <si>
    <t>INF 1X250ML</t>
  </si>
  <si>
    <t>192757</t>
  </si>
  <si>
    <t>92757</t>
  </si>
  <si>
    <t>CPS 10X300MG</t>
  </si>
  <si>
    <t>194919</t>
  </si>
  <si>
    <t>94919</t>
  </si>
  <si>
    <t>AMBROBENE 7.5MG/ML</t>
  </si>
  <si>
    <t>SOL 1X40ML</t>
  </si>
  <si>
    <t>197186</t>
  </si>
  <si>
    <t>97186</t>
  </si>
  <si>
    <t>EUTHYROX 100</t>
  </si>
  <si>
    <t>TBL 100X100RG</t>
  </si>
  <si>
    <t>848625</t>
  </si>
  <si>
    <t>138841</t>
  </si>
  <si>
    <t>102684</t>
  </si>
  <si>
    <t>2684</t>
  </si>
  <si>
    <t>GEL 1X20GM</t>
  </si>
  <si>
    <t>146125</t>
  </si>
  <si>
    <t>46125</t>
  </si>
  <si>
    <t>LIDOCAIN 10%</t>
  </si>
  <si>
    <t>SPR 1X38GM</t>
  </si>
  <si>
    <t>58038</t>
  </si>
  <si>
    <t>BETALOC ZOK 50 MG</t>
  </si>
  <si>
    <t>POR TBL PRO 100X50MG</t>
  </si>
  <si>
    <t>100409</t>
  </si>
  <si>
    <t>409</t>
  </si>
  <si>
    <t>CALCIUM CHLORATUM BIOTIKA</t>
  </si>
  <si>
    <t>INJ 5X10ML 10%</t>
  </si>
  <si>
    <t>162597</t>
  </si>
  <si>
    <t>62597</t>
  </si>
  <si>
    <t>ENAP I.V.</t>
  </si>
  <si>
    <t>INJ 5X1ML/1.25MG</t>
  </si>
  <si>
    <t>190765</t>
  </si>
  <si>
    <t>90765</t>
  </si>
  <si>
    <t>EBRANTIL I.V.50</t>
  </si>
  <si>
    <t>INJ 5X10ML/50MG</t>
  </si>
  <si>
    <t>194852</t>
  </si>
  <si>
    <t>94852</t>
  </si>
  <si>
    <t>SOLUVIT N PRO INFUS.</t>
  </si>
  <si>
    <t>INJ SIC 10</t>
  </si>
  <si>
    <t>194916</t>
  </si>
  <si>
    <t>94916</t>
  </si>
  <si>
    <t>AMBROBENE</t>
  </si>
  <si>
    <t>INJ 5X2ML/15MG</t>
  </si>
  <si>
    <t>100407</t>
  </si>
  <si>
    <t>407</t>
  </si>
  <si>
    <t>CALCIUM BIOTIKA</t>
  </si>
  <si>
    <t>INJ 10X10ML/1GM</t>
  </si>
  <si>
    <t>500701</t>
  </si>
  <si>
    <t>IR  AQUA STERILE OPLACH 1000 ml Pour Bottle Prom.</t>
  </si>
  <si>
    <t>IR OPLACH</t>
  </si>
  <si>
    <t>777144</t>
  </si>
  <si>
    <t>Emspoma Z 500g/proti bolesti</t>
  </si>
  <si>
    <t>108499</t>
  </si>
  <si>
    <t>8499</t>
  </si>
  <si>
    <t>DIPIDOLOR</t>
  </si>
  <si>
    <t>INJ 5X2ML 7.5MG/ML</t>
  </si>
  <si>
    <t>146444</t>
  </si>
  <si>
    <t>46444</t>
  </si>
  <si>
    <t>TRITTICO AC 150</t>
  </si>
  <si>
    <t>TBL RET 60X150MG</t>
  </si>
  <si>
    <t>199466</t>
  </si>
  <si>
    <t>BURONIL 25 MG</t>
  </si>
  <si>
    <t>POR TBL OBD 50X25MG</t>
  </si>
  <si>
    <t>849767</t>
  </si>
  <si>
    <t>162012</t>
  </si>
  <si>
    <t>POR TBL FLM 90</t>
  </si>
  <si>
    <t>920356</t>
  </si>
  <si>
    <t>KL SOL.BORGLYCEROLI  3% 100 G</t>
  </si>
  <si>
    <t>58880</t>
  </si>
  <si>
    <t>DOLMINA 100 SR</t>
  </si>
  <si>
    <t>POR TBL PRO 20X100MG</t>
  </si>
  <si>
    <t>100750</t>
  </si>
  <si>
    <t>750</t>
  </si>
  <si>
    <t>CHAMOMILLA</t>
  </si>
  <si>
    <t>LIQ 100ML</t>
  </si>
  <si>
    <t>845813</t>
  </si>
  <si>
    <t>DECA DURABOLIN  50</t>
  </si>
  <si>
    <t xml:space="preserve">INJ SOL 1X1ML/50MG </t>
  </si>
  <si>
    <t>900071</t>
  </si>
  <si>
    <t>KL TBL MAGN.LACT 0,5G+B6 0,02G, 100TBL</t>
  </si>
  <si>
    <t>844148</t>
  </si>
  <si>
    <t>104694</t>
  </si>
  <si>
    <t>MUCOSOLVAN PRO DOSPĚLÉ</t>
  </si>
  <si>
    <t>POR SIR 1X100ML</t>
  </si>
  <si>
    <t>844350</t>
  </si>
  <si>
    <t>KL ETHANOL.C.BENZINO 160G</t>
  </si>
  <si>
    <t>920200</t>
  </si>
  <si>
    <t>DZ BRAUNOL 1 L</t>
  </si>
  <si>
    <t>155911</t>
  </si>
  <si>
    <t>PEROXID VODIKU 3%</t>
  </si>
  <si>
    <t>LIQ  1X100ML</t>
  </si>
  <si>
    <t>988709</t>
  </si>
  <si>
    <t>Masážní emulze Emspoma O hřejivá tuba 200ml</t>
  </si>
  <si>
    <t>921284</t>
  </si>
  <si>
    <t>KL ETHER 180G</t>
  </si>
  <si>
    <t>188518</t>
  </si>
  <si>
    <t>88518</t>
  </si>
  <si>
    <t>AMICLOTON</t>
  </si>
  <si>
    <t>TBL 30</t>
  </si>
  <si>
    <t>902094</t>
  </si>
  <si>
    <t>IR  OMNIFLUSH NaCl 0,9% 10 ml v 10 ml</t>
  </si>
  <si>
    <t>F1/1 ve stříkačce</t>
  </si>
  <si>
    <t>987881</t>
  </si>
  <si>
    <t>Walmark Laktobacily FORTE s fruktooligosach.30+30</t>
  </si>
  <si>
    <t>107678</t>
  </si>
  <si>
    <t>KALIUMCHLORID 7.45% BRAUN</t>
  </si>
  <si>
    <t>INF CNC SOL 20X20ML</t>
  </si>
  <si>
    <t>989038</t>
  </si>
  <si>
    <t>Menalind Profess.kož.ochr.krém 200ml+čist.ubrousky</t>
  </si>
  <si>
    <t>989039</t>
  </si>
  <si>
    <t>Menalind Profess.čist.pěna 400ml+čist.těl.ml.500ml</t>
  </si>
  <si>
    <t>P</t>
  </si>
  <si>
    <t>49115</t>
  </si>
  <si>
    <t>CONTROLOC 20 MG</t>
  </si>
  <si>
    <t>POR TBL ENT 100X20MG</t>
  </si>
  <si>
    <t>56976</t>
  </si>
  <si>
    <t>TRITACE 2,5 MG</t>
  </si>
  <si>
    <t>POR TBL NOB 20X2.5MG</t>
  </si>
  <si>
    <t>109709</t>
  </si>
  <si>
    <t>9709</t>
  </si>
  <si>
    <t>SOLU-MEDROL</t>
  </si>
  <si>
    <t>INJ SIC 1X40MG+1ML</t>
  </si>
  <si>
    <t>113767</t>
  </si>
  <si>
    <t>13767</t>
  </si>
  <si>
    <t>CORDARONE</t>
  </si>
  <si>
    <t>POR TBL NOB30X200MG</t>
  </si>
  <si>
    <t>113768</t>
  </si>
  <si>
    <t>13768</t>
  </si>
  <si>
    <t>POR TBL NOB60X200MG</t>
  </si>
  <si>
    <t>115864</t>
  </si>
  <si>
    <t>15864</t>
  </si>
  <si>
    <t>TRITACE 10</t>
  </si>
  <si>
    <t>POR TBL NOB 30X10MG</t>
  </si>
  <si>
    <t>117121</t>
  </si>
  <si>
    <t>17121</t>
  </si>
  <si>
    <t>LANZUL</t>
  </si>
  <si>
    <t>CPS 28X30MG</t>
  </si>
  <si>
    <t>117122</t>
  </si>
  <si>
    <t>17122</t>
  </si>
  <si>
    <t>CPS 56X30MG</t>
  </si>
  <si>
    <t>125034</t>
  </si>
  <si>
    <t>25034</t>
  </si>
  <si>
    <t>DORMICUM</t>
  </si>
  <si>
    <t>INJ SOL 10X1ML/5MG</t>
  </si>
  <si>
    <t>126409</t>
  </si>
  <si>
    <t>26409</t>
  </si>
  <si>
    <t>ARIXTRA</t>
  </si>
  <si>
    <t>INJ SOL 10X0.5ML</t>
  </si>
  <si>
    <t>126762</t>
  </si>
  <si>
    <t>26762</t>
  </si>
  <si>
    <t>NOVOMIX 30 PENFILL 100 U/ML</t>
  </si>
  <si>
    <t>INJ SUS 5X3ML</t>
  </si>
  <si>
    <t>132061</t>
  </si>
  <si>
    <t>32061</t>
  </si>
  <si>
    <t>FRAXIPARINE</t>
  </si>
  <si>
    <t>INJ SOL 10X0.6ML</t>
  </si>
  <si>
    <t>132063</t>
  </si>
  <si>
    <t>32063</t>
  </si>
  <si>
    <t>INJ SOL 10X0.8ML</t>
  </si>
  <si>
    <t>147740</t>
  </si>
  <si>
    <t>47740</t>
  </si>
  <si>
    <t>RIVOCOR 5</t>
  </si>
  <si>
    <t>POR TBL FLM 30X5MG</t>
  </si>
  <si>
    <t>149113</t>
  </si>
  <si>
    <t>49113</t>
  </si>
  <si>
    <t>POR TBL ENT 28X20MG</t>
  </si>
  <si>
    <t>149123</t>
  </si>
  <si>
    <t>49123</t>
  </si>
  <si>
    <t>CONTROLOC 40 MG</t>
  </si>
  <si>
    <t>POR TBL ENT 28X40MG</t>
  </si>
  <si>
    <t>149909</t>
  </si>
  <si>
    <t>49909</t>
  </si>
  <si>
    <t>LOKREN 20 MG</t>
  </si>
  <si>
    <t>POR TBL FLM 28X20MG</t>
  </si>
  <si>
    <t>149910</t>
  </si>
  <si>
    <t>49910</t>
  </si>
  <si>
    <t>POR TBL FLM 98X20MG</t>
  </si>
  <si>
    <t>156503</t>
  </si>
  <si>
    <t>56503</t>
  </si>
  <si>
    <t>SIOFOR 500</t>
  </si>
  <si>
    <t>TBL OBD 60X500MG</t>
  </si>
  <si>
    <t>156981</t>
  </si>
  <si>
    <t>56981</t>
  </si>
  <si>
    <t>TRITACE 5</t>
  </si>
  <si>
    <t>TBL 30X5MG</t>
  </si>
  <si>
    <t>158380</t>
  </si>
  <si>
    <t>58380</t>
  </si>
  <si>
    <t>VENTOLIN ROZTOK K INHALACI</t>
  </si>
  <si>
    <t>INH SOL1X20ML/120MG</t>
  </si>
  <si>
    <t>159806</t>
  </si>
  <si>
    <t>59806</t>
  </si>
  <si>
    <t>FRAXIPARINE FORTE</t>
  </si>
  <si>
    <t>INJ 10X0.6ML/11.4KU</t>
  </si>
  <si>
    <t>159808</t>
  </si>
  <si>
    <t>59808</t>
  </si>
  <si>
    <t>INJ 10X0.8ML/15.2KU</t>
  </si>
  <si>
    <t>159810</t>
  </si>
  <si>
    <t>59810</t>
  </si>
  <si>
    <t>INJ SOL 10X1.0ML</t>
  </si>
  <si>
    <t>190957</t>
  </si>
  <si>
    <t>90957</t>
  </si>
  <si>
    <t>XANAX</t>
  </si>
  <si>
    <t>TBL 30X0.25MG</t>
  </si>
  <si>
    <t>193016</t>
  </si>
  <si>
    <t>93016</t>
  </si>
  <si>
    <t>SORTIS 20MG</t>
  </si>
  <si>
    <t>TBL OBD 30X20MG</t>
  </si>
  <si>
    <t>193018</t>
  </si>
  <si>
    <t>93018</t>
  </si>
  <si>
    <t>SORTIS 20 MG</t>
  </si>
  <si>
    <t>POR TBL FLM100X20MG</t>
  </si>
  <si>
    <t>194114</t>
  </si>
  <si>
    <t>94114</t>
  </si>
  <si>
    <t>WARFARIN</t>
  </si>
  <si>
    <t>TBL 100X5MG</t>
  </si>
  <si>
    <t>848765</t>
  </si>
  <si>
    <t>107938</t>
  </si>
  <si>
    <t>INJ SOL 6X3ML/150MG</t>
  </si>
  <si>
    <t>849444</t>
  </si>
  <si>
    <t>163085</t>
  </si>
  <si>
    <t>AMARYL 3 MG</t>
  </si>
  <si>
    <t>POR TBL NOB 30X3MG</t>
  </si>
  <si>
    <t>849561</t>
  </si>
  <si>
    <t>125060</t>
  </si>
  <si>
    <t>APO-AMLO 5</t>
  </si>
  <si>
    <t>POR TBL NOB 30X5MG</t>
  </si>
  <si>
    <t>117425</t>
  </si>
  <si>
    <t>17425</t>
  </si>
  <si>
    <t>CITALEC 10 ZENTIVA</t>
  </si>
  <si>
    <t>POR TBL FLM30X10MG</t>
  </si>
  <si>
    <t>126786</t>
  </si>
  <si>
    <t>26786</t>
  </si>
  <si>
    <t>NOVORAPID 100 U/ML</t>
  </si>
  <si>
    <t>INJ SOL 1X10ML</t>
  </si>
  <si>
    <t>131934</t>
  </si>
  <si>
    <t>31934</t>
  </si>
  <si>
    <t>VENTOLIN INHALER N</t>
  </si>
  <si>
    <t>INHSUSPSS200X100RG</t>
  </si>
  <si>
    <t>142546</t>
  </si>
  <si>
    <t>42546</t>
  </si>
  <si>
    <t>LACTULOSE AL SIRUP</t>
  </si>
  <si>
    <t>POR SIR 1X200ML</t>
  </si>
  <si>
    <t>149195</t>
  </si>
  <si>
    <t>49195</t>
  </si>
  <si>
    <t>FOKUSIN</t>
  </si>
  <si>
    <t>POR CPS RDR 90X0.4MG</t>
  </si>
  <si>
    <t>149531</t>
  </si>
  <si>
    <t>49531</t>
  </si>
  <si>
    <t>CONTROLOC I.V.</t>
  </si>
  <si>
    <t>INJ PLV SOL 1X40MG</t>
  </si>
  <si>
    <t>193019</t>
  </si>
  <si>
    <t>93019</t>
  </si>
  <si>
    <t>SORTIS 40MG</t>
  </si>
  <si>
    <t>TBL OBD 30X40MG</t>
  </si>
  <si>
    <t>193021</t>
  </si>
  <si>
    <t>93021</t>
  </si>
  <si>
    <t>SORTIS 40 MG</t>
  </si>
  <si>
    <t>POR TBL FLM100X40MG</t>
  </si>
  <si>
    <t>848924</t>
  </si>
  <si>
    <t>148078</t>
  </si>
  <si>
    <t>ROSUCARD 40 MG POTAHOVANÉ TABLETY</t>
  </si>
  <si>
    <t>POR TBL FLM 90X40MG</t>
  </si>
  <si>
    <t>849187</t>
  </si>
  <si>
    <t>111902</t>
  </si>
  <si>
    <t>NITRESAN 20 MG</t>
  </si>
  <si>
    <t>POR TBL NOB 30X20MG</t>
  </si>
  <si>
    <t>118167</t>
  </si>
  <si>
    <t>18167</t>
  </si>
  <si>
    <t>PROPOFOL 1% MCT/LCT FRESENIUS</t>
  </si>
  <si>
    <t>INJ EML 5X20ML</t>
  </si>
  <si>
    <t>132058</t>
  </si>
  <si>
    <t>32058</t>
  </si>
  <si>
    <t>INJ SOL 10X0.3ML</t>
  </si>
  <si>
    <t>132059</t>
  </si>
  <si>
    <t>32059</t>
  </si>
  <si>
    <t>INJ SOL 10X0.4ML</t>
  </si>
  <si>
    <t>849666</t>
  </si>
  <si>
    <t>119688</t>
  </si>
  <si>
    <t>POR TBL ENT 100X40MG</t>
  </si>
  <si>
    <t>153950</t>
  </si>
  <si>
    <t>53950</t>
  </si>
  <si>
    <t>ZOLOFT 50MG</t>
  </si>
  <si>
    <t>TBL OBD 28X50MG</t>
  </si>
  <si>
    <t>115010</t>
  </si>
  <si>
    <t>15010</t>
  </si>
  <si>
    <t>DORMICUM 15 MG</t>
  </si>
  <si>
    <t>TBL OBD 10X15MG</t>
  </si>
  <si>
    <t>850148</t>
  </si>
  <si>
    <t>115590</t>
  </si>
  <si>
    <t>MEDORAM PLUS H 5/25 MG</t>
  </si>
  <si>
    <t>POR TBL NOB 30</t>
  </si>
  <si>
    <t>191922</t>
  </si>
  <si>
    <t>SIOFOR 1000</t>
  </si>
  <si>
    <t>POR TBL FLM 60X1000MG</t>
  </si>
  <si>
    <t>195638</t>
  </si>
  <si>
    <t>95638</t>
  </si>
  <si>
    <t>NUTRIFLEX LIPID PLUS</t>
  </si>
  <si>
    <t>INF EML 5X2500ML</t>
  </si>
  <si>
    <t>841761</t>
  </si>
  <si>
    <t>PreOp 200ml</t>
  </si>
  <si>
    <t>133474</t>
  </si>
  <si>
    <t>33474</t>
  </si>
  <si>
    <t>NUTRIDRINK JUICE STYLE S PŘÍCHUTÍ JABLEČNOU</t>
  </si>
  <si>
    <t>POR SOL 1X200ML</t>
  </si>
  <si>
    <t>846765</t>
  </si>
  <si>
    <t>33421</t>
  </si>
  <si>
    <t>NUTRIDRINK COMPACT S PŘÍCHUTÍ KÁVY</t>
  </si>
  <si>
    <t>POR SOL 4X125ML</t>
  </si>
  <si>
    <t>96414</t>
  </si>
  <si>
    <t>GENTAMICIN LEK 80 MG/2 ML</t>
  </si>
  <si>
    <t>INJ SOL 10X2ML/80MG</t>
  </si>
  <si>
    <t>106264</t>
  </si>
  <si>
    <t>6264</t>
  </si>
  <si>
    <t>SUMETROLIM</t>
  </si>
  <si>
    <t>TBL 20X480MG</t>
  </si>
  <si>
    <t>117149</t>
  </si>
  <si>
    <t>17149</t>
  </si>
  <si>
    <t>UNASYN</t>
  </si>
  <si>
    <t>POR TBL FLM12X375MG</t>
  </si>
  <si>
    <t>168998</t>
  </si>
  <si>
    <t>68998</t>
  </si>
  <si>
    <t>AMPICILIN BIOTIKA</t>
  </si>
  <si>
    <t>INJ 10X1000MG</t>
  </si>
  <si>
    <t>849567</t>
  </si>
  <si>
    <t>125249</t>
  </si>
  <si>
    <t>CIPROFLOXACIN KABI 400 MG/200 ML INFUZNÍ ROZTOK</t>
  </si>
  <si>
    <t>INF SOL 10X400MG/200ML</t>
  </si>
  <si>
    <t>105951</t>
  </si>
  <si>
    <t>5951</t>
  </si>
  <si>
    <t>AMOKSIKLAV 1G</t>
  </si>
  <si>
    <t>TBL OBD 14X1GM</t>
  </si>
  <si>
    <t>108807</t>
  </si>
  <si>
    <t>8807</t>
  </si>
  <si>
    <t>DALACIN C PHOSPHATE</t>
  </si>
  <si>
    <t>INJ 1X4ML 600MG</t>
  </si>
  <si>
    <t>116600</t>
  </si>
  <si>
    <t>16600</t>
  </si>
  <si>
    <t>INJ PLV SOL 1X1.5GM</t>
  </si>
  <si>
    <t>147727</t>
  </si>
  <si>
    <t>47727</t>
  </si>
  <si>
    <t>ZINNAT 500 MG</t>
  </si>
  <si>
    <t>TBL OBD 10X500MG</t>
  </si>
  <si>
    <t>153202</t>
  </si>
  <si>
    <t>53202</t>
  </si>
  <si>
    <t>CIPHIN 500</t>
  </si>
  <si>
    <t>153922</t>
  </si>
  <si>
    <t>53922</t>
  </si>
  <si>
    <t>CIPHIN PRO INFUSION.200MG/100ML</t>
  </si>
  <si>
    <t>INF 1X100ML/200MG</t>
  </si>
  <si>
    <t>158092</t>
  </si>
  <si>
    <t>58092</t>
  </si>
  <si>
    <t>CEFAZOLIN SANDOZ 1 G</t>
  </si>
  <si>
    <t>INJ SIC 10X1GM</t>
  </si>
  <si>
    <t>172972</t>
  </si>
  <si>
    <t>72972</t>
  </si>
  <si>
    <t>AMOKSIKLAV 1.2GM</t>
  </si>
  <si>
    <t>INJ SIC 5X1.2GM</t>
  </si>
  <si>
    <t>129767</t>
  </si>
  <si>
    <t>IMIPENEM/CILASTATIN KABI 500 MG/500 MG</t>
  </si>
  <si>
    <t>INF PLV SOL 10LAH/20ML</t>
  </si>
  <si>
    <t>116895</t>
  </si>
  <si>
    <t>16895</t>
  </si>
  <si>
    <t>IMAZOL KRÉMPASTA</t>
  </si>
  <si>
    <t>DRM PST 1X30GM</t>
  </si>
  <si>
    <t>165989</t>
  </si>
  <si>
    <t>65989</t>
  </si>
  <si>
    <t>MYCOMAX « INF. INFUZ</t>
  </si>
  <si>
    <t>842125</t>
  </si>
  <si>
    <t>DZ SOFTASEPT N BAREVNÝ 250 ml</t>
  </si>
  <si>
    <t>840572</t>
  </si>
  <si>
    <t>Sonografický gel Vita 520ml</t>
  </si>
  <si>
    <t>185526</t>
  </si>
  <si>
    <t>85526</t>
  </si>
  <si>
    <t>SUFENTA FORTE I.V.</t>
  </si>
  <si>
    <t>INJ 5X1ML/0.05MG</t>
  </si>
  <si>
    <t>47244</t>
  </si>
  <si>
    <t>109159</t>
  </si>
  <si>
    <t>9159</t>
  </si>
  <si>
    <t>HYLAK FORTE</t>
  </si>
  <si>
    <t>GTT 1X100ML</t>
  </si>
  <si>
    <t>130101</t>
  </si>
  <si>
    <t>30101</t>
  </si>
  <si>
    <t>FENTANYL TORREX 50MCG/ML</t>
  </si>
  <si>
    <t>INJ 5X2ML/100RG</t>
  </si>
  <si>
    <t>184700</t>
  </si>
  <si>
    <t>84700</t>
  </si>
  <si>
    <t>OTOBACID N</t>
  </si>
  <si>
    <t>AUR GTT SOL 1X5ML</t>
  </si>
  <si>
    <t>185719</t>
  </si>
  <si>
    <t>85719</t>
  </si>
  <si>
    <t>ISOKET SPRAY</t>
  </si>
  <si>
    <t>SPR 1X12.4GM(=15ML)</t>
  </si>
  <si>
    <t>188217</t>
  </si>
  <si>
    <t>88217</t>
  </si>
  <si>
    <t>TBL 30X1.5MG</t>
  </si>
  <si>
    <t>192729</t>
  </si>
  <si>
    <t>92729</t>
  </si>
  <si>
    <t>ACIDUM ASCORBICUM</t>
  </si>
  <si>
    <t>INJ 5X5ML</t>
  </si>
  <si>
    <t>194292</t>
  </si>
  <si>
    <t>94292</t>
  </si>
  <si>
    <t>ZOLPIDEM-RATIOPHARM 10 MG</t>
  </si>
  <si>
    <t>POR TBL FLM 20X10MG</t>
  </si>
  <si>
    <t>199333</t>
  </si>
  <si>
    <t>99333</t>
  </si>
  <si>
    <t>FUROSEMID BIOTIKA FORTE</t>
  </si>
  <si>
    <t>INJ 10X10ML/125MG</t>
  </si>
  <si>
    <t>843905</t>
  </si>
  <si>
    <t>103391</t>
  </si>
  <si>
    <t>MUCOSOLVAN</t>
  </si>
  <si>
    <t>POR GTT SOL+INH SOL 60ML</t>
  </si>
  <si>
    <t>844831</t>
  </si>
  <si>
    <t>DIGOXIN ORION INJ</t>
  </si>
  <si>
    <t>INJ SOL 25X1ML/0.25MG</t>
  </si>
  <si>
    <t>844960</t>
  </si>
  <si>
    <t>125114</t>
  </si>
  <si>
    <t>TBL 60X100 MG</t>
  </si>
  <si>
    <t>900441</t>
  </si>
  <si>
    <t>KL ETHER  LÉKOPISNÝ 1000 ml Fagron, Kulich</t>
  </si>
  <si>
    <t>jednotka 1 ks   UN 1155</t>
  </si>
  <si>
    <t>145981</t>
  </si>
  <si>
    <t>45981</t>
  </si>
  <si>
    <t>CERNEVIT</t>
  </si>
  <si>
    <t>INJ PLV SOL10X750MG</t>
  </si>
  <si>
    <t>159357</t>
  </si>
  <si>
    <t>59357</t>
  </si>
  <si>
    <t>RINGERUV ROZTOK BRAUN</t>
  </si>
  <si>
    <t>INF 10X500ML(LDPE)</t>
  </si>
  <si>
    <t>169059</t>
  </si>
  <si>
    <t>69059</t>
  </si>
  <si>
    <t>CEREBROLYSIN</t>
  </si>
  <si>
    <t>INJ 5X10ML</t>
  </si>
  <si>
    <t>841541</t>
  </si>
  <si>
    <t>MENALIND Mycí emulze 500ml</t>
  </si>
  <si>
    <t>849034</t>
  </si>
  <si>
    <t>Emspoma M 200ml/chladivá tuba</t>
  </si>
  <si>
    <t>849276</t>
  </si>
  <si>
    <t>155875</t>
  </si>
  <si>
    <t>TRENTAL</t>
  </si>
  <si>
    <t>INF SOL 5X5ML/100MG</t>
  </si>
  <si>
    <t>100874</t>
  </si>
  <si>
    <t>874</t>
  </si>
  <si>
    <t>OPHTHALMO-AZULEN</t>
  </si>
  <si>
    <t>UNG OPH 1X5GM</t>
  </si>
  <si>
    <t>112319</t>
  </si>
  <si>
    <t>12319</t>
  </si>
  <si>
    <t>TRANSMETIL 500MG INJEKCE</t>
  </si>
  <si>
    <t>INJ SIC 5X500MG+5ML</t>
  </si>
  <si>
    <t>142595</t>
  </si>
  <si>
    <t>42595</t>
  </si>
  <si>
    <t>VITALIPID N ADULT</t>
  </si>
  <si>
    <t>INF CNC SOL 10X10ML</t>
  </si>
  <si>
    <t>159398</t>
  </si>
  <si>
    <t>59398</t>
  </si>
  <si>
    <t>TRACUTIL</t>
  </si>
  <si>
    <t>INF 5X10ML</t>
  </si>
  <si>
    <t>169725</t>
  </si>
  <si>
    <t>69725</t>
  </si>
  <si>
    <t>ARDEAELYTOSOL NA.HYDR.CARB.8.4%</t>
  </si>
  <si>
    <t>INF 1X80ML</t>
  </si>
  <si>
    <t>169789</t>
  </si>
  <si>
    <t>69789</t>
  </si>
  <si>
    <t>INF 1X500ML</t>
  </si>
  <si>
    <t>190763</t>
  </si>
  <si>
    <t>90763</t>
  </si>
  <si>
    <t>EBRANTIL I.V.25</t>
  </si>
  <si>
    <t>INJ 5X5ML/25MG</t>
  </si>
  <si>
    <t>395136</t>
  </si>
  <si>
    <t>IR  NATRIUM CITRICUM 4% 1000ml</t>
  </si>
  <si>
    <t>IR dialyzační roztokl Phoenix</t>
  </si>
  <si>
    <t>847940</t>
  </si>
  <si>
    <t>155338</t>
  </si>
  <si>
    <t>SIMDAX 2,5 MG/ML</t>
  </si>
  <si>
    <t>INF CNC SOL 1X5ML</t>
  </si>
  <si>
    <t>850655</t>
  </si>
  <si>
    <t>Citra-lock 4% 5ml</t>
  </si>
  <si>
    <t>902087</t>
  </si>
  <si>
    <t>IR  CITRALYSAT K2 5000 ml</t>
  </si>
  <si>
    <t>dialys.rozt.</t>
  </si>
  <si>
    <t>100392</t>
  </si>
  <si>
    <t>392</t>
  </si>
  <si>
    <t>ATROPIN BIOTIKA 0.5MG</t>
  </si>
  <si>
    <t>113373</t>
  </si>
  <si>
    <t>154858</t>
  </si>
  <si>
    <t xml:space="preserve">PROTAMIN MEDA AMPULLEN </t>
  </si>
  <si>
    <t>INJ 5X5ML/5KU</t>
  </si>
  <si>
    <t>117011</t>
  </si>
  <si>
    <t>17011</t>
  </si>
  <si>
    <t>DICYNONE 250</t>
  </si>
  <si>
    <t>INJ SOL 4X2ML/250MG</t>
  </si>
  <si>
    <t>144357</t>
  </si>
  <si>
    <t>44357</t>
  </si>
  <si>
    <t>REMESTYP 1.0</t>
  </si>
  <si>
    <t>INJ 5X10ML/1MG</t>
  </si>
  <si>
    <t>394712</t>
  </si>
  <si>
    <t>IR  AQUA STERILE OPLACH.1x1000 ml ECOTAINER</t>
  </si>
  <si>
    <t>790011</t>
  </si>
  <si>
    <t>Emspoma M 500g/chladivá</t>
  </si>
  <si>
    <t>169755</t>
  </si>
  <si>
    <t>69755</t>
  </si>
  <si>
    <t>ARDEANUTRISOL G 40</t>
  </si>
  <si>
    <t>844591</t>
  </si>
  <si>
    <t>107161</t>
  </si>
  <si>
    <t>DIPEPTIVEN</t>
  </si>
  <si>
    <t>INF CNC SOL 1X100ML</t>
  </si>
  <si>
    <t>848725</t>
  </si>
  <si>
    <t>107677</t>
  </si>
  <si>
    <t>INF CNC SOL 20X100ML</t>
  </si>
  <si>
    <t>198169</t>
  </si>
  <si>
    <t>98169</t>
  </si>
  <si>
    <t>BUSCOPAN</t>
  </si>
  <si>
    <t>INJ 5X1ML/20MG</t>
  </si>
  <si>
    <t>988330</t>
  </si>
  <si>
    <t>HBF Borová mast 30g</t>
  </si>
  <si>
    <t>102132</t>
  </si>
  <si>
    <t>2132</t>
  </si>
  <si>
    <t>INJ 10X10ML</t>
  </si>
  <si>
    <t>395927</t>
  </si>
  <si>
    <t>98237</t>
  </si>
  <si>
    <t>HYDROGENUHLIČITAN SODNÝ 8,4 (W/V)-BRAUN</t>
  </si>
  <si>
    <t>INF SOL 10X250ML</t>
  </si>
  <si>
    <t>849971</t>
  </si>
  <si>
    <t>137494</t>
  </si>
  <si>
    <t>Esmocard HCL 100mg/10ml inj.5 x 100mg/10ml</t>
  </si>
  <si>
    <t>152225</t>
  </si>
  <si>
    <t>52225</t>
  </si>
  <si>
    <t>THIOCTACID 600 T</t>
  </si>
  <si>
    <t>INJ SOL 5X24ML/600MG</t>
  </si>
  <si>
    <t>850729</t>
  </si>
  <si>
    <t>157875</t>
  </si>
  <si>
    <t>PARACETAMOL KABI 10MG/ML</t>
  </si>
  <si>
    <t>INF SOL 10X100ML/1000MG</t>
  </si>
  <si>
    <t>844242</t>
  </si>
  <si>
    <t>105937</t>
  </si>
  <si>
    <t>TETRASPAN 6%</t>
  </si>
  <si>
    <t>INF SOL 20X500ML</t>
  </si>
  <si>
    <t>930535</t>
  </si>
  <si>
    <t>DZ OCTENIDOL 250ml</t>
  </si>
  <si>
    <t>447</t>
  </si>
  <si>
    <t>EPHEDRIN BIOTIKA</t>
  </si>
  <si>
    <t>INJ SOL 10X1ML/50MG</t>
  </si>
  <si>
    <t>790012</t>
  </si>
  <si>
    <t>Emspoma O 500g/hřejivá</t>
  </si>
  <si>
    <t>842144</t>
  </si>
  <si>
    <t>DZ BRAUNODERM 1 l</t>
  </si>
  <si>
    <t>UN 1993</t>
  </si>
  <si>
    <t>171615</t>
  </si>
  <si>
    <t>TACHYBEN I.V. 25 MG INJEKČNÍ ROZTOK</t>
  </si>
  <si>
    <t>INJ SOL 5X5ML/25MG</t>
  </si>
  <si>
    <t>184378</t>
  </si>
  <si>
    <t>84378</t>
  </si>
  <si>
    <t>THIOGAMMA 600 INJECT</t>
  </si>
  <si>
    <t>INJ 5X20ML/600MG</t>
  </si>
  <si>
    <t>395211</t>
  </si>
  <si>
    <t>Aqua Touch Jelly 25x11ml</t>
  </si>
  <si>
    <t>187814</t>
  </si>
  <si>
    <t>87814</t>
  </si>
  <si>
    <t>CALYPSOL</t>
  </si>
  <si>
    <t>INJ 5X10ML/500MG</t>
  </si>
  <si>
    <t>149990</t>
  </si>
  <si>
    <t>49990</t>
  </si>
  <si>
    <t>EXACYL</t>
  </si>
  <si>
    <t>INJ 5X5ML/500MG</t>
  </si>
  <si>
    <t>191217</t>
  </si>
  <si>
    <t>91217</t>
  </si>
  <si>
    <t>VENTER</t>
  </si>
  <si>
    <t>TBL 50X1GM</t>
  </si>
  <si>
    <t>902082</t>
  </si>
  <si>
    <t>IR  NATRIUM CITRICUM 4%2000ml</t>
  </si>
  <si>
    <t>187721</t>
  </si>
  <si>
    <t>87721</t>
  </si>
  <si>
    <t>RAPIFEN</t>
  </si>
  <si>
    <t>INJ 5X2ML</t>
  </si>
  <si>
    <t>114989</t>
  </si>
  <si>
    <t>14989</t>
  </si>
  <si>
    <t>RIVOTRIL</t>
  </si>
  <si>
    <t>INJ 5X1ML/1MG+SOLV.</t>
  </si>
  <si>
    <t>84379</t>
  </si>
  <si>
    <t>INJ SOL 10X20ML/600MG</t>
  </si>
  <si>
    <t>850093</t>
  </si>
  <si>
    <t>125121</t>
  </si>
  <si>
    <t>APO-DICLO SR 100</t>
  </si>
  <si>
    <t>POR TBL RET 30X100MG</t>
  </si>
  <si>
    <t>850027</t>
  </si>
  <si>
    <t>125122</t>
  </si>
  <si>
    <t>POR TBL RET 100X100MG</t>
  </si>
  <si>
    <t>185322</t>
  </si>
  <si>
    <t>85322</t>
  </si>
  <si>
    <t>ALDACTONE-AMPULE</t>
  </si>
  <si>
    <t>INJ 10X10ML/200MG</t>
  </si>
  <si>
    <t>168653</t>
  </si>
  <si>
    <t>DEXDOR</t>
  </si>
  <si>
    <t>INF CNC SOL 4X4ML</t>
  </si>
  <si>
    <t>500422</t>
  </si>
  <si>
    <t>Pressyn AR 20 UPS inj.10x2ml</t>
  </si>
  <si>
    <t>137493</t>
  </si>
  <si>
    <t>ESMOCARD HCL ORPHA 2500 MG/10 ML KONCENTRÁT PRO PŘ</t>
  </si>
  <si>
    <t>INF CNC SOL 1X2500MG/10ML</t>
  </si>
  <si>
    <t>988088</t>
  </si>
  <si>
    <t>Walmark Laktobacily FORTE s fruktooligosach.60+60</t>
  </si>
  <si>
    <t>200863</t>
  </si>
  <si>
    <t>OPH GTT SOL 1X10ML PLAST</t>
  </si>
  <si>
    <t>130018</t>
  </si>
  <si>
    <t>30018</t>
  </si>
  <si>
    <t>LETROX 75</t>
  </si>
  <si>
    <t>POR TBL NOB 100X75MCG</t>
  </si>
  <si>
    <t>142547</t>
  </si>
  <si>
    <t>42547</t>
  </si>
  <si>
    <t>POR SIR 1X500ML</t>
  </si>
  <si>
    <t>849559</t>
  </si>
  <si>
    <t>125066</t>
  </si>
  <si>
    <t>POR TBL NOB 100X5MG</t>
  </si>
  <si>
    <t>849712</t>
  </si>
  <si>
    <t>125053</t>
  </si>
  <si>
    <t>APO-AMLO 10</t>
  </si>
  <si>
    <t>POR TBL NOB 100X10MG</t>
  </si>
  <si>
    <t>849713</t>
  </si>
  <si>
    <t>125046</t>
  </si>
  <si>
    <t>849990</t>
  </si>
  <si>
    <t>102596</t>
  </si>
  <si>
    <t>CARVESAN 6,25</t>
  </si>
  <si>
    <t>POR TBL NOB 30X6,25MG</t>
  </si>
  <si>
    <t>850078</t>
  </si>
  <si>
    <t>102608</t>
  </si>
  <si>
    <t>CARVESAN 25</t>
  </si>
  <si>
    <t>POR TBL NOB 30X25MG</t>
  </si>
  <si>
    <t>118175</t>
  </si>
  <si>
    <t>18175</t>
  </si>
  <si>
    <t>INJ EML 10X100ML</t>
  </si>
  <si>
    <t>185325</t>
  </si>
  <si>
    <t>85325</t>
  </si>
  <si>
    <t>INJ SOL 5X3ML/15MG</t>
  </si>
  <si>
    <t>109711</t>
  </si>
  <si>
    <t>9711</t>
  </si>
  <si>
    <t>INJ SIC 1X500MG+8ML</t>
  </si>
  <si>
    <t>194882</t>
  </si>
  <si>
    <t>94882</t>
  </si>
  <si>
    <t>INJ SIC 1X250MG+4ML</t>
  </si>
  <si>
    <t>110820</t>
  </si>
  <si>
    <t>10820</t>
  </si>
  <si>
    <t>ZOFRAN</t>
  </si>
  <si>
    <t>INJ SOL 5X4ML/8MG</t>
  </si>
  <si>
    <t>850229</t>
  </si>
  <si>
    <t>101171</t>
  </si>
  <si>
    <t>CADUET 10 MG/10 MG</t>
  </si>
  <si>
    <t>109710</t>
  </si>
  <si>
    <t>9710</t>
  </si>
  <si>
    <t>INJ SIC 1X125MG+2ML</t>
  </si>
  <si>
    <t>109712</t>
  </si>
  <si>
    <t>9712</t>
  </si>
  <si>
    <t>INJ SIC 1X1GM+16ML</t>
  </si>
  <si>
    <t>142392</t>
  </si>
  <si>
    <t>42392</t>
  </si>
  <si>
    <t>TRACRIUM 50</t>
  </si>
  <si>
    <t>INJ 5X5ML/50MG</t>
  </si>
  <si>
    <t>111453</t>
  </si>
  <si>
    <t>11453</t>
  </si>
  <si>
    <t>OLICLINOMEL N8-800</t>
  </si>
  <si>
    <t>INF EML4X2000ML</t>
  </si>
  <si>
    <t>846016</t>
  </si>
  <si>
    <t>Nutrison Advanced Protison 500ml</t>
  </si>
  <si>
    <t>1X500ML</t>
  </si>
  <si>
    <t>149409</t>
  </si>
  <si>
    <t>49409</t>
  </si>
  <si>
    <t>AMINOPLASMAL B.BRAUN 5% E</t>
  </si>
  <si>
    <t>INF SOL 10X500ML</t>
  </si>
  <si>
    <t>152194</t>
  </si>
  <si>
    <t>NUTRIFLEX OMEGA SPECIAL</t>
  </si>
  <si>
    <t>INF EML 5X1250ML</t>
  </si>
  <si>
    <t>133330</t>
  </si>
  <si>
    <t>33330</t>
  </si>
  <si>
    <t>NUTRIDRINK YOGHURT S VAN A CITR</t>
  </si>
  <si>
    <t>133331</t>
  </si>
  <si>
    <t>33331</t>
  </si>
  <si>
    <t>NUTRIDRINK BALÍČEK 5+1</t>
  </si>
  <si>
    <t>POR SOL 6X200ML</t>
  </si>
  <si>
    <t>133146</t>
  </si>
  <si>
    <t>33530</t>
  </si>
  <si>
    <t>NUTRISON MULTI FIBRE</t>
  </si>
  <si>
    <t>POR SOL 1X1000ML-VA</t>
  </si>
  <si>
    <t>33424</t>
  </si>
  <si>
    <t>NUTRISON ADVANCED CUBISON</t>
  </si>
  <si>
    <t>POR SOL 1X1000ML</t>
  </si>
  <si>
    <t>848207</t>
  </si>
  <si>
    <t>33422</t>
  </si>
  <si>
    <t>Nutrison Advanced DIASON LOW ENERGY</t>
  </si>
  <si>
    <t>por.sol.1000ml</t>
  </si>
  <si>
    <t>133324</t>
  </si>
  <si>
    <t>33324</t>
  </si>
  <si>
    <t>NUTRIDRINK MULTI FIBRE S JAHOD.</t>
  </si>
  <si>
    <t>111592</t>
  </si>
  <si>
    <t>11592</t>
  </si>
  <si>
    <t>METRONIDAZOL 500MG BRAUN</t>
  </si>
  <si>
    <t>INJ 10X100ML(LDPE)</t>
  </si>
  <si>
    <t>117810</t>
  </si>
  <si>
    <t>17810</t>
  </si>
  <si>
    <t>TAZOCIN 4.5 G</t>
  </si>
  <si>
    <t>INJ PLV SOL12X4.5GM</t>
  </si>
  <si>
    <t>162050</t>
  </si>
  <si>
    <t>62050</t>
  </si>
  <si>
    <t>DUOMOX 500</t>
  </si>
  <si>
    <t>TBL 20X500MG</t>
  </si>
  <si>
    <t>183417</t>
  </si>
  <si>
    <t>83417</t>
  </si>
  <si>
    <t>MERONEM</t>
  </si>
  <si>
    <t>847476</t>
  </si>
  <si>
    <t>112782</t>
  </si>
  <si>
    <t xml:space="preserve">GENTAMICIN B.BRAUN 3 MG/ML INFUZNÍ ROZTOK </t>
  </si>
  <si>
    <t>INF SOL 20X80ML</t>
  </si>
  <si>
    <t>25746</t>
  </si>
  <si>
    <t>INVANZ 1 G</t>
  </si>
  <si>
    <t>INF PLV SOL 1X1GM</t>
  </si>
  <si>
    <t>111706</t>
  </si>
  <si>
    <t>11706</t>
  </si>
  <si>
    <t>BISEPTOL 480</t>
  </si>
  <si>
    <t>INJ 10X5ML</t>
  </si>
  <si>
    <t>162496</t>
  </si>
  <si>
    <t>TAZIP 4 G/0,5 G</t>
  </si>
  <si>
    <t>INJ+INF PLV SOL 10X4,5GM</t>
  </si>
  <si>
    <t>156801</t>
  </si>
  <si>
    <t>56801</t>
  </si>
  <si>
    <t>KLACID I.V.</t>
  </si>
  <si>
    <t>PLV INF 1X500MG</t>
  </si>
  <si>
    <t>176360</t>
  </si>
  <si>
    <t>76360</t>
  </si>
  <si>
    <t>ZINACEF AD INJ.</t>
  </si>
  <si>
    <t>INJ SIC 1X1.5GM</t>
  </si>
  <si>
    <t>145010</t>
  </si>
  <si>
    <t>45010</t>
  </si>
  <si>
    <t>AZITROMYCIN SANDOZ 500 MG</t>
  </si>
  <si>
    <t>POR TBL FLM 3X500MG</t>
  </si>
  <si>
    <t>117170</t>
  </si>
  <si>
    <t>17170</t>
  </si>
  <si>
    <t>BELOGENT KRÉM</t>
  </si>
  <si>
    <t>CRM 1X30GM</t>
  </si>
  <si>
    <t>115887</t>
  </si>
  <si>
    <t>15887</t>
  </si>
  <si>
    <t>LAMISIL SPREJ</t>
  </si>
  <si>
    <t>DRM SPR SOL 1X15ML</t>
  </si>
  <si>
    <t>97910</t>
  </si>
  <si>
    <t>Human Albumin 20% 100 ml GRIFOLS</t>
  </si>
  <si>
    <t>0062464</t>
  </si>
  <si>
    <t>Haemocomplettan P 1000mg</t>
  </si>
  <si>
    <t>47249</t>
  </si>
  <si>
    <t>INF SOL 10X250ML-PE</t>
  </si>
  <si>
    <t>100498</t>
  </si>
  <si>
    <t>498</t>
  </si>
  <si>
    <t>102486</t>
  </si>
  <si>
    <t>2486</t>
  </si>
  <si>
    <t>KALIUM CHLORATUM LECIVA 7.5%</t>
  </si>
  <si>
    <t>INJ 5X10ML 7.5%</t>
  </si>
  <si>
    <t>905098</t>
  </si>
  <si>
    <t>23989</t>
  </si>
  <si>
    <t>DZ OCTENISEPT 1 l</t>
  </si>
  <si>
    <t>DPH 15 %</t>
  </si>
  <si>
    <t>930065</t>
  </si>
  <si>
    <t>DZ PRONTOSAN ROZTOK 350ml</t>
  </si>
  <si>
    <t>109210</t>
  </si>
  <si>
    <t>9210</t>
  </si>
  <si>
    <t>LEKOPTIN</t>
  </si>
  <si>
    <t>INJ 50X2ML/5MG</t>
  </si>
  <si>
    <t>177200</t>
  </si>
  <si>
    <t>SUXAMETHONIUM JODID VUAB 100 MG</t>
  </si>
  <si>
    <t>187822</t>
  </si>
  <si>
    <t>87822</t>
  </si>
  <si>
    <t>ARDUAN</t>
  </si>
  <si>
    <t>INJ SIC 25X4MG+2ML</t>
  </si>
  <si>
    <t>850095</t>
  </si>
  <si>
    <t>120406</t>
  </si>
  <si>
    <t>THIOPENTAL VUAB INJ. PLV. SOL. 0,5 G</t>
  </si>
  <si>
    <t>INJ PLV SOL 1X0.5GM</t>
  </si>
  <si>
    <t>900814</t>
  </si>
  <si>
    <t>KL SOL.FORMAL.K FIXACI TKANI,1000G</t>
  </si>
  <si>
    <t>900321</t>
  </si>
  <si>
    <t>KL PRIPRAVEK</t>
  </si>
  <si>
    <t>847559</t>
  </si>
  <si>
    <t>Calcium pantothenicum 100g</t>
  </si>
  <si>
    <t>987463</t>
  </si>
  <si>
    <t>KY Jelly lubrikační gel 50ml</t>
  </si>
  <si>
    <t>159358</t>
  </si>
  <si>
    <t>59358</t>
  </si>
  <si>
    <t>INF 10X1000ML(LDPE)</t>
  </si>
  <si>
    <t>192730</t>
  </si>
  <si>
    <t>92730</t>
  </si>
  <si>
    <t>INJ 50X5ML</t>
  </si>
  <si>
    <t>198880</t>
  </si>
  <si>
    <t>98880</t>
  </si>
  <si>
    <t>FYZIOLOGICKÝ ROZTOK VIAFLO</t>
  </si>
  <si>
    <t>128176</t>
  </si>
  <si>
    <t>28176</t>
  </si>
  <si>
    <t>TACHOSIL</t>
  </si>
  <si>
    <t>DRM SPO 9.5X4.8CM</t>
  </si>
  <si>
    <t>128178</t>
  </si>
  <si>
    <t>28178</t>
  </si>
  <si>
    <t>DRM SPO 3.0X2.5CM</t>
  </si>
  <si>
    <t>187000</t>
  </si>
  <si>
    <t>87000</t>
  </si>
  <si>
    <t>ARDEAOSMOSOL MA 20 (Mannitol)</t>
  </si>
  <si>
    <t>INF 1X200ML</t>
  </si>
  <si>
    <t>902074</t>
  </si>
  <si>
    <t>85278</t>
  </si>
  <si>
    <t>VOLULYTE 6%</t>
  </si>
  <si>
    <t>846826</t>
  </si>
  <si>
    <t>125002</t>
  </si>
  <si>
    <t>ESMERON INJ.SOL.10X5ML</t>
  </si>
  <si>
    <t>847482</t>
  </si>
  <si>
    <t>Sofnolime - absorpční vápno</t>
  </si>
  <si>
    <t>500989</t>
  </si>
  <si>
    <t>KL MS HYDROG.PEROX. 3% 1000g</t>
  </si>
  <si>
    <t>158233</t>
  </si>
  <si>
    <t>58233</t>
  </si>
  <si>
    <t>IR  SOL.THOMAS</t>
  </si>
  <si>
    <t>INF CNC SOL 1X50ML</t>
  </si>
  <si>
    <t>501208</t>
  </si>
  <si>
    <t>Coseal Premix 8 ml</t>
  </si>
  <si>
    <t>8 ml</t>
  </si>
  <si>
    <t>501332</t>
  </si>
  <si>
    <t>Coseal Premix 4ml</t>
  </si>
  <si>
    <t>121088</t>
  </si>
  <si>
    <t>21088</t>
  </si>
  <si>
    <t>SUFENTANIL TORREX 50 MCG/ML</t>
  </si>
  <si>
    <t>INJ SOL 5X5ML/250RG</t>
  </si>
  <si>
    <t>160319</t>
  </si>
  <si>
    <t>SEVOFLURANE BAXTER 100 %</t>
  </si>
  <si>
    <t>INH LIQ VAP 1X250ML</t>
  </si>
  <si>
    <t>5031 - Kardiochirurgická klinika, JIP 50B</t>
  </si>
  <si>
    <t>5062 - Kardiochirurgická klinika, operační sál - lokální</t>
  </si>
  <si>
    <t>5011 - Kardiochirurgická klinika, lůžkové oddělení 50</t>
  </si>
  <si>
    <t>5021 - Kardiochirurgická klinika, ambulance</t>
  </si>
  <si>
    <t>N01AH03 - Sufentanyl</t>
  </si>
  <si>
    <t>A10BA02 - Metformin</t>
  </si>
  <si>
    <t>C09BA05 - Ramipril a diuretika</t>
  </si>
  <si>
    <t>J01FA09 - Klarithromycin</t>
  </si>
  <si>
    <t>G04CA02 - Tamsulosin</t>
  </si>
  <si>
    <t>N01AX10 - Propofol</t>
  </si>
  <si>
    <t>A10AB05 - Inzulin aspart</t>
  </si>
  <si>
    <t>J01CR02 - Amoxicilin a enzymový inhibitor</t>
  </si>
  <si>
    <t>A10AD05 - Inzulin aspart</t>
  </si>
  <si>
    <t>J02AC01 - Flukonazol</t>
  </si>
  <si>
    <t>A02BC03 - Lansoprazol</t>
  </si>
  <si>
    <t>A06AD11 - Laktulóza</t>
  </si>
  <si>
    <t>A10BB12 - Glimepirid</t>
  </si>
  <si>
    <t>H03AA01 - Levothyroxin, sodná sůl</t>
  </si>
  <si>
    <t>A16AA02 - Ademethionin</t>
  </si>
  <si>
    <t>J01DC02 - Cefuroxim</t>
  </si>
  <si>
    <t>B01AA03 - Warfarin</t>
  </si>
  <si>
    <t>J01FF01 - Klindamycin</t>
  </si>
  <si>
    <t>B01AB06 - Nadroparin</t>
  </si>
  <si>
    <t>N01AB08 - Sevofluran</t>
  </si>
  <si>
    <t>B01AC04 - Klopidogrel</t>
  </si>
  <si>
    <t>N05CD08 - Midazolam</t>
  </si>
  <si>
    <t>B01AX05 - Fondaparinux</t>
  </si>
  <si>
    <t>C10BX03 - Atorvastatin a amlodipin</t>
  </si>
  <si>
    <t>C01BD01 - Amiodaron</t>
  </si>
  <si>
    <t>H02AB04 - Methylprednisolon</t>
  </si>
  <si>
    <t>C03EA01 - Hydrochlorothiazid a kalium šetřící diuretika</t>
  </si>
  <si>
    <t>J01CR01 - Ampicilin a enzymový inhibitor</t>
  </si>
  <si>
    <t>C07AB05 - Betaxolol</t>
  </si>
  <si>
    <t>J01DB04 - Cefazolin</t>
  </si>
  <si>
    <t>C07AB07 - Bisoprolol</t>
  </si>
  <si>
    <t>J01DH51 - Imipenem a enzymový inhibitor</t>
  </si>
  <si>
    <t>C07AG02 - Karvedilol</t>
  </si>
  <si>
    <t>J01FA10 - Azithromycin</t>
  </si>
  <si>
    <t>C08CA01 - Amlodipin</t>
  </si>
  <si>
    <t>J01MA02 - Ciprofloxacin</t>
  </si>
  <si>
    <t>C08CA08 - Nitrendipin</t>
  </si>
  <si>
    <t>M03AC04 - Atrakurium</t>
  </si>
  <si>
    <t>C09AA02 - Enalapril</t>
  </si>
  <si>
    <t>A04AA01 - Ondansetron</t>
  </si>
  <si>
    <t>C09AA05 - Ramipril</t>
  </si>
  <si>
    <t>N05BA12 - Alprazolam</t>
  </si>
  <si>
    <t>N06AB06 - Sertralin</t>
  </si>
  <si>
    <t>N06AB04 - Citalopram</t>
  </si>
  <si>
    <t>R03AC02 - Salbutamol</t>
  </si>
  <si>
    <t>A02BC02 - Pantoprazol</t>
  </si>
  <si>
    <t>V06XX - Potraviny pro zvláštní lékařské účely (PZLÚ)</t>
  </si>
  <si>
    <t>C10AA05 - Atorvastatin</t>
  </si>
  <si>
    <t>C10AA07 - Rosuvastatin</t>
  </si>
  <si>
    <t>A02BC02</t>
  </si>
  <si>
    <t>POR TBL ENT 100X40MG I</t>
  </si>
  <si>
    <t>POR TBL ENT 28X20MG I</t>
  </si>
  <si>
    <t>POR TBL ENT 28X40MG I</t>
  </si>
  <si>
    <t>A02BC03</t>
  </si>
  <si>
    <t>LANZUL 30 MG</t>
  </si>
  <si>
    <t>POR CPS DUR 28X30MG</t>
  </si>
  <si>
    <t>POR CPS DUR 56X30MG</t>
  </si>
  <si>
    <t>A06AD11</t>
  </si>
  <si>
    <t>A10AB05</t>
  </si>
  <si>
    <t>A10AD05</t>
  </si>
  <si>
    <t>A10BA02</t>
  </si>
  <si>
    <t>POR TBL FLM 60X500MG</t>
  </si>
  <si>
    <t>A10BB12</t>
  </si>
  <si>
    <t>B01AA03</t>
  </si>
  <si>
    <t>WARFARIN ORION 5 MG</t>
  </si>
  <si>
    <t>B01AB06</t>
  </si>
  <si>
    <t>INJ SOL 10X1ML</t>
  </si>
  <si>
    <t>B01AC04</t>
  </si>
  <si>
    <t>B01AX05</t>
  </si>
  <si>
    <t>ARIXTRA 2,5 MG/0,5 ML</t>
  </si>
  <si>
    <t>C01BD01</t>
  </si>
  <si>
    <t>POR TBL NOB 30X200MG</t>
  </si>
  <si>
    <t>POR TBL NOB 60X200MG</t>
  </si>
  <si>
    <t>C03EA01</t>
  </si>
  <si>
    <t>C07AB05</t>
  </si>
  <si>
    <t>C07AB07</t>
  </si>
  <si>
    <t>C08CA01</t>
  </si>
  <si>
    <t>C08CA08</t>
  </si>
  <si>
    <t>C09AA02</t>
  </si>
  <si>
    <t>INJ SOL 5X1ML/1.25MG</t>
  </si>
  <si>
    <t>C09AA05</t>
  </si>
  <si>
    <t>TRITACE 10 MG</t>
  </si>
  <si>
    <t>TRITACE 5 MG</t>
  </si>
  <si>
    <t>C09BA05</t>
  </si>
  <si>
    <t>C10AA05</t>
  </si>
  <si>
    <t>POR TBL FLM 30X20MG</t>
  </si>
  <si>
    <t>POR TBL FLM 100X20MG</t>
  </si>
  <si>
    <t>POR TBL FLM 30X40MG</t>
  </si>
  <si>
    <t>POR TBL FLM 100X40MG</t>
  </si>
  <si>
    <t>C10AA07</t>
  </si>
  <si>
    <t>G04CA02</t>
  </si>
  <si>
    <t>H02AB04</t>
  </si>
  <si>
    <t>SOLU-MEDROL 40 MG/ML</t>
  </si>
  <si>
    <t>INJ PSO LQF 40MG+1ML</t>
  </si>
  <si>
    <t>J01CR01</t>
  </si>
  <si>
    <t>J01CR02</t>
  </si>
  <si>
    <t>AMOKSIKLAV 1 G</t>
  </si>
  <si>
    <t>POR TBL FLM 14X1GM</t>
  </si>
  <si>
    <t>AMOKSIKLAV 1,2 G</t>
  </si>
  <si>
    <t>INJ PLV SOL 5X1.2GM</t>
  </si>
  <si>
    <t>J01DB04</t>
  </si>
  <si>
    <t>INJ PLV SOL 10X1GM</t>
  </si>
  <si>
    <t>J01DC02</t>
  </si>
  <si>
    <t>POR TBL FLM 10X500MG</t>
  </si>
  <si>
    <t>J01DH51</t>
  </si>
  <si>
    <t>J01FF01</t>
  </si>
  <si>
    <t>DALACIN C</t>
  </si>
  <si>
    <t>INJ SOL 1X4ML/600MG</t>
  </si>
  <si>
    <t>J01MA02</t>
  </si>
  <si>
    <t>CIPHIN PRO INFUSIONE 200 MG/100 ML</t>
  </si>
  <si>
    <t>INF SOL 1X100ML/200MG</t>
  </si>
  <si>
    <t>J02AC01</t>
  </si>
  <si>
    <t>MYCOMAX INF</t>
  </si>
  <si>
    <t>INF SOL 100ML/200MG</t>
  </si>
  <si>
    <t>N01AX10</t>
  </si>
  <si>
    <t>N05BA12</t>
  </si>
  <si>
    <t>XANAX 0,25 MG</t>
  </si>
  <si>
    <t>POR TBL NOB 30X0.25MG</t>
  </si>
  <si>
    <t>N05CD08</t>
  </si>
  <si>
    <t>POR TBL FLM 10X15MG</t>
  </si>
  <si>
    <t>N06AB04</t>
  </si>
  <si>
    <t>POR TBL FLM 30X10 MG</t>
  </si>
  <si>
    <t>N06AB06</t>
  </si>
  <si>
    <t>ZOLOFT 50 MG</t>
  </si>
  <si>
    <t>POR TBL FLM 28X50MG</t>
  </si>
  <si>
    <t>R03AC02</t>
  </si>
  <si>
    <t>INH SUS PSS 200X100RG</t>
  </si>
  <si>
    <t>V06XX</t>
  </si>
  <si>
    <t>A04AA01</t>
  </si>
  <si>
    <t>A16AA02</t>
  </si>
  <si>
    <t>TRANSMETIL 500 MG INJEKCE</t>
  </si>
  <si>
    <t>INJ PSO LQF 5X500MG</t>
  </si>
  <si>
    <t>C07AG02</t>
  </si>
  <si>
    <t>C10BX03</t>
  </si>
  <si>
    <t>SOLU-MEDROL 62,5 MG/ML</t>
  </si>
  <si>
    <t>INJ PSO LQF 250MG+4ML</t>
  </si>
  <si>
    <t>INJ PSO LQF 125MG+2ML</t>
  </si>
  <si>
    <t>INJ PSO LQF 500MG+8ML</t>
  </si>
  <si>
    <t>INJ PSO LQF 1GM+16ML</t>
  </si>
  <si>
    <t>H03AA01</t>
  </si>
  <si>
    <t>POR TBL NOB 100X75MCG I</t>
  </si>
  <si>
    <t>ZINACEF 1,5 G</t>
  </si>
  <si>
    <t>J01FA09</t>
  </si>
  <si>
    <t>INF PLV SOL 1X500MG</t>
  </si>
  <si>
    <t>J01FA10</t>
  </si>
  <si>
    <t>M03AC04</t>
  </si>
  <si>
    <t>INJ SOL 5X5ML/50MG</t>
  </si>
  <si>
    <t>N01AH03</t>
  </si>
  <si>
    <t>SUFENTA FORTE</t>
  </si>
  <si>
    <t>INJ SOL 5X1ML/50RG</t>
  </si>
  <si>
    <t>NUTRIDRINK MULTI FIBRE S PŘÍCHUTÍ JAHODOVOU</t>
  </si>
  <si>
    <t>NUTRIDRINK YOGHURT S PŘÍCHUTÍ VANILKA A CITRÓN</t>
  </si>
  <si>
    <t>NUTRISON ADVANCED DIASON LOW ENERGY</t>
  </si>
  <si>
    <t>N01AB08</t>
  </si>
  <si>
    <t>Přehled plnění pozitivního listu - spotřeba léčivých přípravků - orientační přehled</t>
  </si>
  <si>
    <t>HVLP</t>
  </si>
  <si>
    <t>PZT</t>
  </si>
  <si>
    <t>89301501</t>
  </si>
  <si>
    <t>Standardní lůžková péče Celkem</t>
  </si>
  <si>
    <t>89301502</t>
  </si>
  <si>
    <t>Všeobecná ambulance Celkem</t>
  </si>
  <si>
    <t>Kardiochirurgická klinika Celkem</t>
  </si>
  <si>
    <t>Gwozdziewicz Marek</t>
  </si>
  <si>
    <t>Hanák Václav</t>
  </si>
  <si>
    <t>Kaláb Martin</t>
  </si>
  <si>
    <t>Klváček Aleš</t>
  </si>
  <si>
    <t>Lonský Vladimír</t>
  </si>
  <si>
    <t>Marcián Pavel</t>
  </si>
  <si>
    <t>Pozdíšek Zbyněk</t>
  </si>
  <si>
    <t>Steriovský Andrea</t>
  </si>
  <si>
    <t>Šantavý Petr</t>
  </si>
  <si>
    <t>Šimek Martin</t>
  </si>
  <si>
    <t>Troubil Martin</t>
  </si>
  <si>
    <t>Hájek Roman</t>
  </si>
  <si>
    <t>Amlodipin</t>
  </si>
  <si>
    <t>125058</t>
  </si>
  <si>
    <t>POR TBL NOB 28X5MG</t>
  </si>
  <si>
    <t>Atorvastatin</t>
  </si>
  <si>
    <t>Bisoprolol</t>
  </si>
  <si>
    <t>Citalopram</t>
  </si>
  <si>
    <t>17424</t>
  </si>
  <si>
    <t>POR TBL FLM 20X10 MG</t>
  </si>
  <si>
    <t>Erdostein</t>
  </si>
  <si>
    <t>95560</t>
  </si>
  <si>
    <t>ERDOMED</t>
  </si>
  <si>
    <t>POR CPS DUR 30X300MG</t>
  </si>
  <si>
    <t>Glimepirid</t>
  </si>
  <si>
    <t>163093</t>
  </si>
  <si>
    <t>AMARYL 4 MG</t>
  </si>
  <si>
    <t>POR TBL NOB 30X4MG</t>
  </si>
  <si>
    <t>Indapamid</t>
  </si>
  <si>
    <t>158287</t>
  </si>
  <si>
    <t>INDAP 2,5 MG</t>
  </si>
  <si>
    <t>POR TBL NOB 30X2.5MG</t>
  </si>
  <si>
    <t>Klopidogrel</t>
  </si>
  <si>
    <t>Kyselina acetylsalicylová</t>
  </si>
  <si>
    <t>Metformin</t>
  </si>
  <si>
    <t>18629</t>
  </si>
  <si>
    <t>POR TBL FLM 30X1000MG</t>
  </si>
  <si>
    <t>Metoprolol</t>
  </si>
  <si>
    <t>45499</t>
  </si>
  <si>
    <t>BETALOC ZOK 100 MG</t>
  </si>
  <si>
    <t>POR TBL PRO 30X100MG</t>
  </si>
  <si>
    <t>49937</t>
  </si>
  <si>
    <t>POR TBL PRO 28X50MG</t>
  </si>
  <si>
    <t>Nadroparin</t>
  </si>
  <si>
    <t>Perindopril</t>
  </si>
  <si>
    <t>101225</t>
  </si>
  <si>
    <t>PRESTARIUM NEO FORTE</t>
  </si>
  <si>
    <t>Perindopril a amlodipin</t>
  </si>
  <si>
    <t>124129</t>
  </si>
  <si>
    <t>PRESTANCE 10 MG/10 MG</t>
  </si>
  <si>
    <t>Ramipril</t>
  </si>
  <si>
    <t>132525</t>
  </si>
  <si>
    <t>Různé jiné kombinace železa</t>
  </si>
  <si>
    <t>97402</t>
  </si>
  <si>
    <t>POR TBL FLM 50X100MG</t>
  </si>
  <si>
    <t>Warfarin</t>
  </si>
  <si>
    <t>Amiodaron</t>
  </si>
  <si>
    <t>122632</t>
  </si>
  <si>
    <t>SORTIS 80 MG</t>
  </si>
  <si>
    <t>POR TBL FLM 30X80MG</t>
  </si>
  <si>
    <t>Furosemid</t>
  </si>
  <si>
    <t>98218</t>
  </si>
  <si>
    <t>FURON 40 MG</t>
  </si>
  <si>
    <t>POR TBL NOB 20X40MG</t>
  </si>
  <si>
    <t>POR TBL NOB 50X40MG</t>
  </si>
  <si>
    <t>Hydrochlorothiazid a kalium šetřící diuretika</t>
  </si>
  <si>
    <t>47477</t>
  </si>
  <si>
    <t>LORADUR MITE</t>
  </si>
  <si>
    <t>151142</t>
  </si>
  <si>
    <t>ANOPYRIN 100 MG</t>
  </si>
  <si>
    <t>POR TBL NOB 30X100MG</t>
  </si>
  <si>
    <t>Levothyroxin, sodná sůl</t>
  </si>
  <si>
    <t>47141</t>
  </si>
  <si>
    <t>LETROX 50</t>
  </si>
  <si>
    <t>POR TBL NOB 100X50RG I</t>
  </si>
  <si>
    <t>EUTHYROX 50 MIKROGRAMŮ</t>
  </si>
  <si>
    <t>POR TBL NOB 100X50RG</t>
  </si>
  <si>
    <t>13778</t>
  </si>
  <si>
    <t>POR TBL PRO 28X100MG</t>
  </si>
  <si>
    <t>49934</t>
  </si>
  <si>
    <t>POR TBL PRO 30X25MG</t>
  </si>
  <si>
    <t>Nitrendipin</t>
  </si>
  <si>
    <t>Organo-heparinoid</t>
  </si>
  <si>
    <t>HEPAROID LÉČIVA</t>
  </si>
  <si>
    <t>DRM CRM 1X30GM</t>
  </si>
  <si>
    <t>Pantoprazol</t>
  </si>
  <si>
    <t>180640</t>
  </si>
  <si>
    <t>POR TBL ENT 30X40MG II</t>
  </si>
  <si>
    <t>Pregabalin</t>
  </si>
  <si>
    <t>28222</t>
  </si>
  <si>
    <t>LYRICA 150 MG</t>
  </si>
  <si>
    <t>POR CPS DUR 14X150MG</t>
  </si>
  <si>
    <t>56977</t>
  </si>
  <si>
    <t>Rosuvastatin</t>
  </si>
  <si>
    <t>148076</t>
  </si>
  <si>
    <t>Spironolakton</t>
  </si>
  <si>
    <t>3550</t>
  </si>
  <si>
    <t>VEROSPIRON</t>
  </si>
  <si>
    <t>POR TBL NOB 20X25MG</t>
  </si>
  <si>
    <t>Sultamicilin</t>
  </si>
  <si>
    <t>POR TBL FLM 12X375MG</t>
  </si>
  <si>
    <t>Urapidil</t>
  </si>
  <si>
    <t>164412</t>
  </si>
  <si>
    <t>125045</t>
  </si>
  <si>
    <t>Amoxicilin a enzymový inhibitor</t>
  </si>
  <si>
    <t>Betaxolol</t>
  </si>
  <si>
    <t>Ciprofloxacin</t>
  </si>
  <si>
    <t>Irbesartan</t>
  </si>
  <si>
    <t>194143</t>
  </si>
  <si>
    <t>IFIRMASTA 150 MG</t>
  </si>
  <si>
    <t>POR TBL FLM 30X150MG</t>
  </si>
  <si>
    <t>Kandesartan</t>
  </si>
  <si>
    <t>175280</t>
  </si>
  <si>
    <t>CANOCORD 16 MG</t>
  </si>
  <si>
    <t>POR TBL NOB 28X16MG</t>
  </si>
  <si>
    <t>155781</t>
  </si>
  <si>
    <t>POR TBL NOB 50</t>
  </si>
  <si>
    <t>71960</t>
  </si>
  <si>
    <t>POR TBL NOB 5X10X100MG</t>
  </si>
  <si>
    <t>200214</t>
  </si>
  <si>
    <t>POR TBL NOB 56X100MG</t>
  </si>
  <si>
    <t>POR TBL PRO 30X50MG</t>
  </si>
  <si>
    <t>120791</t>
  </si>
  <si>
    <t>APO-PERINDO 4 MG</t>
  </si>
  <si>
    <t>Sulfamethoxazol a trimethoprim</t>
  </si>
  <si>
    <t>POR TBL NOB 20X480MG</t>
  </si>
  <si>
    <t>94113</t>
  </si>
  <si>
    <t>WARFARIN ORION 3 MG</t>
  </si>
  <si>
    <t>POR TBL NOB 100X3MG</t>
  </si>
  <si>
    <t>98932</t>
  </si>
  <si>
    <t>SEDACORON</t>
  </si>
  <si>
    <t>98933</t>
  </si>
  <si>
    <t>95724</t>
  </si>
  <si>
    <t>94164</t>
  </si>
  <si>
    <t>CONCOR 5</t>
  </si>
  <si>
    <t>POR CPS DUR 20X300MG</t>
  </si>
  <si>
    <t>Finasterid</t>
  </si>
  <si>
    <t>109984</t>
  </si>
  <si>
    <t>APO-FINAS</t>
  </si>
  <si>
    <t>56807</t>
  </si>
  <si>
    <t>FURORESE 125</t>
  </si>
  <si>
    <t>POR TBL NOB 30X125MG</t>
  </si>
  <si>
    <t>47475</t>
  </si>
  <si>
    <t>LORADUR</t>
  </si>
  <si>
    <t>47476</t>
  </si>
  <si>
    <t>47478</t>
  </si>
  <si>
    <t>Chlorid draselný</t>
  </si>
  <si>
    <t>Karvedilol</t>
  </si>
  <si>
    <t>132657</t>
  </si>
  <si>
    <t>TROMBEX 75 MG POTAHOVANÉ TABLETY</t>
  </si>
  <si>
    <t>49114</t>
  </si>
  <si>
    <t>POR TBL ENT 56X20MG</t>
  </si>
  <si>
    <t>101205</t>
  </si>
  <si>
    <t>124087</t>
  </si>
  <si>
    <t>PRESTANCE 5 MG/5 MG</t>
  </si>
  <si>
    <t>28217</t>
  </si>
  <si>
    <t>LYRICA 75 MG</t>
  </si>
  <si>
    <t>POR CPS DUR 56X75MG</t>
  </si>
  <si>
    <t>148072</t>
  </si>
  <si>
    <t>ROSUCARD 20 MG POTAHOVANÉ TABLETY</t>
  </si>
  <si>
    <t>30434</t>
  </si>
  <si>
    <t>POR TBL NOB 100X25MG</t>
  </si>
  <si>
    <t>Tamsulosin</t>
  </si>
  <si>
    <t>22727</t>
  </si>
  <si>
    <t>TAMSULOSIN HCL-TEVA 0,4 MG</t>
  </si>
  <si>
    <t>POR CPS RDR 28X0.4MG</t>
  </si>
  <si>
    <t>Valsartan a diuretika</t>
  </si>
  <si>
    <t>134271</t>
  </si>
  <si>
    <t>VALSACOMBI 80 MG/12,5 MG</t>
  </si>
  <si>
    <t>Escitalopram</t>
  </si>
  <si>
    <t>170314</t>
  </si>
  <si>
    <t>ESCIRDEC NEO 10 MG</t>
  </si>
  <si>
    <t>POR TBL FLM 28X10MG</t>
  </si>
  <si>
    <t>46981</t>
  </si>
  <si>
    <t>BETALOC SR 200 MG</t>
  </si>
  <si>
    <t>49122</t>
  </si>
  <si>
    <t>101227</t>
  </si>
  <si>
    <t>Prokinetika</t>
  </si>
  <si>
    <t>166759</t>
  </si>
  <si>
    <t>KINITO 50 MG, POTAHOVANÉ TABLETY</t>
  </si>
  <si>
    <t>POR TBL FLM 40X50MG</t>
  </si>
  <si>
    <t>Sodná sůl metamizolu</t>
  </si>
  <si>
    <t>NOVALGIN TABLETY</t>
  </si>
  <si>
    <t>POR TBL FLM 20X500MG</t>
  </si>
  <si>
    <t>Hydrochlorothiazid</t>
  </si>
  <si>
    <t>168</t>
  </si>
  <si>
    <t>HYDROCHLOROTHIAZID LÉČIVA</t>
  </si>
  <si>
    <t>21562</t>
  </si>
  <si>
    <t>ASPIRIN PROTECT 100</t>
  </si>
  <si>
    <t>POR TBL ENT 20X100MG</t>
  </si>
  <si>
    <t>Acetylcystein</t>
  </si>
  <si>
    <t>57395</t>
  </si>
  <si>
    <t>POR TBL EFF 10X600MG</t>
  </si>
  <si>
    <t>19594</t>
  </si>
  <si>
    <t>TORVACARD 40</t>
  </si>
  <si>
    <t>Gliklazid</t>
  </si>
  <si>
    <t>112664</t>
  </si>
  <si>
    <t>GLYCLADA 30 MG</t>
  </si>
  <si>
    <t>POR TBL RET 30X30MG</t>
  </si>
  <si>
    <t>POR TBL NOB 2X10X100MG</t>
  </si>
  <si>
    <t>Kyselina listová</t>
  </si>
  <si>
    <t>76064</t>
  </si>
  <si>
    <t>ACIDUM FOLICUM LÉČIVA</t>
  </si>
  <si>
    <t>POR TBL OBD 30X10MG</t>
  </si>
  <si>
    <t>Magnesium-laktát</t>
  </si>
  <si>
    <t>184525</t>
  </si>
  <si>
    <t>MAGNESII LACTICI 0,5 TBL. MEDICAMENTA</t>
  </si>
  <si>
    <t>POR TBL NOB 20X0.5GM</t>
  </si>
  <si>
    <t>Nebivolol</t>
  </si>
  <si>
    <t>53761</t>
  </si>
  <si>
    <t>NEBILET</t>
  </si>
  <si>
    <t>13316</t>
  </si>
  <si>
    <t>LUSOPRESS</t>
  </si>
  <si>
    <t>POR TBL NOB 28X20MG</t>
  </si>
  <si>
    <t>49112</t>
  </si>
  <si>
    <t>POR TBL ENT 14X20MG I</t>
  </si>
  <si>
    <t>Perindopril a diuretika</t>
  </si>
  <si>
    <t>Theofylin</t>
  </si>
  <si>
    <t>44304</t>
  </si>
  <si>
    <t>POR CPS PRO 20X200MG</t>
  </si>
  <si>
    <t>Verapamil</t>
  </si>
  <si>
    <t>71950</t>
  </si>
  <si>
    <t>ISOPTIN SR 240 MG</t>
  </si>
  <si>
    <t>POR TBL PRO 30X240MG</t>
  </si>
  <si>
    <t>47741</t>
  </si>
  <si>
    <t>RIVOCOR 10</t>
  </si>
  <si>
    <t>POR TBL FLM 30X10MG</t>
  </si>
  <si>
    <t>3801</t>
  </si>
  <si>
    <t>CONCOR COR 2,5 MG</t>
  </si>
  <si>
    <t>POR TBL FLM 28X2.5MG</t>
  </si>
  <si>
    <t>21563</t>
  </si>
  <si>
    <t>POR TBL ENT 50X100MG</t>
  </si>
  <si>
    <t>Telmisartan a diuretika</t>
  </si>
  <si>
    <t>MICARDISPLUS 80/12,5 MG</t>
  </si>
  <si>
    <t>Tikagrelor</t>
  </si>
  <si>
    <t>167936</t>
  </si>
  <si>
    <t>BRILIQUE 90 MG</t>
  </si>
  <si>
    <t>POR TBL FLM 60X90MG</t>
  </si>
  <si>
    <t>Alprazolam</t>
  </si>
  <si>
    <t>91788</t>
  </si>
  <si>
    <t>NEUROL 0,25</t>
  </si>
  <si>
    <t>125052</t>
  </si>
  <si>
    <t>Celiprolol</t>
  </si>
  <si>
    <t>163143</t>
  </si>
  <si>
    <t>TENOLOC 200</t>
  </si>
  <si>
    <t>POR TBL FLM 30X200MG</t>
  </si>
  <si>
    <t>Dabigatran-etexilát</t>
  </si>
  <si>
    <t>168373</t>
  </si>
  <si>
    <t>PRADAXA 150 MG</t>
  </si>
  <si>
    <t>POR CPS DUR 60X1X150MG</t>
  </si>
  <si>
    <t>29328</t>
  </si>
  <si>
    <t>PRADAXA 110 MG</t>
  </si>
  <si>
    <t>POR CPS DUR 60X1X110MG</t>
  </si>
  <si>
    <t>Digoxin</t>
  </si>
  <si>
    <t>DIGOXIN 0,125 LÉČIVA</t>
  </si>
  <si>
    <t>POR TBL NOB 30X0.125MG</t>
  </si>
  <si>
    <t>Fenofibrát</t>
  </si>
  <si>
    <t>11014</t>
  </si>
  <si>
    <t>LIPANTHYL 267 M</t>
  </si>
  <si>
    <t>POR CPS DUR 90X267MG</t>
  </si>
  <si>
    <t>56804</t>
  </si>
  <si>
    <t>FURORESE 40</t>
  </si>
  <si>
    <t>Hořčík (různé sole v kombinaci)</t>
  </si>
  <si>
    <t>66555</t>
  </si>
  <si>
    <t>MAGNOSOLV</t>
  </si>
  <si>
    <t>POR GRA SOL 30</t>
  </si>
  <si>
    <t>94804</t>
  </si>
  <si>
    <t>MODURETIC</t>
  </si>
  <si>
    <t>Isosorbid-mononitrát</t>
  </si>
  <si>
    <t>59467</t>
  </si>
  <si>
    <t>MONO MACK DEPOT</t>
  </si>
  <si>
    <t>Klarithromycin</t>
  </si>
  <si>
    <t>53853</t>
  </si>
  <si>
    <t>KLACID 500</t>
  </si>
  <si>
    <t>POR TBL FLM 14X500MG</t>
  </si>
  <si>
    <t>Klenbuterol</t>
  </si>
  <si>
    <t>13359</t>
  </si>
  <si>
    <t>SPIROPENT</t>
  </si>
  <si>
    <t>POR TBL NOB 20X0.02MG</t>
  </si>
  <si>
    <t>Losartan</t>
  </si>
  <si>
    <t>114070</t>
  </si>
  <si>
    <t>LOZAP 100 ZENTIVA</t>
  </si>
  <si>
    <t>POR TBL FLM 90X100MG</t>
  </si>
  <si>
    <t>32225</t>
  </si>
  <si>
    <t>POR TBL PRO 28X25MG</t>
  </si>
  <si>
    <t>Pentoxifylin</t>
  </si>
  <si>
    <t>53480</t>
  </si>
  <si>
    <t>TRENTAL 400</t>
  </si>
  <si>
    <t>POR TBL RET 100X400MG</t>
  </si>
  <si>
    <t>101233</t>
  </si>
  <si>
    <t>POR TBL FLM 90X10 MG</t>
  </si>
  <si>
    <t>85159</t>
  </si>
  <si>
    <t>PRENESSA 4 MG</t>
  </si>
  <si>
    <t>POR TBL NOB 90X4MG</t>
  </si>
  <si>
    <t>Pikosíran sodný, kombinace</t>
  </si>
  <si>
    <t>160806</t>
  </si>
  <si>
    <t>PICOPREP PRÁŠEK PRO PŘÍPRAVU PERORÁLNÍHO ROZTOKU</t>
  </si>
  <si>
    <t>POR PLV SOL 2</t>
  </si>
  <si>
    <t>Propafenon</t>
  </si>
  <si>
    <t>58838</t>
  </si>
  <si>
    <t>PROPANORM 300 MG</t>
  </si>
  <si>
    <t>POR TBL FLM 50X300MG</t>
  </si>
  <si>
    <t>Rilmenidin</t>
  </si>
  <si>
    <t>125641</t>
  </si>
  <si>
    <t>POR TBL NOB 90X1MG</t>
  </si>
  <si>
    <t>148074</t>
  </si>
  <si>
    <t>POR TBL FLM 90X20MG</t>
  </si>
  <si>
    <t>119653</t>
  </si>
  <si>
    <t>POR TBL FLM 60X100MG</t>
  </si>
  <si>
    <t>Simvastatin</t>
  </si>
  <si>
    <t>125077</t>
  </si>
  <si>
    <t>APO-SIMVA 10</t>
  </si>
  <si>
    <t>POR TBL FLM 100X10MG</t>
  </si>
  <si>
    <t>Telmisartan</t>
  </si>
  <si>
    <t>158198</t>
  </si>
  <si>
    <t>TELMISARTAN SANDOZ 80 MG</t>
  </si>
  <si>
    <t>POR TBL NOB 100X80MG</t>
  </si>
  <si>
    <t>29679</t>
  </si>
  <si>
    <t>POR TBL NOB 90</t>
  </si>
  <si>
    <t>132631</t>
  </si>
  <si>
    <t>POR CPS PRO 50X200MG</t>
  </si>
  <si>
    <t>Trimetazidin</t>
  </si>
  <si>
    <t>Vildagliptin</t>
  </si>
  <si>
    <t>29199</t>
  </si>
  <si>
    <t>GALVUS 50 MG</t>
  </si>
  <si>
    <t>POR TBL NOB 56X50MG</t>
  </si>
  <si>
    <t>Zolpidem</t>
  </si>
  <si>
    <t>163145</t>
  </si>
  <si>
    <t>HYPNOGEN</t>
  </si>
  <si>
    <t>Kompresivní punčochy a návleky</t>
  </si>
  <si>
    <t>45364</t>
  </si>
  <si>
    <t>PUNČOCHY KOMPRESNÍ STEHENNÍ              II.K.T.</t>
  </si>
  <si>
    <t>MEMORY MEDICAL STOCKINGS  A-G</t>
  </si>
  <si>
    <t>15658</t>
  </si>
  <si>
    <t>CIPLOX 500</t>
  </si>
  <si>
    <t>Cefuroxim</t>
  </si>
  <si>
    <t>Diosmin, kombinace</t>
  </si>
  <si>
    <t>132547</t>
  </si>
  <si>
    <t>75490</t>
  </si>
  <si>
    <t>KLACID 250</t>
  </si>
  <si>
    <t>POR TBL FLM 14X250MG</t>
  </si>
  <si>
    <t>Midazolam</t>
  </si>
  <si>
    <t>15013</t>
  </si>
  <si>
    <t>DORMICUM 7,5 MG</t>
  </si>
  <si>
    <t>POR TBL FLM 10X7.5MG</t>
  </si>
  <si>
    <t>32859</t>
  </si>
  <si>
    <t>NAC AL 600 ŠUMIVÉ TABLETY</t>
  </si>
  <si>
    <t>POR TBL EFF 50X600MG</t>
  </si>
  <si>
    <t>Alopurinol</t>
  </si>
  <si>
    <t>107869</t>
  </si>
  <si>
    <t>APO-ALLOPURINOL</t>
  </si>
  <si>
    <t>POR TBL NOB 100X100MG</t>
  </si>
  <si>
    <t>90959</t>
  </si>
  <si>
    <t>XANAX 0,5 MG</t>
  </si>
  <si>
    <t>POR TBL NOB 30X0.5MG</t>
  </si>
  <si>
    <t>96977</t>
  </si>
  <si>
    <t>XANAX 1 MG</t>
  </si>
  <si>
    <t>POR TBL NOB 30X1MG</t>
  </si>
  <si>
    <t>95583</t>
  </si>
  <si>
    <t>ZOREM 10 MG</t>
  </si>
  <si>
    <t>Amoxicilin</t>
  </si>
  <si>
    <t>POR TBL SUS 20X500MG</t>
  </si>
  <si>
    <t>Atorvastatin a amlodipin</t>
  </si>
  <si>
    <t>101172</t>
  </si>
  <si>
    <t>CADUET 5 MG/10 MG</t>
  </si>
  <si>
    <t>Azithromycin</t>
  </si>
  <si>
    <t>176913</t>
  </si>
  <si>
    <t>Bromazepam</t>
  </si>
  <si>
    <t>LEXAURIN 3</t>
  </si>
  <si>
    <t>Cetirizin</t>
  </si>
  <si>
    <t>55178</t>
  </si>
  <si>
    <t>ZYRTEC</t>
  </si>
  <si>
    <t>POR GTT SOL 1X20ML</t>
  </si>
  <si>
    <t>132534</t>
  </si>
  <si>
    <t>CITALOPRAM-TEVA 20 MG</t>
  </si>
  <si>
    <t>Draslík</t>
  </si>
  <si>
    <t>125184</t>
  </si>
  <si>
    <t>CIPRALEX 10 MG</t>
  </si>
  <si>
    <t>POR TBL FLM 98X10MG I</t>
  </si>
  <si>
    <t>20132</t>
  </si>
  <si>
    <t>POR TBL FLM 28X10MG I</t>
  </si>
  <si>
    <t>Ezetimib</t>
  </si>
  <si>
    <t>8673</t>
  </si>
  <si>
    <t>EZETROL 10 MG TABLETY</t>
  </si>
  <si>
    <t>POR TBL NOB 30X10MG A</t>
  </si>
  <si>
    <t>Fusidová kyselina</t>
  </si>
  <si>
    <t>88740</t>
  </si>
  <si>
    <t>FUCITHALMIC</t>
  </si>
  <si>
    <t>OPH GTT SUS 1X5GM/50MG</t>
  </si>
  <si>
    <t>Chinapril a diuretika</t>
  </si>
  <si>
    <t>64790</t>
  </si>
  <si>
    <t>ACCUZIDE 20</t>
  </si>
  <si>
    <t>POR TBL FLM 100</t>
  </si>
  <si>
    <t>76710</t>
  </si>
  <si>
    <t>ACCUZIDE 10</t>
  </si>
  <si>
    <t>Inzulin aspart</t>
  </si>
  <si>
    <t>26789</t>
  </si>
  <si>
    <t>NOVORAPID PENFILL 100 U/ML</t>
  </si>
  <si>
    <t>INJ SOL 5X3ML</t>
  </si>
  <si>
    <t>Inzulin glargin</t>
  </si>
  <si>
    <t>27506</t>
  </si>
  <si>
    <t>LANTUS 100 JEDNOTEK/ML</t>
  </si>
  <si>
    <t>SDR INJ SOL 5X3ML</t>
  </si>
  <si>
    <t>Kodein, kombinace kromě psycholeptik</t>
  </si>
  <si>
    <t>109799</t>
  </si>
  <si>
    <t>ULTRACOD</t>
  </si>
  <si>
    <t>Levonorgestrel a ethinylestradiol</t>
  </si>
  <si>
    <t>78246</t>
  </si>
  <si>
    <t>MINISISTON</t>
  </si>
  <si>
    <t>POR TBL OBD 3X21(=63)</t>
  </si>
  <si>
    <t>13894</t>
  </si>
  <si>
    <t>LOZAP 50 ZENTIVA</t>
  </si>
  <si>
    <t>POR TBL FLM 90X50MG</t>
  </si>
  <si>
    <t>POR TBL PRO 100X25MG</t>
  </si>
  <si>
    <t>46980</t>
  </si>
  <si>
    <t>POR TBL PRO 100X200MG</t>
  </si>
  <si>
    <t>Moxonidin</t>
  </si>
  <si>
    <t>125391</t>
  </si>
  <si>
    <t>CYNT 0,4</t>
  </si>
  <si>
    <t>POR TBL FLM 98X0.4MG</t>
  </si>
  <si>
    <t>Multienzymové přípravky (lipáza, proteáza apod.)</t>
  </si>
  <si>
    <t>14814</t>
  </si>
  <si>
    <t>KREON 10 000</t>
  </si>
  <si>
    <t>POR CPS ETD 50</t>
  </si>
  <si>
    <t>Omeprazol</t>
  </si>
  <si>
    <t>132531</t>
  </si>
  <si>
    <t>HELICID 20</t>
  </si>
  <si>
    <t>POR CPS ETD 90X20MG SKLO</t>
  </si>
  <si>
    <t>180658</t>
  </si>
  <si>
    <t>POR TBL ENT 100X40MG HOSP</t>
  </si>
  <si>
    <t>180653</t>
  </si>
  <si>
    <t>POR TBL ENT 100X40MG HOSP I</t>
  </si>
  <si>
    <t>47085</t>
  </si>
  <si>
    <t>PENTOMER RETARD 400 MG</t>
  </si>
  <si>
    <t>POR TBL PRO 100X400MG</t>
  </si>
  <si>
    <t>124133</t>
  </si>
  <si>
    <t>Pitofenon a analgetika</t>
  </si>
  <si>
    <t>50335</t>
  </si>
  <si>
    <t>ALGIFEN NEO</t>
  </si>
  <si>
    <t>POR GTT SOL 1X25ML</t>
  </si>
  <si>
    <t>166760</t>
  </si>
  <si>
    <t>POR TBL FLM 100X50MG</t>
  </si>
  <si>
    <t>23962</t>
  </si>
  <si>
    <t>AMPRILAN 5</t>
  </si>
  <si>
    <t>56972</t>
  </si>
  <si>
    <t>TRITACE 1,25 MG</t>
  </si>
  <si>
    <t>POR TBL NOB 20X1.25MG</t>
  </si>
  <si>
    <t>56983</t>
  </si>
  <si>
    <t>148070</t>
  </si>
  <si>
    <t>ROSUCARD 10 MG POTAHOVANÉ TABLETY</t>
  </si>
  <si>
    <t>POR TBL FLM 90X10MG</t>
  </si>
  <si>
    <t>Sertralin</t>
  </si>
  <si>
    <t>57339</t>
  </si>
  <si>
    <t>POR TBL NOB 100X25MG(LAHV.)</t>
  </si>
  <si>
    <t>Sumatriptan</t>
  </si>
  <si>
    <t>115449</t>
  </si>
  <si>
    <t>SUMATRIPTAN ACTAVIS 50 MG</t>
  </si>
  <si>
    <t>POR TBL OBD 6X50MG</t>
  </si>
  <si>
    <t>26575</t>
  </si>
  <si>
    <t>POR TBL NOB 98</t>
  </si>
  <si>
    <t>167939</t>
  </si>
  <si>
    <t>POR TBL FLM 56X90MG</t>
  </si>
  <si>
    <t>Tramadol</t>
  </si>
  <si>
    <t>57793</t>
  </si>
  <si>
    <t>TRAMAL KAPKY 100 MG/1 ML</t>
  </si>
  <si>
    <t>POR GTT SOL 1X96ML</t>
  </si>
  <si>
    <t>59673</t>
  </si>
  <si>
    <t>TRALGIT SR 100</t>
  </si>
  <si>
    <t>POR TBL PRO 50X100MG</t>
  </si>
  <si>
    <t>201138</t>
  </si>
  <si>
    <t>TRAMAL RETARD TABLETY 100 MG</t>
  </si>
  <si>
    <t>Vaginální kroužek s progestinem a estrogenem</t>
  </si>
  <si>
    <t>120188</t>
  </si>
  <si>
    <t>NUVARING 0,120 MG/0,015 MG ZA 24 HODIN, VAGINÁLNÍ INZERT</t>
  </si>
  <si>
    <t>VAG INS 3</t>
  </si>
  <si>
    <t>91995</t>
  </si>
  <si>
    <t>POR TBL PRO 100X240MG</t>
  </si>
  <si>
    <t>16286</t>
  </si>
  <si>
    <t>STILNOX</t>
  </si>
  <si>
    <t>132642</t>
  </si>
  <si>
    <t>Orlistat</t>
  </si>
  <si>
    <t>27030</t>
  </si>
  <si>
    <t>XENICAL 120 MG</t>
  </si>
  <si>
    <t>POR CPS DUR 84X120MG</t>
  </si>
  <si>
    <t>45669</t>
  </si>
  <si>
    <t>DEONA COTTON B   A-G</t>
  </si>
  <si>
    <t>Obvazový materiál</t>
  </si>
  <si>
    <t>19580</t>
  </si>
  <si>
    <t>OBINADLO ELASTICKÉ UNIVERSÁLNÍ LENKELAST</t>
  </si>
  <si>
    <t>12X5M V NATAŽENÉM STAVU,STŘEDNÍ TAH,1KS</t>
  </si>
  <si>
    <t>19578</t>
  </si>
  <si>
    <t>8X5M V NATAŽENÉM STAVU,STŘEDNÍ TAH,1KS</t>
  </si>
  <si>
    <t>19577</t>
  </si>
  <si>
    <t>6X5M V NATAŽENÉM STAVU,STŘEDNÍ TAH,1KS</t>
  </si>
  <si>
    <t>Pomůcky ortopedickoprotetické</t>
  </si>
  <si>
    <t>5112</t>
  </si>
  <si>
    <t>PÁS BŘIŠNÍ VERBA 932 521 4</t>
  </si>
  <si>
    <t>OBDVOD TRUPU 105-115CM,VEL.5</t>
  </si>
  <si>
    <t>5113</t>
  </si>
  <si>
    <t>PÁS BŘIŠNÍ VERBA 932 520 5</t>
  </si>
  <si>
    <t>OBDVOD TRUPU 95-105CM,VEL.4</t>
  </si>
  <si>
    <t>192342</t>
  </si>
  <si>
    <t>WARFARIN PMCS 5 MG</t>
  </si>
  <si>
    <t>59754</t>
  </si>
  <si>
    <t>FRONTIN 0,25 MG</t>
  </si>
  <si>
    <t>Nimesulid</t>
  </si>
  <si>
    <t>12895</t>
  </si>
  <si>
    <t>AULIN</t>
  </si>
  <si>
    <t>POR GRA SUS 30SÁČ I</t>
  </si>
  <si>
    <t>32924</t>
  </si>
  <si>
    <t>ZOREM 5 MG</t>
  </si>
  <si>
    <t>49009</t>
  </si>
  <si>
    <t>ATORIS 20</t>
  </si>
  <si>
    <t>132620</t>
  </si>
  <si>
    <t>132639</t>
  </si>
  <si>
    <t>Diklofenak</t>
  </si>
  <si>
    <t>119672</t>
  </si>
  <si>
    <t>DICLOFENAC DUO PHARMASWISS 75 MG</t>
  </si>
  <si>
    <t>POR CPS RDR 30X75MG</t>
  </si>
  <si>
    <t>Drospirenon a ethinylestradiol</t>
  </si>
  <si>
    <t>66196</t>
  </si>
  <si>
    <t>YADINE</t>
  </si>
  <si>
    <t>POR TBL FLM 3X21</t>
  </si>
  <si>
    <t>Eplerenon</t>
  </si>
  <si>
    <t>85267</t>
  </si>
  <si>
    <t>INSPRA 50 MG</t>
  </si>
  <si>
    <t>POR TBL FLM 90X1X50MG</t>
  </si>
  <si>
    <t>Kodein</t>
  </si>
  <si>
    <t>CODEIN SLOVAKOFARMA 30 MG</t>
  </si>
  <si>
    <t>POR TBL NOB 10X30MG</t>
  </si>
  <si>
    <t>Lansoprazol</t>
  </si>
  <si>
    <t>11123</t>
  </si>
  <si>
    <t>METFORMIN-TEVA 850 MG</t>
  </si>
  <si>
    <t>POR TBL FLM 90X850MG</t>
  </si>
  <si>
    <t>122112</t>
  </si>
  <si>
    <t>APO-OME 20</t>
  </si>
  <si>
    <t>POR CPS ETD 28X20MG</t>
  </si>
  <si>
    <t>Oxybutynin</t>
  </si>
  <si>
    <t>59104</t>
  </si>
  <si>
    <t>UROXAL 5 MG</t>
  </si>
  <si>
    <t>POR TBL NOB 60X5MG</t>
  </si>
  <si>
    <t>Rivaroxaban</t>
  </si>
  <si>
    <t>168904</t>
  </si>
  <si>
    <t>XARELTO 20 MG</t>
  </si>
  <si>
    <t>Rutosid, kombinace</t>
  </si>
  <si>
    <t>96303</t>
  </si>
  <si>
    <t>ASCORUTIN</t>
  </si>
  <si>
    <t>POR TBL FLM 50</t>
  </si>
  <si>
    <t>Sildenafil</t>
  </si>
  <si>
    <t>26914</t>
  </si>
  <si>
    <t>VIAGRA 100 MG</t>
  </si>
  <si>
    <t>POR TBL FLM 12X100MG</t>
  </si>
  <si>
    <t>Sodná sůl dokusátu, včetně kombinací</t>
  </si>
  <si>
    <t>RCT SOL 2X67.5ML</t>
  </si>
  <si>
    <t>158191</t>
  </si>
  <si>
    <t>POR TBL NOB 30X80MG</t>
  </si>
  <si>
    <t>26556</t>
  </si>
  <si>
    <t>MICARDIS 80 MG</t>
  </si>
  <si>
    <t>POR TBL NOB 98X80MG</t>
  </si>
  <si>
    <t>Telmisartan a amlodipin</t>
  </si>
  <si>
    <t>167863</t>
  </si>
  <si>
    <t>TWYNSTA 80 MG/10 MG</t>
  </si>
  <si>
    <t>Tramadol, kombinace</t>
  </si>
  <si>
    <t>138847</t>
  </si>
  <si>
    <t>45387</t>
  </si>
  <si>
    <t>PUNČOCHY KOMPRESNÍ LÝTKOVÉ               II.K.T.</t>
  </si>
  <si>
    <t>MAXIS COMFORT  A-D</t>
  </si>
  <si>
    <t>Standardní lůžková péče</t>
  </si>
  <si>
    <t>Všeobecná ambulance</t>
  </si>
  <si>
    <t>Preskripce a záchyt receptů a poukazů - orientační přehled</t>
  </si>
  <si>
    <t>Přehled plnění pozitivního listu (PL) - 
   preskripce léčivých přípravků dle objemu Kč mimo PL</t>
  </si>
  <si>
    <t>C07AB02 - Metoprolol</t>
  </si>
  <si>
    <t>N06AB10 - Escitalopram</t>
  </si>
  <si>
    <t>N02AX02 - Tramadol</t>
  </si>
  <si>
    <t>C08DA01 - Verapamil</t>
  </si>
  <si>
    <t>C02AC05 - Moxonidin</t>
  </si>
  <si>
    <t>C09CA07 - Telmisartan</t>
  </si>
  <si>
    <t>G04CB01 - Finasterid</t>
  </si>
  <si>
    <t>C09AA04 - Perindopril</t>
  </si>
  <si>
    <t>C10AB05 - Fenofibrát</t>
  </si>
  <si>
    <t>B01AE07 - Dabigatran-etexilát</t>
  </si>
  <si>
    <t>M04AA01 - Alopurinol</t>
  </si>
  <si>
    <t>C10AA01 - Simvastatin</t>
  </si>
  <si>
    <t>N02CC01 - Sumatriptan</t>
  </si>
  <si>
    <t>N03AX16 - Pregabalin</t>
  </si>
  <si>
    <t>A03FA - Prokinetika</t>
  </si>
  <si>
    <t>R06AE07 - Cetirizin</t>
  </si>
  <si>
    <t>C09BA06 - Chinapril a diuretika</t>
  </si>
  <si>
    <t>C09CA01 - Losartan</t>
  </si>
  <si>
    <t>C09AA04</t>
  </si>
  <si>
    <t>B01AE07</t>
  </si>
  <si>
    <t>C09CA01</t>
  </si>
  <si>
    <t>C09CA07</t>
  </si>
  <si>
    <t>C10AA01</t>
  </si>
  <si>
    <t>C10AB05</t>
  </si>
  <si>
    <t>N03AX16</t>
  </si>
  <si>
    <t>G04CB01</t>
  </si>
  <si>
    <t>A03FA</t>
  </si>
  <si>
    <t>C02AC05</t>
  </si>
  <si>
    <t>C07AB02</t>
  </si>
  <si>
    <t>C08DA01</t>
  </si>
  <si>
    <t>C09BA06</t>
  </si>
  <si>
    <t>M04AA01</t>
  </si>
  <si>
    <t>N02AX02</t>
  </si>
  <si>
    <t>N02CC01</t>
  </si>
  <si>
    <t>N06AB10</t>
  </si>
  <si>
    <t>R06AE07</t>
  </si>
  <si>
    <t>Přehled plnění PL - Preskripce léčivých přípravků - orientační přehled</t>
  </si>
  <si>
    <t>50115020</t>
  </si>
  <si>
    <t>Diagnostika (132 03 001)</t>
  </si>
  <si>
    <t>50115050</t>
  </si>
  <si>
    <t>502 SZM obvazový (112 02 040)</t>
  </si>
  <si>
    <t>50115060</t>
  </si>
  <si>
    <t>503 SZM ostatní zdravotnický (112 02 100)</t>
  </si>
  <si>
    <t>50115040</t>
  </si>
  <si>
    <t>505 SZM laboratorní sklo a materiál (112 02 140)</t>
  </si>
  <si>
    <t>50115004</t>
  </si>
  <si>
    <t>506 SZM umělé tělní náhrady kovové (112 02 030)</t>
  </si>
  <si>
    <t>50115070</t>
  </si>
  <si>
    <t>513 SZM katetry, stenty, porty (112 02 101)</t>
  </si>
  <si>
    <t>50115011</t>
  </si>
  <si>
    <t>515 SZM umělé tělní náhrady ostatní (112 02 030)</t>
  </si>
  <si>
    <t>50115063</t>
  </si>
  <si>
    <t>528 SZM sety (112 02 105)</t>
  </si>
  <si>
    <t>50115064</t>
  </si>
  <si>
    <t>529 SZM šicí materiál (112 02 106)</t>
  </si>
  <si>
    <t>50115065</t>
  </si>
  <si>
    <t>530 SZM jehly (112 02 107)</t>
  </si>
  <si>
    <t>50115067</t>
  </si>
  <si>
    <t>532 SZM Rukavice (112 02 108)</t>
  </si>
  <si>
    <t>ZA315</t>
  </si>
  <si>
    <t>Kompresa NT   5 x  5 cm / 2 ks sterilní 26501</t>
  </si>
  <si>
    <t>ZA329</t>
  </si>
  <si>
    <t>Obinadlo fixa crep   6 cm x 4 m 1323100102</t>
  </si>
  <si>
    <t>ZA331</t>
  </si>
  <si>
    <t>Obinadlo fixa crep 10 cm x 4 m 1323100104</t>
  </si>
  <si>
    <t>ZA446</t>
  </si>
  <si>
    <t>Vata buničitá přířezy 20 x 30 cm 1230200129</t>
  </si>
  <si>
    <t>ZA464</t>
  </si>
  <si>
    <t>Kompresa NT 10 x 10 cm / 2 ks sterilní 26520</t>
  </si>
  <si>
    <t>ZA466</t>
  </si>
  <si>
    <t>Tyčinka vatová sterilní 14 cm 9679501</t>
  </si>
  <si>
    <t>ZA507</t>
  </si>
  <si>
    <t>Náplast tegaderm 8,5 cm x 10,5 cm bal. á 50 ks s výřezem 1635W</t>
  </si>
  <si>
    <t>ZA540</t>
  </si>
  <si>
    <t>Náplast omnifix E 15 cm x 10 m 9006513</t>
  </si>
  <si>
    <t>ZA544</t>
  </si>
  <si>
    <t>Krytí inadine nepřilnavé 5,0 x 5,0 cm 1/10 SYS01481EE</t>
  </si>
  <si>
    <t>ZA562</t>
  </si>
  <si>
    <t>Náplast cosmopor i. v. 6 x 8 cm 9008054</t>
  </si>
  <si>
    <t>ZA593</t>
  </si>
  <si>
    <t>Tampon stáčený sterilní 20 x 20 cm / 5 ks 28003</t>
  </si>
  <si>
    <t>ZA595</t>
  </si>
  <si>
    <t>Náplast tegaderm 6,0 cm x 7,0 cm bal. á 100 ks s výřezem 1623W</t>
  </si>
  <si>
    <t>ZA643</t>
  </si>
  <si>
    <t>Kompresa vliwasoft 10 x 20 nesterilní á 100 ks 12070</t>
  </si>
  <si>
    <t>ZA656</t>
  </si>
  <si>
    <t>Tampon nesterilní NT 20 x 20 cm 05500</t>
  </si>
  <si>
    <t>ZB084</t>
  </si>
  <si>
    <t>Náplast transpore 2,50 cm x 9,14 m 1527-1</t>
  </si>
  <si>
    <t>ZC100</t>
  </si>
  <si>
    <t>Vata buničitá dělená 2 role / 500 ks 40 x 50 mm 1230200310</t>
  </si>
  <si>
    <t>ZC550</t>
  </si>
  <si>
    <t>Krytí mepilex silikonový Ag 10 x 10 cm bal. á 5 ks 287110-00</t>
  </si>
  <si>
    <t>ZC845</t>
  </si>
  <si>
    <t>Kompresa NT 10 x 20 cm / 5 ks sterilní 26621</t>
  </si>
  <si>
    <t>ZC854</t>
  </si>
  <si>
    <t xml:space="preserve">Kompresa NT 7,5 x 7,5 cm / 2 ks sterilní 26510 </t>
  </si>
  <si>
    <t>ZD104</t>
  </si>
  <si>
    <t>Náplast omniplast 10,0 cm x 10,0 m 9004472 (900535)</t>
  </si>
  <si>
    <t>ZD482</t>
  </si>
  <si>
    <t>Sprej Opsite 240 ml,á 12 ks 66004980</t>
  </si>
  <si>
    <t>ZI558</t>
  </si>
  <si>
    <t>Náplast curapor   7 x   5 cm 22 120 ( náhrada za cosmopor )</t>
  </si>
  <si>
    <t>ZI599</t>
  </si>
  <si>
    <t>Náplast curapor 10 x   8 cm 22121 ( náhrada za cosmopor )</t>
  </si>
  <si>
    <t>ZI600</t>
  </si>
  <si>
    <t>Náplast curapor 10 x 15 cm 22122 ( náhrada za cosmopor )</t>
  </si>
  <si>
    <t>ZI601</t>
  </si>
  <si>
    <t>Náplast curapor 10 x 20 cm 22123 ( náhrada za cosmopor )</t>
  </si>
  <si>
    <t>ZI602</t>
  </si>
  <si>
    <t>Náplast curapor 10 x 34 cm 22126 ( náhrada za cosmopor )</t>
  </si>
  <si>
    <t>ZK352</t>
  </si>
  <si>
    <t>Roztok hyiodine na chronické rány bal. á 50 ml HYIODINE</t>
  </si>
  <si>
    <t>ZK759</t>
  </si>
  <si>
    <t>Náplast water resistant cosmos bal. á 20 ks (10+10) 5351233</t>
  </si>
  <si>
    <t>ZL668</t>
  </si>
  <si>
    <t>Náplast silikon tape 2,5 cm x 5 m bal. á 12 ks 2770-1</t>
  </si>
  <si>
    <t>ZL684</t>
  </si>
  <si>
    <t>Náplast santiband standard poinjekční jednotl. baleno 19 mm x 72 mm 652</t>
  </si>
  <si>
    <t>ZL854</t>
  </si>
  <si>
    <t>Krytí mastný tyl jelonet 10 x 10 cm á 36 ks 66007478</t>
  </si>
  <si>
    <t>ZL996</t>
  </si>
  <si>
    <t>Obinadlo hyrofilní sterilní  8 cm x 5 m  004310182</t>
  </si>
  <si>
    <t>ZA475</t>
  </si>
  <si>
    <t>Krytí mepilex 7,5 x 7,5 cm bal. á 5 ks 295200</t>
  </si>
  <si>
    <t>ZL999</t>
  </si>
  <si>
    <t>Rychloobvaz 8 x 4 cm / 3 ks ( pro obj. 1 kus = 3 náplasti) 001445510</t>
  </si>
  <si>
    <t>ZA738</t>
  </si>
  <si>
    <t>Filtr mini spike zelený 4550242</t>
  </si>
  <si>
    <t>ZA787</t>
  </si>
  <si>
    <t>Stříkačka injekční 10 ml 4606108V</t>
  </si>
  <si>
    <t>ZA788</t>
  </si>
  <si>
    <t>Stříkačka injekční 20 ml 4606205V</t>
  </si>
  <si>
    <t>ZA789</t>
  </si>
  <si>
    <t>Stříkačka injekční   2 ml 4606027V</t>
  </si>
  <si>
    <t>ZA812</t>
  </si>
  <si>
    <t>Uzávěr do katetrů 4435001</t>
  </si>
  <si>
    <t>ZA883</t>
  </si>
  <si>
    <t>Rourka rektální CH18 délka 40 cm 19-18.100</t>
  </si>
  <si>
    <t>ZB006</t>
  </si>
  <si>
    <t>Teploměr digitální thermoval basic 9250391</t>
  </si>
  <si>
    <t>ZB041</t>
  </si>
  <si>
    <t>Systém hrudní drenáže atrium 1cestný 3600-100</t>
  </si>
  <si>
    <t>ZB307</t>
  </si>
  <si>
    <t>Sáček náhradní 3,5 l Ureofix s posuvnou svorkou 4417543</t>
  </si>
  <si>
    <t>ZB338</t>
  </si>
  <si>
    <t>Hadička spojovací tlaková unicath pr. 1,0 mm x 200 cm PB 3120 M</t>
  </si>
  <si>
    <t>ZB488</t>
  </si>
  <si>
    <t>Sprej cavilon 28 ml bal. á 12 ks 3346E</t>
  </si>
  <si>
    <t>ZB588</t>
  </si>
  <si>
    <t>Vzduchovod nosní PVC 8,5/11 579211</t>
  </si>
  <si>
    <t>ZB668</t>
  </si>
  <si>
    <t>Hadička tlaková spojovací unicath pr. 1,0 mm x   50 cm PB 3105 M</t>
  </si>
  <si>
    <t>ZB670</t>
  </si>
  <si>
    <t>Hadička spojovací tlaková unicath pr. 3,0 mm x 200 cm PB 3320 M</t>
  </si>
  <si>
    <t>ZB751</t>
  </si>
  <si>
    <t>Hadice PVC 8/12 á 30 m P00468</t>
  </si>
  <si>
    <t>ZB756</t>
  </si>
  <si>
    <t>Zkumavka 3 ml K3 edta fialová 454086</t>
  </si>
  <si>
    <t>ZB757</t>
  </si>
  <si>
    <t>Zkumavka 6 ml K3 edta fialová 456036</t>
  </si>
  <si>
    <t>ZB768</t>
  </si>
  <si>
    <t>Jehla vakuová 216/38 mm zelená 450076</t>
  </si>
  <si>
    <t>ZB771</t>
  </si>
  <si>
    <t>Držák jehly základní 450201</t>
  </si>
  <si>
    <t>ZB774</t>
  </si>
  <si>
    <t>Zkumavka červená 5 ml gel 456071</t>
  </si>
  <si>
    <t>ZB775</t>
  </si>
  <si>
    <t>Zkumavka koagulace 4 ml modrá 454328</t>
  </si>
  <si>
    <t>ZB796</t>
  </si>
  <si>
    <t>Stříkačka omnifix 30 ml 4617304F</t>
  </si>
  <si>
    <t>ZB890</t>
  </si>
  <si>
    <t>Souprava pro měření CVP délka hadičky 150 cm MP 100</t>
  </si>
  <si>
    <t>ZB893</t>
  </si>
  <si>
    <t>Stříkačka inzulinová omnican 0,5 ml 100j s jehlou 30 G 9151125S</t>
  </si>
  <si>
    <t>ZB949</t>
  </si>
  <si>
    <t>Pinzeta UH sterilní HAR999565</t>
  </si>
  <si>
    <t>ZC366</t>
  </si>
  <si>
    <t>Převodník tlakový PX260 bal. 150 cm bal. á 20 ks T100209A</t>
  </si>
  <si>
    <t>ZC648</t>
  </si>
  <si>
    <t>Elektroda EKG s gelem ovál 51 x 33 mm pro dospělé H-108006</t>
  </si>
  <si>
    <t>ZC733</t>
  </si>
  <si>
    <t>Vzduchovod ústní guedell   80 mm 24105</t>
  </si>
  <si>
    <t>ZC751</t>
  </si>
  <si>
    <t>Čepelka skalpelová 11 BB511</t>
  </si>
  <si>
    <t>ZC798</t>
  </si>
  <si>
    <t>Fonendoskop oboustranný KVS-30L</t>
  </si>
  <si>
    <t>ZD671</t>
  </si>
  <si>
    <t>Převodník tlakový PX2X2 dvojitý bal. á 8 ks T005074A</t>
  </si>
  <si>
    <t>ZE159</t>
  </si>
  <si>
    <t>Nádoba na kontaminovaný odpad 2 l 15-0003</t>
  </si>
  <si>
    <t>ZF159</t>
  </si>
  <si>
    <t>Nádoba na kontaminovaný odpad 1 l 15-0002</t>
  </si>
  <si>
    <t>ZG515</t>
  </si>
  <si>
    <t>Zkumavka močová vacuette 10,5 ml bal. á 50 ks 331980455007</t>
  </si>
  <si>
    <t>ZH491</t>
  </si>
  <si>
    <t>Stříkačka 50 - 60 ml LL MRG00711</t>
  </si>
  <si>
    <t>ZH816</t>
  </si>
  <si>
    <t>Katetr močový foley CH14 180605-000140</t>
  </si>
  <si>
    <t>ZH845</t>
  </si>
  <si>
    <t>Tyčinka vatová medcomfort + glyc. citónová příchuť bal. á 75 ks 09157-100</t>
  </si>
  <si>
    <t>ZK798</t>
  </si>
  <si>
    <t xml:space="preserve">Zátka combi modrá 4495152 </t>
  </si>
  <si>
    <t>ZA204</t>
  </si>
  <si>
    <t>Drát zaváděcí á 25 ks AW-04432</t>
  </si>
  <si>
    <t>ZB596</t>
  </si>
  <si>
    <t>Mikronebulizér MicroMist 22F 41892</t>
  </si>
  <si>
    <t>ZC748</t>
  </si>
  <si>
    <t>Brýle kyslíkové 210 cm, á 50 ks, 1104</t>
  </si>
  <si>
    <t>ZE253</t>
  </si>
  <si>
    <t>Drainobag 40 malý měch-samost. 5524059</t>
  </si>
  <si>
    <t>ZH093</t>
  </si>
  <si>
    <t>Trokar hrudní F12 bal. á 10 ks 8888-561027</t>
  </si>
  <si>
    <t>ZL717</t>
  </si>
  <si>
    <t>Kanyla introcan safety 3 modrá 22G bal. á 50 ks 4251128-01</t>
  </si>
  <si>
    <t>ZL688</t>
  </si>
  <si>
    <t>Proužky Accu-Check Inform IIStrip 50 EU1 á 50 ks 05942861</t>
  </si>
  <si>
    <t>ZL689</t>
  </si>
  <si>
    <t>Roztok Accu-Check Performa Int´l Controls 1+2 level 04861736</t>
  </si>
  <si>
    <t>ZK890</t>
  </si>
  <si>
    <t>Nůžky lister 18 cm B397113920067</t>
  </si>
  <si>
    <t>ZH092</t>
  </si>
  <si>
    <t>Trokar hrudní F10 bal. á 10 ks 8888-561019</t>
  </si>
  <si>
    <t>ZB743</t>
  </si>
  <si>
    <t>Manžeta TK k tonometru dospělá dvouhadičková na suchý zip P00171</t>
  </si>
  <si>
    <t>ZC734</t>
  </si>
  <si>
    <t>Vzduchovod ústní guedell   90 mm 24106</t>
  </si>
  <si>
    <t>ZA715</t>
  </si>
  <si>
    <t>Set infuzní intrafix 4062957</t>
  </si>
  <si>
    <t>ZA804</t>
  </si>
  <si>
    <t>Sáček močový ureofix s hod.diurézou 500 ml klasik s výpustí a antiref. ventilem hadička 120 cm 4417930</t>
  </si>
  <si>
    <t>ZB209</t>
  </si>
  <si>
    <t>Set transfúzní BLLP pro přetlakovou transfuzi bez vzdušného filtru hemomed 05123</t>
  </si>
  <si>
    <t>ZA834</t>
  </si>
  <si>
    <t>Jehla injekční 0,7 x   40 mm černá 4660021</t>
  </si>
  <si>
    <t>ZA835</t>
  </si>
  <si>
    <t>Jehla injekční 0,6 x   25 mm modrá 4657667</t>
  </si>
  <si>
    <t>ZB556</t>
  </si>
  <si>
    <t>Jehla injekční 1,2 x   40 mm růžová 4665120</t>
  </si>
  <si>
    <t>ZK476</t>
  </si>
  <si>
    <t>Rukavice operační latexové s pudrem ansell medigrip plus vel. 7,5 302925</t>
  </si>
  <si>
    <t>ZL075</t>
  </si>
  <si>
    <t>Rukavice operační gammex bez pudru PF EnLite vel. 8,5 353387</t>
  </si>
  <si>
    <t>ZL949</t>
  </si>
  <si>
    <t>Rukavice nitril promedica bez p. L bílé 6N á 100 ks 9399W4</t>
  </si>
  <si>
    <t>ZL948</t>
  </si>
  <si>
    <t>Rukavice nitril promedica bez p. M bílé 6N á 100 ks 9399W3</t>
  </si>
  <si>
    <t>ZM051</t>
  </si>
  <si>
    <t>Rukavice nitril promedica bez p. S bílé 6N á 100 ks 9399W2</t>
  </si>
  <si>
    <t>DG382</t>
  </si>
  <si>
    <t>Bactec Plus Aerobic</t>
  </si>
  <si>
    <t>DG385</t>
  </si>
  <si>
    <t>Bactec Plus Anaerobic</t>
  </si>
  <si>
    <t>DG388</t>
  </si>
  <si>
    <t>Játrový bujon (10ml)</t>
  </si>
  <si>
    <t>ZA064</t>
  </si>
  <si>
    <t>Krytí sorbalgon 5 x  5 cm  bal. á 10  ks 999598</t>
  </si>
  <si>
    <t>ZB424</t>
  </si>
  <si>
    <t>Elektroda EKG H34SG 31.1946.21</t>
  </si>
  <si>
    <t>ZB759</t>
  </si>
  <si>
    <t>Zkumavka červená 8 ml gel 455071</t>
  </si>
  <si>
    <t>ZB762</t>
  </si>
  <si>
    <t>Zkumavka červená 6 ml 456092</t>
  </si>
  <si>
    <t>ZF160</t>
  </si>
  <si>
    <t>Kanyla vasofix 14G oranžová safety 4269225S-01</t>
  </si>
  <si>
    <t>ZA317</t>
  </si>
  <si>
    <t>Krytí s mastí atrauman 5 x  5 cm bal. á 10 ks 499510</t>
  </si>
  <si>
    <t>ZA318</t>
  </si>
  <si>
    <t>Náplast transpore 1,25 cm x 9,14 m 1527-0</t>
  </si>
  <si>
    <t>ZA418</t>
  </si>
  <si>
    <t>Náplast metaline pod TS 8 x 9 cm 23094</t>
  </si>
  <si>
    <t>ZA476</t>
  </si>
  <si>
    <t>Krytí mepilex border lite 10 x 10 cm bal. á 5 ks 281300-00</t>
  </si>
  <si>
    <t>ZA518</t>
  </si>
  <si>
    <t>Kompresa NT 7,5 x 7,5 cm nesterilní 06102</t>
  </si>
  <si>
    <t>ZA539</t>
  </si>
  <si>
    <t>Kompresa NT 10 x 10 cm nesterilní 06103</t>
  </si>
  <si>
    <t>ZA542</t>
  </si>
  <si>
    <t>Náplast wet pruf voduvzd. 1,25 cm x 9,14 m bal. á 24 ks K00-3063C</t>
  </si>
  <si>
    <t>ZA589</t>
  </si>
  <si>
    <t>Tampon sterilní stáčený 30 x 30 cm / 5 ks karton á 1500 ks 28007</t>
  </si>
  <si>
    <t>ZA617</t>
  </si>
  <si>
    <t>Tampon TC-OC k ošetření dutiny ústní á 250 ks 12240</t>
  </si>
  <si>
    <t>ZC885</t>
  </si>
  <si>
    <t>Náplast omnifix E 10 cm x 10 m 900650</t>
  </si>
  <si>
    <t>ZH011</t>
  </si>
  <si>
    <t>Náplast micropore 1,25 cm x 9,14 m bal. á 24 ks 1530-0</t>
  </si>
  <si>
    <t>ZH012</t>
  </si>
  <si>
    <t>Náplast micropore 2,50 cm x 5,00 m 840W</t>
  </si>
  <si>
    <t>ZF042</t>
  </si>
  <si>
    <t>Krytí mastný tyl jelonet 10 x 10 cm á 10 ks 7404</t>
  </si>
  <si>
    <t>ZA610</t>
  </si>
  <si>
    <t>Tampon sterilní stáčený 20 x 20 cm / 10 ks karton á 4800 ks 28004</t>
  </si>
  <si>
    <t>ZA119</t>
  </si>
  <si>
    <t>Trokar hrudní CH18 636.18</t>
  </si>
  <si>
    <t>ZA170</t>
  </si>
  <si>
    <t>Pásek k TS kanyle pěnový 520000</t>
  </si>
  <si>
    <t>ZA689</t>
  </si>
  <si>
    <t>Hadička spojovací tlaková unicath pr. 1,0 mm x 150 cm PB 3115 M</t>
  </si>
  <si>
    <t>ZA727</t>
  </si>
  <si>
    <t>Kontejner 30 ml sterilní 331690251750</t>
  </si>
  <si>
    <t>ZA746</t>
  </si>
  <si>
    <t>Stříkačka omnifix 1 ml 9161406V</t>
  </si>
  <si>
    <t>ZA790</t>
  </si>
  <si>
    <t>Stříkačka injekční   5 ml 4606051V</t>
  </si>
  <si>
    <t>ZA964</t>
  </si>
  <si>
    <t>Stříkačka janett 60 ml vyplachovací MRG564</t>
  </si>
  <si>
    <t>ZA967</t>
  </si>
  <si>
    <t>Flocare set 800 pump pro enter.vaky-569886  A4323102</t>
  </si>
  <si>
    <t>ZB102</t>
  </si>
  <si>
    <t>Láhev k odsávačce flovac 1l hadice 1,8 m á 45 ks 000-036-020</t>
  </si>
  <si>
    <t>ZB103</t>
  </si>
  <si>
    <t>Láhev k odsávačce flovac 2l hadice 1,8 m 000-036-021</t>
  </si>
  <si>
    <t>ZB249</t>
  </si>
  <si>
    <t>Sáček močový s křížovou výpustí sterilní 2000 ml ZAR-TNU201601</t>
  </si>
  <si>
    <t>ZB295</t>
  </si>
  <si>
    <t>Filtr iso-gard hepa čistý bal. á 20 ks 28012</t>
  </si>
  <si>
    <t>ZB301</t>
  </si>
  <si>
    <t>Rampa 5 kohoutů bal. á 20 ks RP 5000 M</t>
  </si>
  <si>
    <t>ZB302</t>
  </si>
  <si>
    <t>Rampa 3 kohouty RP 3000 M</t>
  </si>
  <si>
    <t>ZB311</t>
  </si>
  <si>
    <t>Kanyla ET 8.5 mm s manž. bal. á 20 ks 100/199/085</t>
  </si>
  <si>
    <t>ZB314</t>
  </si>
  <si>
    <t>Kanyla TS 8,0 s manžetou bal. á 2 ks 100/523/080</t>
  </si>
  <si>
    <t>ZB536</t>
  </si>
  <si>
    <t>Kanyla arteriální á 25 ks BED:682245</t>
  </si>
  <si>
    <t>ZB543</t>
  </si>
  <si>
    <t>Souprava odběrová tracheální G05206</t>
  </si>
  <si>
    <t>ZB769</t>
  </si>
  <si>
    <t>Jehla vakuová 206/38 mm žlutá 450077</t>
  </si>
  <si>
    <t>ZB772</t>
  </si>
  <si>
    <t>Přechodka adaptér luer 450070</t>
  </si>
  <si>
    <t>ZB777</t>
  </si>
  <si>
    <t>Zkumavka červená 4 ml gel 454071</t>
  </si>
  <si>
    <t>ZB780</t>
  </si>
  <si>
    <t>Kontejner 120 ml sterilní 331690250350</t>
  </si>
  <si>
    <t>ZB798</t>
  </si>
  <si>
    <t>Stříkačka omnifix 20 ml 4606736V</t>
  </si>
  <si>
    <t>ZB988</t>
  </si>
  <si>
    <t>System hrudní drenáže Pleur-evac bal. á 6 ks A-6000-08LF</t>
  </si>
  <si>
    <t>ZC166</t>
  </si>
  <si>
    <t>Manžeta přetlaková   500 ml 100 ZIT-500 (100 051-018-803)</t>
  </si>
  <si>
    <t>ZC506</t>
  </si>
  <si>
    <t>Kompresa NT 10 x 10 cm / 5 ks sterilní 1325020275</t>
  </si>
  <si>
    <t>ZC640</t>
  </si>
  <si>
    <t>Senzor flotrac s hadicí 213 cm MHD8R</t>
  </si>
  <si>
    <t>ZC769</t>
  </si>
  <si>
    <t>Hadička spojovací HS 1,8 x 450LL 606301</t>
  </si>
  <si>
    <t>ZC772</t>
  </si>
  <si>
    <t>Maska aerosolová pro dospělé 13101</t>
  </si>
  <si>
    <t>ZC777</t>
  </si>
  <si>
    <t>Filtr sací 271-022-001</t>
  </si>
  <si>
    <t>ZC863</t>
  </si>
  <si>
    <t>Hadička spojovací HS 1,8 x 1800LL 606304</t>
  </si>
  <si>
    <t>ZC906</t>
  </si>
  <si>
    <t>Škrtidlo se sponou KVS25500</t>
  </si>
  <si>
    <t>ZD113</t>
  </si>
  <si>
    <t>Manžeta fixační Ute-Fix á 30 ks NKS:40-06</t>
  </si>
  <si>
    <t>ZD212</t>
  </si>
  <si>
    <t>Brýle kyslíkové pro dospělé 1161000/L</t>
  </si>
  <si>
    <t>ZD650</t>
  </si>
  <si>
    <t>Aquapak - sterilní voda  340 ml s adaptérem bal. á 20 ks 400340</t>
  </si>
  <si>
    <t>ZE018</t>
  </si>
  <si>
    <t xml:space="preserve">Kyveta k hemochr. bal. 45 ks JACT-LR </t>
  </si>
  <si>
    <t>ZE146</t>
  </si>
  <si>
    <t>Micro mist nebulizer bal. á 50 ks 41745</t>
  </si>
  <si>
    <t>ZG001</t>
  </si>
  <si>
    <t>Husí krk expandi-flex s dvojtou otočnou spojkou á 30 ks 22531</t>
  </si>
  <si>
    <t>ZG367</t>
  </si>
  <si>
    <t>Okruh dýchací pro intenzivní péči bal. á 10 ks VME:51003394</t>
  </si>
  <si>
    <t>ZG368</t>
  </si>
  <si>
    <t>Vak jednorázový anesteziologický 2 l VAD:G-118001</t>
  </si>
  <si>
    <t>ZH493</t>
  </si>
  <si>
    <t>Katetr močový foley CH16 180605-000160</t>
  </si>
  <si>
    <t>ZJ310</t>
  </si>
  <si>
    <t>Katetr močový foley CH12 180605-000120</t>
  </si>
  <si>
    <t>ZK884</t>
  </si>
  <si>
    <t>Kohout trojcestný discofix modrý 4095111</t>
  </si>
  <si>
    <t>ZK976</t>
  </si>
  <si>
    <t>Cévka odsávací CH12 s přerušovačem sání P01171a</t>
  </si>
  <si>
    <t>ZK977</t>
  </si>
  <si>
    <t>Cévka odsávací CH14 s přerušovačem sání P01173a</t>
  </si>
  <si>
    <t>ZK978</t>
  </si>
  <si>
    <t>Cévka odsávací CH16 s přerušovačem sání P01175a</t>
  </si>
  <si>
    <t>ZL174</t>
  </si>
  <si>
    <t>Systém odsávací uzavřený TS Comfortsoft CH 14 30 cm 72 hod. 02-011-05</t>
  </si>
  <si>
    <t>ZL249</t>
  </si>
  <si>
    <t>Hadice vrapovaná bal. á 50 m 038-01-228</t>
  </si>
  <si>
    <t>ZL333</t>
  </si>
  <si>
    <t>Systém odsávací uzavřený ET Comfortsoft CH 14 55 cm 72 hod. 02-011-11</t>
  </si>
  <si>
    <t>ZB077</t>
  </si>
  <si>
    <t>Láhev redon drenofast 600 ml-samostatná 28 650</t>
  </si>
  <si>
    <t>ZB263</t>
  </si>
  <si>
    <t>Kanyla TS 9,0 s manžetou bal. á 2 ks 100/523/090</t>
  </si>
  <si>
    <t>ZB298</t>
  </si>
  <si>
    <t>Trokar hrudní F16 bal. á 10 ks 8888561035</t>
  </si>
  <si>
    <t>ZB303</t>
  </si>
  <si>
    <t>Spojka asymetrická 4 x 7 mm 120 420</t>
  </si>
  <si>
    <t>ZB531</t>
  </si>
  <si>
    <t>Hadička vysokotlaká combidyn 200 cm 5215035</t>
  </si>
  <si>
    <t>ZB545</t>
  </si>
  <si>
    <t>Spojka asymetrická 7-10 75111</t>
  </si>
  <si>
    <t>ZB632</t>
  </si>
  <si>
    <t>Ventil expirační jednorázový á 10 ks 84 14 776</t>
  </si>
  <si>
    <t>ZB666</t>
  </si>
  <si>
    <t>Spojka Y symetrická 9-9-9 mm 120 490</t>
  </si>
  <si>
    <t>ZB937</t>
  </si>
  <si>
    <t>Nůžky chirurgické rovné hrotnaté P00770</t>
  </si>
  <si>
    <t>ZD021</t>
  </si>
  <si>
    <t>Láhev 0,50 l šroubový uzávěr 111-888-055</t>
  </si>
  <si>
    <t>ZD454</t>
  </si>
  <si>
    <t>Filtr pro dospělé s HME a portem 038-41-355</t>
  </si>
  <si>
    <t>ZF295</t>
  </si>
  <si>
    <t>Okruh anesteziologický 1,6 m s nízkou poddajností 038-01-130</t>
  </si>
  <si>
    <t>ZL435</t>
  </si>
  <si>
    <t>Trokar hrudní CH20 délka 40 cm vnější pr. 6,6 mm bal. á 10 ks 02.000.30.020</t>
  </si>
  <si>
    <t>ZL436</t>
  </si>
  <si>
    <t>Trokar hrudní CH24 délka 40 cm vnější pr. 8,0 mm bal. á 10 ks 02.000.30.024</t>
  </si>
  <si>
    <t>ZC982</t>
  </si>
  <si>
    <t>Kanyla TS 8,5 s manžetou bal. á 10 ks 100/860/085</t>
  </si>
  <si>
    <t>ZL781</t>
  </si>
  <si>
    <t>Konektor bezjehlový K-NECT 7 denní M79400845</t>
  </si>
  <si>
    <t>ZL437</t>
  </si>
  <si>
    <t>Trokar hrudní CH28 délka 40 cm vnější pr. 9,3 mm bal. á 10 ks 02.000.30.028</t>
  </si>
  <si>
    <t>ZL438</t>
  </si>
  <si>
    <t>Trokar hrudní CH32 délka 40 cm vnější pr. 10,6 mm bal. á 10 ks 02.000.30.032</t>
  </si>
  <si>
    <t>ZC039</t>
  </si>
  <si>
    <t>Kádinka 250 ml vysoká sklo 632417012250</t>
  </si>
  <si>
    <t>ZB819</t>
  </si>
  <si>
    <t>Arteriofix bal. á 20 ks 5206332</t>
  </si>
  <si>
    <t>ZC998</t>
  </si>
  <si>
    <t>Katetr centrální žilní-set CS-04400</t>
  </si>
  <si>
    <t>ZF904</t>
  </si>
  <si>
    <t>Katetr bipolární stimul. 5FR AI07155</t>
  </si>
  <si>
    <t>ZE079</t>
  </si>
  <si>
    <t>Set transfúzní non PVC s odvzdušněním a bakteriálním filtrem ZAR-I-TS</t>
  </si>
  <si>
    <t>ZE420</t>
  </si>
  <si>
    <t>Set hadicový pro aquarius hemofiltr HF19 AQUASET19</t>
  </si>
  <si>
    <t>ZA832</t>
  </si>
  <si>
    <t>Jehla injekční 0,9 x   40 mm žlutá 4657519</t>
  </si>
  <si>
    <t>ZA833</t>
  </si>
  <si>
    <t>Jehla injekční 0,8 x   40 mm zelená 4657527</t>
  </si>
  <si>
    <t>ZB436</t>
  </si>
  <si>
    <t>Jehla eco flac mix, bal.250 ks, 16401</t>
  </si>
  <si>
    <t>DG395</t>
  </si>
  <si>
    <t>Diagnostická souprava ABO set monoklonální na 30</t>
  </si>
  <si>
    <t>DC320</t>
  </si>
  <si>
    <t>AUTOCHECK TM5+/LEVEL3/S7755</t>
  </si>
  <si>
    <t>DA001</t>
  </si>
  <si>
    <t>PROUZKY DIAPHAN pro samotestování 50ks</t>
  </si>
  <si>
    <t>DC240</t>
  </si>
  <si>
    <t>KALIBRACNI ROZTOK S1720</t>
  </si>
  <si>
    <t>DC241</t>
  </si>
  <si>
    <t>KALIBRACNI ROZTOK S1730</t>
  </si>
  <si>
    <t>DF171</t>
  </si>
  <si>
    <t>KALIBRACNI ROZTOK1  S1820 (ABL 825)</t>
  </si>
  <si>
    <t>DB942</t>
  </si>
  <si>
    <t>MEMBR.SOUPRAVA PCO2 D788</t>
  </si>
  <si>
    <t>DB599</t>
  </si>
  <si>
    <t>PROMÝVACÍ ROZTOK S4970</t>
  </si>
  <si>
    <t>DF169</t>
  </si>
  <si>
    <t>PROMYVACI ROZTOK S4980 (ABL 825)</t>
  </si>
  <si>
    <t>DC319</t>
  </si>
  <si>
    <t>AUTOCHECK TM5+/LEVEL1/S7735</t>
  </si>
  <si>
    <t>DC402</t>
  </si>
  <si>
    <t>AUTOCHECK TM5+/LEVEL2/S7745</t>
  </si>
  <si>
    <t>DB437</t>
  </si>
  <si>
    <t>KALIBRACNI PLYN 1(10 bar)</t>
  </si>
  <si>
    <t>DC853</t>
  </si>
  <si>
    <t>KALIBRACNI PLYN 2</t>
  </si>
  <si>
    <t>DF445</t>
  </si>
  <si>
    <t>Odpadni nadoba D512 600 ml</t>
  </si>
  <si>
    <t>DF504</t>
  </si>
  <si>
    <t>Zkumavka s heparinasou a 20 ks</t>
  </si>
  <si>
    <t>DC321</t>
  </si>
  <si>
    <t>AUTOCHECK TM5+/LEVEL4/,S7765</t>
  </si>
  <si>
    <t>DG379</t>
  </si>
  <si>
    <t>Doprava 21%</t>
  </si>
  <si>
    <t>ZA337</t>
  </si>
  <si>
    <t>Náplast softpore 1,25 cm x 9,15 m bal. á 24 ks 1320103111</t>
  </si>
  <si>
    <t>ZA423</t>
  </si>
  <si>
    <t>Obinadlo elastické idealtex 12 cm x 5 m 9310633</t>
  </si>
  <si>
    <t>ZA444</t>
  </si>
  <si>
    <t>Tampon 20 x 19 cm nesterilní stáčený 1320300404</t>
  </si>
  <si>
    <t>ZA465</t>
  </si>
  <si>
    <t>Fólie incizní raucodrape sterilní 45 x 50 cm 23445</t>
  </si>
  <si>
    <t>ZA502</t>
  </si>
  <si>
    <t>Tampon stáčený 30 x 60 nesterilní 1320300406</t>
  </si>
  <si>
    <t>ZA504</t>
  </si>
  <si>
    <t>Krytí hypafix transparent ( náhrada za krytí opsite flexifix 10 cm x 10 m ) 7237801</t>
  </si>
  <si>
    <t>ZF080</t>
  </si>
  <si>
    <t>Tampon šitý 12 x 47 cm karton á 300 ks 1230100311</t>
  </si>
  <si>
    <t>KG693</t>
  </si>
  <si>
    <t>oxygenátor medos hilite 7000 rheoparin LGTME6201C001</t>
  </si>
  <si>
    <t>KG694</t>
  </si>
  <si>
    <t>set hadicový medos reoparin coated LGTMEH1C1754</t>
  </si>
  <si>
    <t>KG695</t>
  </si>
  <si>
    <t>set kardioplegie LGTMEH32780</t>
  </si>
  <si>
    <t>KG779</t>
  </si>
  <si>
    <t>set hadicový medos reoparin coated LGTMEH2C1753</t>
  </si>
  <si>
    <t>KG780</t>
  </si>
  <si>
    <t>rezervoár venózní MVC4030 rheoparin LGTME62210100</t>
  </si>
  <si>
    <t>KG855</t>
  </si>
  <si>
    <t>oxygenátor terumo capiox RX-25 CX-RX25RW</t>
  </si>
  <si>
    <t>KG856</t>
  </si>
  <si>
    <t>set hadicový k oxygenátoru terumo P2091</t>
  </si>
  <si>
    <t>KH443</t>
  </si>
  <si>
    <t>Sonda-cryo surgical probe 60CM1</t>
  </si>
  <si>
    <t>KH584</t>
  </si>
  <si>
    <t>stabilizátor Octopus AS TS2500</t>
  </si>
  <si>
    <t>KH585</t>
  </si>
  <si>
    <t>set Octopus AS a Starfish EVO EASE</t>
  </si>
  <si>
    <t>KH587</t>
  </si>
  <si>
    <t>ofuk Blow mister 22150</t>
  </si>
  <si>
    <t>ZA161</t>
  </si>
  <si>
    <t>Zavaděč bal. á 10 ks CI09800</t>
  </si>
  <si>
    <t>ZA259</t>
  </si>
  <si>
    <t>Kanyla do safény vessel VSL009WV</t>
  </si>
  <si>
    <t>ZA759</t>
  </si>
  <si>
    <t>Drén redon CH10 50 cm U2111000</t>
  </si>
  <si>
    <t>ZA791</t>
  </si>
  <si>
    <t>Stříkačka janett 140-160 ml JNP1543(MED114408)</t>
  </si>
  <si>
    <t>ZA932</t>
  </si>
  <si>
    <t>Elektroda neutrální ke koagulaci bal. á 50 ks E7509</t>
  </si>
  <si>
    <t>ZB011</t>
  </si>
  <si>
    <t xml:space="preserve">Kanyla aortální glide EZF21TA </t>
  </si>
  <si>
    <t>ZB012</t>
  </si>
  <si>
    <t>Kanyla aortální glide EZF24TA</t>
  </si>
  <si>
    <t>ZB074</t>
  </si>
  <si>
    <t>Kanyla venózní vakuová TF292902A</t>
  </si>
  <si>
    <t>ZB078</t>
  </si>
  <si>
    <t>Láhev redon drenofast 600 ml-kompletní á 30 ks 28 600</t>
  </si>
  <si>
    <t>ZB164</t>
  </si>
  <si>
    <t xml:space="preserve">Kyveta k hemochr. ACT+  bal. 45 ks JACT+ </t>
  </si>
  <si>
    <t>ZB165</t>
  </si>
  <si>
    <t>Elektroda steelex elec 3/0 á 36 ks C0992070</t>
  </si>
  <si>
    <t>ZB312</t>
  </si>
  <si>
    <t>Zavaděč trach. rourek pro TR vel. 5.0-8.0 mm bal. á 10 ks 100/120/200</t>
  </si>
  <si>
    <t>ZB358</t>
  </si>
  <si>
    <t>Kanyla venózní perfuzní jednostupňová TFM024L</t>
  </si>
  <si>
    <t>ZB418</t>
  </si>
  <si>
    <t>Kanyla endobronchiální levá 35FG 198-35L</t>
  </si>
  <si>
    <t>ZB450</t>
  </si>
  <si>
    <t>Vak na transfuzi bal. á 20 ks TGR0592</t>
  </si>
  <si>
    <t>ZB493</t>
  </si>
  <si>
    <t>Kanyla aortální glide 24Fr EZC24TA</t>
  </si>
  <si>
    <t>ZB504</t>
  </si>
  <si>
    <t>Kanyla venózní perfuzní jednostupňová TFM028L</t>
  </si>
  <si>
    <t>ZB532</t>
  </si>
  <si>
    <t>Senzor level 95133 SC-23-27-41</t>
  </si>
  <si>
    <t>ZB539</t>
  </si>
  <si>
    <t>Kanyla endobronchiální levá 37FG 198-37L</t>
  </si>
  <si>
    <t>ZB540</t>
  </si>
  <si>
    <t>Kanyla endobronchiální levá 39F 198-39L</t>
  </si>
  <si>
    <t>ZB598</t>
  </si>
  <si>
    <t>Spojka přímá symetrická 7 x 7 mm 120 430</t>
  </si>
  <si>
    <t>ZB844</t>
  </si>
  <si>
    <t>Esmarch 6 x 125 KVS 06125</t>
  </si>
  <si>
    <t>ZB852</t>
  </si>
  <si>
    <t>Elektroda defibrilační adhezivní pro dospělé bal. á 10 ks 130 x 100 mm 2059145-010</t>
  </si>
  <si>
    <t>ZB866</t>
  </si>
  <si>
    <t>Drát ocelový Steel 7,4 x 45 cm M624G</t>
  </si>
  <si>
    <t>ZB916</t>
  </si>
  <si>
    <t>Okruh anesteziologický univerzální 1,6 m 2900</t>
  </si>
  <si>
    <t>ZB964</t>
  </si>
  <si>
    <t>Výplň pro chir. svorky 86 mm, pár č.6 DSAFE86</t>
  </si>
  <si>
    <t>ZC586</t>
  </si>
  <si>
    <t>Filtr H-V kompaktní kombinovaný sterilní přímý á 25 ks 19401</t>
  </si>
  <si>
    <t>ZC655</t>
  </si>
  <si>
    <t>Kanyla venózní perfuzní jednostupňová TFM026L</t>
  </si>
  <si>
    <t>ZC744</t>
  </si>
  <si>
    <t>Katetr močový tiemann CH16 s balonkem bal. á 12 ks K02-9816-02</t>
  </si>
  <si>
    <t>ZC752</t>
  </si>
  <si>
    <t>Čepelka skalpelová 15 BB515</t>
  </si>
  <si>
    <t>ZE136</t>
  </si>
  <si>
    <t>Drát ocelový flexibilní 7/45 cm bal. á 48 ks KS1-745-4</t>
  </si>
  <si>
    <t>ZF018</t>
  </si>
  <si>
    <t>Kanyla vasofix 16G šedá safety 4269179S-01</t>
  </si>
  <si>
    <t>ZF090</t>
  </si>
  <si>
    <t>Stapler kožní 783100</t>
  </si>
  <si>
    <t>ZG916</t>
  </si>
  <si>
    <t>Elektroda neutrální bipolární pro dospělé á 100 ks 2510</t>
  </si>
  <si>
    <t>ZI123</t>
  </si>
  <si>
    <t>Tkáňové lepidlo BioGlue 10 ml BG3510-5-G</t>
  </si>
  <si>
    <t>ZI655</t>
  </si>
  <si>
    <t>Difuzér plynový pro mimotělní oběh P8020/00</t>
  </si>
  <si>
    <t>ZK981</t>
  </si>
  <si>
    <t xml:space="preserve">Set kardio kombi 2666711 </t>
  </si>
  <si>
    <t>ZK982</t>
  </si>
  <si>
    <t>Set Revize + chlopeň 2666611</t>
  </si>
  <si>
    <t>ZL513</t>
  </si>
  <si>
    <t>Vak na krev bal. á 50 ks JH10.04246</t>
  </si>
  <si>
    <t>ZA160</t>
  </si>
  <si>
    <t>Katetr MAC s antibak.úpravou 9Fr/10 cm SI-21142</t>
  </si>
  <si>
    <t>ZB324</t>
  </si>
  <si>
    <t>Plegie cílená á 20 ks 30012</t>
  </si>
  <si>
    <t>ZB357</t>
  </si>
  <si>
    <t>Pásek adapter coronary perfusion typ Y 10004</t>
  </si>
  <si>
    <t>ZB853</t>
  </si>
  <si>
    <t>Kanyla venózní perfuzní jednostupňová TFM030L</t>
  </si>
  <si>
    <t>ZB932</t>
  </si>
  <si>
    <t>Systém cpap valve aproximate 85006 X5 bal. á 5 ks 125-20</t>
  </si>
  <si>
    <t>ZB952</t>
  </si>
  <si>
    <t>Plegie cílená á 20 ks 30010</t>
  </si>
  <si>
    <t>ZC641</t>
  </si>
  <si>
    <t>Kanyla endobronchiální levá 39 S125-39</t>
  </si>
  <si>
    <t>ZC940</t>
  </si>
  <si>
    <t>Pumpa centrifugální 050-300-000</t>
  </si>
  <si>
    <t>ZD920</t>
  </si>
  <si>
    <t>Klip horizon S-WIDE 30 x 6 bal. á 180 ks HZ1201</t>
  </si>
  <si>
    <t>ZE548</t>
  </si>
  <si>
    <t>Kanyla arteriální femorální fem-flex 18 Fr FEMII018A</t>
  </si>
  <si>
    <t>ZE555</t>
  </si>
  <si>
    <t>Kanyla venózní femorální VFEM022</t>
  </si>
  <si>
    <t>ZE556</t>
  </si>
  <si>
    <t>Kanyla venózní femorální VFEM020</t>
  </si>
  <si>
    <t>ZE952</t>
  </si>
  <si>
    <t>Kanyla arteriální femorální fem-flex FEMI016A</t>
  </si>
  <si>
    <t>ZL514</t>
  </si>
  <si>
    <t xml:space="preserve">Hadička k měření tlaku bal. á 20 ks JH10.65874 </t>
  </si>
  <si>
    <t>ZL623</t>
  </si>
  <si>
    <t>Klipovač horizon open S-WIDE 20 cm zahnutý HZ137082</t>
  </si>
  <si>
    <t>ZB451</t>
  </si>
  <si>
    <t>Trokar hrudní F32 8888-561076</t>
  </si>
  <si>
    <t>ZA945</t>
  </si>
  <si>
    <t>Plyn kalibrační B k CDI   507 TY 27 S 008</t>
  </si>
  <si>
    <t>ZE550</t>
  </si>
  <si>
    <t>Kanyla arteriální s dilatátorem fem-flex á 5 ks TFA02025</t>
  </si>
  <si>
    <t>ZE715</t>
  </si>
  <si>
    <t>Hadice silikon 1 x 1,8 mm á 25 m MPI:880001</t>
  </si>
  <si>
    <t>ZB296</t>
  </si>
  <si>
    <t>Mikroskalpel Stab Blade/Tip 22,5° Straig 72-2202</t>
  </si>
  <si>
    <t>KI209</t>
  </si>
  <si>
    <t xml:space="preserve">Kleště ablační bipolární Cardioblate - Gemini 4926 </t>
  </si>
  <si>
    <t>ZB009</t>
  </si>
  <si>
    <t>Plyn kalibrační A k CDI   506 TY 79 R 344</t>
  </si>
  <si>
    <t>KG696</t>
  </si>
  <si>
    <t>sada aplikační (2 ks odsávací kanyla MES 9570 + 1 ks kanyla do kořene aorty MER 2015 + 1 ks hadicový organizér) MEH - APSET LGTMEH123317</t>
  </si>
  <si>
    <t>ZB365</t>
  </si>
  <si>
    <t>Kanyla aortální glide EZC21TA</t>
  </si>
  <si>
    <t>ZB309</t>
  </si>
  <si>
    <t>Kanyla ET 7.5 mm s manž. bal. á 20 ks 100/199/075</t>
  </si>
  <si>
    <t>ZI016</t>
  </si>
  <si>
    <t>Tkáňové lepidlo BioGlue 5 ml BG3515-5-G</t>
  </si>
  <si>
    <t>ZL216</t>
  </si>
  <si>
    <t>Senzor fore-sight dual large (dle domluvy p. Pecky na ks) 01-07-2007</t>
  </si>
  <si>
    <t>KH172</t>
  </si>
  <si>
    <t xml:space="preserve">spojka Retroguard 3/8 x 3/8 718828200002 </t>
  </si>
  <si>
    <t>ZG134</t>
  </si>
  <si>
    <t>Katetr močový nelaton CH14 pro měření teploty 179360-000140</t>
  </si>
  <si>
    <t>ZL215</t>
  </si>
  <si>
    <t>Senzor fore-sight dual medium (dle domluvy p. Pecky na ks) 01-07-2005</t>
  </si>
  <si>
    <t>KC706</t>
  </si>
  <si>
    <t>ring annulo.tricuspid 4900T34</t>
  </si>
  <si>
    <t>KC608</t>
  </si>
  <si>
    <t>mhv regent SJM, 25AGFN-756</t>
  </si>
  <si>
    <t>KC613</t>
  </si>
  <si>
    <t>mhv masters SJM, 25MJ-501</t>
  </si>
  <si>
    <t>KC614</t>
  </si>
  <si>
    <t>mhv masters SJM, 27MJ-501</t>
  </si>
  <si>
    <t>ZF685</t>
  </si>
  <si>
    <t>Šroub samořezný unilock sternální 10 mm 04.501.110</t>
  </si>
  <si>
    <t>ZF686</t>
  </si>
  <si>
    <t>Šroub samořezný unilock sternální 12 mm 04.501.112</t>
  </si>
  <si>
    <t>ZG486</t>
  </si>
  <si>
    <t>Dlaha sternální uzamykatelná 2,4 mm 460.019</t>
  </si>
  <si>
    <t>ZH558</t>
  </si>
  <si>
    <t>Šroub samořezný unilock sternální 14 mm 04.501.114</t>
  </si>
  <si>
    <t>ZH559</t>
  </si>
  <si>
    <t>Šroub samořezný unilock sternální 16 mm 04.501.116</t>
  </si>
  <si>
    <t>ZJ546</t>
  </si>
  <si>
    <t>Dlaha sternální ZipFix  balení á 5 ks 08.501.001.05S</t>
  </si>
  <si>
    <t>ZG540</t>
  </si>
  <si>
    <t>Dlaha sternální 2,4 mm pro tělo sterna 460.038</t>
  </si>
  <si>
    <t>KC712</t>
  </si>
  <si>
    <t>ring holder mitral 4450M34</t>
  </si>
  <si>
    <t>KD591</t>
  </si>
  <si>
    <t>cévka nelaton Ch  8 MPI:110008</t>
  </si>
  <si>
    <t>KD592</t>
  </si>
  <si>
    <t>cévka nelaton Ch10 MPI:110010</t>
  </si>
  <si>
    <t>KD593</t>
  </si>
  <si>
    <t>cévka nelaton Ch12 MPI:110012</t>
  </si>
  <si>
    <t>ZB325</t>
  </si>
  <si>
    <t>Shunt intracoronary 1,50 mm á 5 ks 31150</t>
  </si>
  <si>
    <t>ZB818</t>
  </si>
  <si>
    <t>Katetr CVC 3 lumen certofix protect trio 4163214P-S1+set rouškování pro CVC bal. á 10 ks 47561111</t>
  </si>
  <si>
    <t>ZC615</t>
  </si>
  <si>
    <t>Katetr CVC 3 lumen certofix trio V720 bal. á 10 ks 4163214P</t>
  </si>
  <si>
    <t>ZC630</t>
  </si>
  <si>
    <t>Katetr 3 cestný set EU-12853-IMIN</t>
  </si>
  <si>
    <t>ZC636</t>
  </si>
  <si>
    <t>Katetr vent 17Fr 35 cm E061</t>
  </si>
  <si>
    <t>ZC637</t>
  </si>
  <si>
    <t>Arteriofix bal. á 20 ks 20G 5206324</t>
  </si>
  <si>
    <t>KG690</t>
  </si>
  <si>
    <t>katetr vasoview hemopro, ous C-VH-3000-W</t>
  </si>
  <si>
    <t>KH264</t>
  </si>
  <si>
    <t>disekční systém djumbodis 4</t>
  </si>
  <si>
    <t>ZA211</t>
  </si>
  <si>
    <t>Shunt sensor (čidlo pro CDI500) 510H</t>
  </si>
  <si>
    <t>ZB583</t>
  </si>
  <si>
    <t>Shunt intracoronary 1,75 mm á 5 ks 31175</t>
  </si>
  <si>
    <t>ZC218</t>
  </si>
  <si>
    <t>Katetr dialyzační 2 lumen  14,0Fr 15 cm CS-22142-F</t>
  </si>
  <si>
    <t>ZE312</t>
  </si>
  <si>
    <t>Shunt intracoronary 1,25 mm á 5 ks 31125</t>
  </si>
  <si>
    <t>ZA199</t>
  </si>
  <si>
    <t>Katetr CVC  3 lumen 7Fr s antimikrob.úprav. á 5 ks NM-22703</t>
  </si>
  <si>
    <t>ZC966</t>
  </si>
  <si>
    <t>Set vavd-sada připoj. hadic 500050 bal. á 10 ks JH10.22807</t>
  </si>
  <si>
    <t>ZA260</t>
  </si>
  <si>
    <t>Set k proplachu-adapter kardioplegický CDS004S</t>
  </si>
  <si>
    <t>ZE557</t>
  </si>
  <si>
    <t>Set zavaděcí perkutánní arteriální fem-flex PIKA</t>
  </si>
  <si>
    <t>ZE558</t>
  </si>
  <si>
    <t>Set zavaděcí perkutální venozní fem-flex PIKV</t>
  </si>
  <si>
    <t>ZK337</t>
  </si>
  <si>
    <t xml:space="preserve">Set procedure TX175 04256                             </t>
  </si>
  <si>
    <t>ZA248</t>
  </si>
  <si>
    <t>Šití prolen bl 2/0 bal. á 12 ks W8977</t>
  </si>
  <si>
    <t>ZA853</t>
  </si>
  <si>
    <t>Šití prolen bl 5/0 bal. á 12 ks W8830</t>
  </si>
  <si>
    <t>ZB145</t>
  </si>
  <si>
    <t>Šití premicron zelený 3/0 bal. á 36 ks C0026815</t>
  </si>
  <si>
    <t>ZB280</t>
  </si>
  <si>
    <t>Šití prolen bl 2/0 bal. á 12 ks W8937</t>
  </si>
  <si>
    <t>ZB537</t>
  </si>
  <si>
    <t>Šití prolen bl 7/0 bal. á 36 ks EH8020H</t>
  </si>
  <si>
    <t>ZB593</t>
  </si>
  <si>
    <t>Šití prolen 6/0 bal. á 36 ks 8711H</t>
  </si>
  <si>
    <t>ZB608</t>
  </si>
  <si>
    <t>Šití premicron zelený 2/0 bal. á 36 ks C0026057</t>
  </si>
  <si>
    <t>ZB609</t>
  </si>
  <si>
    <t>Šití premicron zelený 2/0 bal. á 36 ks C0026026</t>
  </si>
  <si>
    <t>ZB610</t>
  </si>
  <si>
    <t>Šití premicron zelený 3/0 bal. á 36 ks C0026005</t>
  </si>
  <si>
    <t>ZB717</t>
  </si>
  <si>
    <t>Šití prolen bl 4/0 bal. á 12 ks W8845</t>
  </si>
  <si>
    <t>ZF434</t>
  </si>
  <si>
    <t>Šití terylene 1USP 22006</t>
  </si>
  <si>
    <t>ZJ183</t>
  </si>
  <si>
    <t>Šití optime 0 kožní bal. á 36 ks 18S35F</t>
  </si>
  <si>
    <t>ZA249</t>
  </si>
  <si>
    <t>Šití prolen bl 5/0 bal. á 12 ks W8556</t>
  </si>
  <si>
    <t>ZA866</t>
  </si>
  <si>
    <t>Šití prolen bl 6/0 bal. á 12 ks W8802</t>
  </si>
  <si>
    <t>ZA911</t>
  </si>
  <si>
    <t>Šití dafilon modrý 2/0 bal. á 36 ks C0932477</t>
  </si>
  <si>
    <t>ZB150</t>
  </si>
  <si>
    <t>Šití premicron Z/B 2/0 bal. á 24 ks B0027711</t>
  </si>
  <si>
    <t>ZB283</t>
  </si>
  <si>
    <t>Šití prolen bl 3/0 bal. á 12 ks W8844</t>
  </si>
  <si>
    <t>ZB617</t>
  </si>
  <si>
    <t>Šití prolen bl 4/0 bal. á 12 ks W8761</t>
  </si>
  <si>
    <t>ZB981</t>
  </si>
  <si>
    <t>Šití premicron bal. á 36 ks C0026905</t>
  </si>
  <si>
    <t>ZD449</t>
  </si>
  <si>
    <t>Šití prolen 3/0 se40j. bal. á 12 ks W8851</t>
  </si>
  <si>
    <t>ZI869</t>
  </si>
  <si>
    <t>Šití cardioflon 2/0 19R30A</t>
  </si>
  <si>
    <t>ZJ181</t>
  </si>
  <si>
    <t>Šití optime 2/0 kožní bal. á 36 ks 18S30K</t>
  </si>
  <si>
    <t>ZB285</t>
  </si>
  <si>
    <t>Šití prolen bl 6/0 bal. á 12 ks W8814</t>
  </si>
  <si>
    <t>ZB053</t>
  </si>
  <si>
    <t>Šití premicron bal. á 36 ks C0026904</t>
  </si>
  <si>
    <t>ZH802</t>
  </si>
  <si>
    <t>Šití prolen 5/0 s 2 jehlami bal. á 36 ks 8580H</t>
  </si>
  <si>
    <t>ZB514</t>
  </si>
  <si>
    <t>Šití tip cleaner bal. á 36 ks 4315</t>
  </si>
  <si>
    <t>ZI466</t>
  </si>
  <si>
    <t>Šití premicron bal. á 36 ks + podložka teflonová 6x3 mm C0027995</t>
  </si>
  <si>
    <t>ZH325</t>
  </si>
  <si>
    <t>Šití cardioflon 0 19R35A</t>
  </si>
  <si>
    <t>ZA360</t>
  </si>
  <si>
    <t>Jehla sterican 0,5 x 25 mm oranžová 9186158</t>
  </si>
  <si>
    <t>ZK199</t>
  </si>
  <si>
    <t>Jehla redon ostře zahnutá CH 10 BN913R</t>
  </si>
  <si>
    <t>ZE992</t>
  </si>
  <si>
    <t>Rukavice operační ansell sensi - touch vel. 6,0 bal. á 40 párů 8050151</t>
  </si>
  <si>
    <t>ZE993</t>
  </si>
  <si>
    <t>Rukavice operační ansell sensi - touch vel. 6,5 bal. á 40 párů 8050152</t>
  </si>
  <si>
    <t>ZK683</t>
  </si>
  <si>
    <t>Rukavice operační gammex PF sensitive vel. 7,0 353194</t>
  </si>
  <si>
    <t>ZL426</t>
  </si>
  <si>
    <t>Rukavice operační ansell sensi - touch vel. 7,5 bal. á 40 párů 8050154</t>
  </si>
  <si>
    <t>ZL427</t>
  </si>
  <si>
    <t>Rukavice operační ansell sensi - touch vel. 8,0 bal. á 40 párů 8050155</t>
  </si>
  <si>
    <t>ZJ718</t>
  </si>
  <si>
    <t>Rukavice operační gammex PF sensitive vel. 6,5 bal. á 25 párů 353193</t>
  </si>
  <si>
    <t>ZJ719</t>
  </si>
  <si>
    <t>Rukavice operační gammex PF sensitive vel. 6,0 bal. á 25 párů 353192</t>
  </si>
  <si>
    <t>ZB153</t>
  </si>
  <si>
    <t>Vosk kostní Knochenwasch 2,5G 1029754</t>
  </si>
  <si>
    <t>ZD033</t>
  </si>
  <si>
    <t>Protéza cévní hemashield 28/15 175128</t>
  </si>
  <si>
    <t>ZH839</t>
  </si>
  <si>
    <t>Protéza cévní hemashield gold 8/20cm IGK0008-20</t>
  </si>
  <si>
    <t>ZC999</t>
  </si>
  <si>
    <t>Protéza cévní hemashield 30/15 VS02.175130P0</t>
  </si>
  <si>
    <t>ZC263</t>
  </si>
  <si>
    <t>Protéza cévní hemashield 24/15 175124</t>
  </si>
  <si>
    <t>ZH586</t>
  </si>
  <si>
    <t>Protéza cévní hemashield 16/15 cm 175116P0</t>
  </si>
  <si>
    <t>Spotřeba zdravotnického materiálu - orientační přehled</t>
  </si>
  <si>
    <t>ON Data</t>
  </si>
  <si>
    <t>107 - Pracoviště kardiologie</t>
  </si>
  <si>
    <t>505 - Pracoviště kardiochirurgie</t>
  </si>
  <si>
    <t xml:space="preserve"> </t>
  </si>
  <si>
    <t>Ambulantní péče znamená, že pacient v den poskytnutí zdravotní péče není hospitalizován ve FNOL</t>
  </si>
  <si>
    <t>Zdravotní výkony vykázané na pracovišti v rámci ambulantní péče *</t>
  </si>
  <si>
    <t>107</t>
  </si>
  <si>
    <t>V</t>
  </si>
  <si>
    <t>09511</t>
  </si>
  <si>
    <t>MINIMÁLNÍ KONTAKT LÉKAŘE S PACIENTEM</t>
  </si>
  <si>
    <t>17021</t>
  </si>
  <si>
    <t>KOMPLEXNÍ VYŠETŘENÍ KARDIOLOGEM</t>
  </si>
  <si>
    <t>17111</t>
  </si>
  <si>
    <t>EKG VYŠETŘENÍ SPECIALISTOU</t>
  </si>
  <si>
    <t>17240</t>
  </si>
  <si>
    <t>HOLTEROVSKÉ VYŠETŘENÍ</t>
  </si>
  <si>
    <t>17260</t>
  </si>
  <si>
    <t>ZÁKLADNÍ ECHOKARDIOGRAFICKÉ VYŠETŘENÍ</t>
  </si>
  <si>
    <t>17261</t>
  </si>
  <si>
    <t>SPECIALIZOVANÉ ECHOKARDIOGRAFICKÉ VYŠETŘENÍ</t>
  </si>
  <si>
    <t>17266</t>
  </si>
  <si>
    <t>SPECIALIZOVANÁ ZÁTĚŽOVÁ ECHOKARDIOGRAFIE FARMAKOLO</t>
  </si>
  <si>
    <t>89517</t>
  </si>
  <si>
    <t>UZ DUPLEXNÍ VYŠETŘENÍ DVOU A VÍCE CÉV, T. J. MORFO</t>
  </si>
  <si>
    <t>09543</t>
  </si>
  <si>
    <t>REGULAČNÍ POPLATEK ZA NÁVŠTĚVU -- POPLATEK UHRAZEN</t>
  </si>
  <si>
    <t>09119</t>
  </si>
  <si>
    <t xml:space="preserve">ODBĚR KRVE ZE ŽÍLY U DOSPĚLÉHO NEBO DÍTĚTE NAD 10 </t>
  </si>
  <si>
    <t>17264</t>
  </si>
  <si>
    <t>ZAVEDENÍ JÍCNOVÉ ECHOKARDIOGRAFICKÉ SONDY</t>
  </si>
  <si>
    <t>17022</t>
  </si>
  <si>
    <t>CÍLENÉ VYŠETŘENÍ KARDIOLOGEM</t>
  </si>
  <si>
    <t>09523</t>
  </si>
  <si>
    <t>EDUKAČNÍ POHOVOR LÉKAŘE S NEMOCNÝM ČI RODINOU</t>
  </si>
  <si>
    <t>17023</t>
  </si>
  <si>
    <t>KONTROLNÍ VYŠETŘENÍ KARDIOLOGEM</t>
  </si>
  <si>
    <t>09115</t>
  </si>
  <si>
    <t>ODBĚR BIOLOGICKÉHO MATERIÁLU JINÉHO NEŽ KREV NA KV</t>
  </si>
  <si>
    <t>17273</t>
  </si>
  <si>
    <t>VYSOCE SPECIALIZOVANÁ KONTRASTNÍ ECHOKARDIOGRAFIE</t>
  </si>
  <si>
    <t>17263</t>
  </si>
  <si>
    <t>SPECIALIZOVANÁ KONTRASTNÍ ECHOKARDIOGRAFIE</t>
  </si>
  <si>
    <t>505</t>
  </si>
  <si>
    <t>09237</t>
  </si>
  <si>
    <t>OŠETŘENÍ A PŘEVAZ RÁNY VČETNĚ OŠETŘENÍ KOŽNÍCH A P</t>
  </si>
  <si>
    <t>09241</t>
  </si>
  <si>
    <t>OŠETŘENÍ A PŘEVAZ RÁNY, KOŽNÍCH A PODKOŽNÍCH AFEKC</t>
  </si>
  <si>
    <t>17271</t>
  </si>
  <si>
    <t>VYSOCE SPECIALIZOVANÉ ECHOKARDIOGRAFICKÉ VYŠETŘENÍ</t>
  </si>
  <si>
    <t>51023</t>
  </si>
  <si>
    <t>KONTROLNÍ VYŠETŘENÍ CHIRURGEM</t>
  </si>
  <si>
    <t>55023</t>
  </si>
  <si>
    <t>KONTROLNÍ VYŠETŘENÍ KARDIOCHIRURGEM</t>
  </si>
  <si>
    <t>57243</t>
  </si>
  <si>
    <t>HRUDNÍ PUNKCE</t>
  </si>
  <si>
    <t>11022</t>
  </si>
  <si>
    <t>CÍLENÉ VYŠETŘENÍ INTERNISTOU</t>
  </si>
  <si>
    <t>09233</t>
  </si>
  <si>
    <t>INJEKČNÍ OKRSKOVÁ ANESTÉZIE</t>
  </si>
  <si>
    <t>09545</t>
  </si>
  <si>
    <t>REGULAČNÍ POPLATEK ZA POHOTOVOSTNÍ SLUŽBU -- POPLA</t>
  </si>
  <si>
    <t>11021</t>
  </si>
  <si>
    <t>KOMPLEXNÍ VYŠETŘENÍ INTERNISTOU</t>
  </si>
  <si>
    <t>51825</t>
  </si>
  <si>
    <t>SEKUNDÁRNÍ SUTURA RÁNY</t>
  </si>
  <si>
    <t>09239</t>
  </si>
  <si>
    <t>SUTURA RÁNY A PODKOŽÍ DO 5 CM</t>
  </si>
  <si>
    <t>51021</t>
  </si>
  <si>
    <t>KOMPLEXNÍ VYŠETŘENÍ CHIRURGEM</t>
  </si>
  <si>
    <t>51821</t>
  </si>
  <si>
    <t>CHIRURGICKÉ ODSTRANĚNÍ CIZÍHO TĚLESA</t>
  </si>
  <si>
    <t>Zdravotní výkony + ZUM + ZULP vykázané na pracovišti v rámci ambulantní péče - orientační přehled</t>
  </si>
  <si>
    <t>01 - I. INTERNÍ  KLINIKA</t>
  </si>
  <si>
    <t>02 - II. INTERNÍ  KLINIKA</t>
  </si>
  <si>
    <t>03 - III. INTERNÍ  KLINIKA</t>
  </si>
  <si>
    <t>04 - I. CHIRURGICKÁ KLINIKA</t>
  </si>
  <si>
    <t>05 - II. CHIRURGICKÁ KLINIKA</t>
  </si>
  <si>
    <t>06 - NEUROCHIRURGICKÁ KLINIKA</t>
  </si>
  <si>
    <t>07 - KLINIKA ANESTEZIOLOGIE A RESUSCITACE</t>
  </si>
  <si>
    <t>16 - KLINIKA PLICNÍCH NEMOCÍ A TUBERKULÓZY</t>
  </si>
  <si>
    <t>17 - NEUROLOGICKÁ KLINIKA</t>
  </si>
  <si>
    <t>18 - KLINIKA PSYCHIATRIE</t>
  </si>
  <si>
    <t>30 - ODDĚLENÍ GERIATRIE</t>
  </si>
  <si>
    <t>31 - TRAUMATOLOGICKÉ ODDĚLENÍ</t>
  </si>
  <si>
    <t>50 - KARDIOCHIRURGICKÁ KLINIKA</t>
  </si>
  <si>
    <t>59 - ODD. INTENZIVNÍ PÉČE CHIRURGICKÝCH OBORŮ</t>
  </si>
  <si>
    <t>01</t>
  </si>
  <si>
    <t>51022</t>
  </si>
  <si>
    <t>CÍLENÉ VYŠETŘENÍ CHIRURGEM</t>
  </si>
  <si>
    <t>02</t>
  </si>
  <si>
    <t>03</t>
  </si>
  <si>
    <t>04</t>
  </si>
  <si>
    <t>05</t>
  </si>
  <si>
    <t>06</t>
  </si>
  <si>
    <t>07</t>
  </si>
  <si>
    <t>55022</t>
  </si>
  <si>
    <t>CÍLENÉ VYŠETŘENÍ KARDIOCHIRURGEM</t>
  </si>
  <si>
    <t>16</t>
  </si>
  <si>
    <t>17</t>
  </si>
  <si>
    <t>18</t>
  </si>
  <si>
    <t>30</t>
  </si>
  <si>
    <t>31</t>
  </si>
  <si>
    <t>17520</t>
  </si>
  <si>
    <t>KARDIOVERSE ELEKTRICKÁ (NIKOLIV PŘI RESUSCITACI)</t>
  </si>
  <si>
    <t>17233</t>
  </si>
  <si>
    <t>DOČASNÁ SRDEČNÍ STIMULACE</t>
  </si>
  <si>
    <t>17244</t>
  </si>
  <si>
    <t>24-HODINOVÉ TELEMETRICKÉ SLEDOVÁNÍ MIMO JIP</t>
  </si>
  <si>
    <t>17522</t>
  </si>
  <si>
    <t>TRANSVENÓZNÍ EXTRAKCE ELEKTROD PRO TRVALOU KARDIOS</t>
  </si>
  <si>
    <t>17303</t>
  </si>
  <si>
    <t>PRAVOSTRANNÁ KATETRIZACE SRDEČNÍ MIMO KATETRIZAČNÍ</t>
  </si>
  <si>
    <t>55211</t>
  </si>
  <si>
    <t>IMPLANTACE KARDIOSTIMULÁTORU PRO JEDNODUTINOVOU KA</t>
  </si>
  <si>
    <t>5F1</t>
  </si>
  <si>
    <t>51239</t>
  </si>
  <si>
    <t xml:space="preserve">RADIKÁLNÍ EXSTIRPACE AXILÁRNÍCH NEBO INQUINÁLNÍCH </t>
  </si>
  <si>
    <t>57251</t>
  </si>
  <si>
    <t>KLÍNOVITÁ RESEKCE PLIC NEBO ENUKLEACE TUMORU</t>
  </si>
  <si>
    <t>APENDEKTOMIE NEBO OPERAČNÍ DRENÁŽ PERIAPENDIKULÁRN</t>
  </si>
  <si>
    <t>5F5</t>
  </si>
  <si>
    <t>1</t>
  </si>
  <si>
    <t>0003708</t>
  </si>
  <si>
    <t>ZYVOXID 2 MG/ML INFUZNÍ ROZTOK</t>
  </si>
  <si>
    <t>0008807</t>
  </si>
  <si>
    <t>0008808</t>
  </si>
  <si>
    <t>0014583</t>
  </si>
  <si>
    <t>TIENAM 500 MG/500 MG I.V.</t>
  </si>
  <si>
    <t>0016600</t>
  </si>
  <si>
    <t>0049193</t>
  </si>
  <si>
    <t>CEFTAX 1000</t>
  </si>
  <si>
    <t>0053922</t>
  </si>
  <si>
    <t>0058092</t>
  </si>
  <si>
    <t>0059830</t>
  </si>
  <si>
    <t>CIPRINOL 200 MG/100 ML</t>
  </si>
  <si>
    <t>0065989</t>
  </si>
  <si>
    <t>0066020</t>
  </si>
  <si>
    <t>AUGMENTIN 1,2 G</t>
  </si>
  <si>
    <t>0068998</t>
  </si>
  <si>
    <t>AMPICILIN 1,0 BIOTIKA</t>
  </si>
  <si>
    <t>0072972</t>
  </si>
  <si>
    <t>0075634</t>
  </si>
  <si>
    <t>PROTHROMPLEX TOTAL NF</t>
  </si>
  <si>
    <t>0076360</t>
  </si>
  <si>
    <t>0077024</t>
  </si>
  <si>
    <t>ULTRAVIST 300</t>
  </si>
  <si>
    <t>0083487</t>
  </si>
  <si>
    <t>MERONEM 500 MG</t>
  </si>
  <si>
    <t>0092290</t>
  </si>
  <si>
    <t>EDICIN 1 G</t>
  </si>
  <si>
    <t>0093173</t>
  </si>
  <si>
    <t>ANTITHROMBIN III IMMUNO</t>
  </si>
  <si>
    <t>0096414</t>
  </si>
  <si>
    <t>0104051</t>
  </si>
  <si>
    <t>HUMAN ALBUMIN 200 G/L BAXTER</t>
  </si>
  <si>
    <t>0162187</t>
  </si>
  <si>
    <t>0164246</t>
  </si>
  <si>
    <t>CEFTAZIDIM STRAGEN 1 G</t>
  </si>
  <si>
    <t>2</t>
  </si>
  <si>
    <t>0007955</t>
  </si>
  <si>
    <t>Erytrocyty deleukotizované</t>
  </si>
  <si>
    <t>0107959</t>
  </si>
  <si>
    <t>Trombocyty z aferézy deleukotizované</t>
  </si>
  <si>
    <t>0207921</t>
  </si>
  <si>
    <t>Plazma čerstvá zmrazená</t>
  </si>
  <si>
    <t>3</t>
  </si>
  <si>
    <t>0043082</t>
  </si>
  <si>
    <t>CHLOPEŇ SRDEČNÍ BIOLOGICKÁ - BOVINNÍ AORTÁLNÍ</t>
  </si>
  <si>
    <t>0043155</t>
  </si>
  <si>
    <t>CHLOPEŇ SRDEČNÍ BIOLOGICKÁ - BOVINNÍ AORTÁLNÍ MAGN</t>
  </si>
  <si>
    <t>0043169</t>
  </si>
  <si>
    <t>CHLOPEŇ SRDEČNÍ BIOLOGICKÁ - PRASEČÍ EPIC SUPRA</t>
  </si>
  <si>
    <t>0043173</t>
  </si>
  <si>
    <t>CHLOPEŇ SRDEČNÍ BIOLOGICKÁ - PRASEČÍ + AORTÁLNÍ KO</t>
  </si>
  <si>
    <t>0046245</t>
  </si>
  <si>
    <t>BIO-PUMP BPX-80,BP50</t>
  </si>
  <si>
    <t>0046581</t>
  </si>
  <si>
    <t>OXYGENÁTOR MEMBRÁNOVÝ TERUMO CAPIOX RX-R</t>
  </si>
  <si>
    <t>0046582</t>
  </si>
  <si>
    <t>OXYGENÁTOR CX SX, RX, RX R, PŘÍSLUŠENSTVÍ PX</t>
  </si>
  <si>
    <t>0046625</t>
  </si>
  <si>
    <t>OXYGENÁTOR MEMBRÁNOVÝ HILITE 7000 RHEO</t>
  </si>
  <si>
    <t>0046646</t>
  </si>
  <si>
    <t>OXYGENÁTOR-REZERVOÁR TVRDÝ HILITE MVC RHEOPARIN</t>
  </si>
  <si>
    <t>0046647</t>
  </si>
  <si>
    <t>OXYGENÁTOR-SET HADICOVÝ STANDARDNÍ</t>
  </si>
  <si>
    <t>0046648</t>
  </si>
  <si>
    <t>OBĚH MIMOTĚLNÍ - OXYGENÁTOR-SET HADICOVÝ STANDARDN</t>
  </si>
  <si>
    <t>0046655</t>
  </si>
  <si>
    <t>OXYGENÁTOR-KANYLA AORTÁLNÍ DO KOŘENE AORTY</t>
  </si>
  <si>
    <t>0046657</t>
  </si>
  <si>
    <t>OXYGENÁTOR-KANYLA ODVZDUŠŇOVACÍ/ ODLEHČOVACÍ</t>
  </si>
  <si>
    <t>0046662</t>
  </si>
  <si>
    <t>OXYGENÁTOR-KANYLA ODSÁVACÍ ME S 95 XX</t>
  </si>
  <si>
    <t>0047646</t>
  </si>
  <si>
    <t>SYSTÉM ANULOPLASTICKÝ 4900</t>
  </si>
  <si>
    <t>0047759</t>
  </si>
  <si>
    <t>OXYGENÁTOR-KANYLA ŽILNÍ</t>
  </si>
  <si>
    <t>0047783</t>
  </si>
  <si>
    <t>PODPORA MECHANICKÁ SRDEČNÍ - BIO-PUMPA STOECKERT S</t>
  </si>
  <si>
    <t>0048599</t>
  </si>
  <si>
    <t>OXYGENÁTOR-SADA: HEPARIN.KANYLA DVOUSTUP.VENOZNÍ</t>
  </si>
  <si>
    <t>0048601</t>
  </si>
  <si>
    <t xml:space="preserve">OBĚH MIMOTĚLNÍ - OXYGENÁTOR SADA - HEPARIN.KANYLA </t>
  </si>
  <si>
    <t>0048606</t>
  </si>
  <si>
    <t>KATETR ABLAČNÍ ATS CRYOMAZE FROSTBYTE,60CM1</t>
  </si>
  <si>
    <t>0048632</t>
  </si>
  <si>
    <t>KARDIOSTIMULÁTOR JEDNODUTINOVÝ VERITY ADX XL SR 51</t>
  </si>
  <si>
    <t>0049026</t>
  </si>
  <si>
    <t>SOUPRAVA DRENÁŽNÍ K PUNKCI PERIKARDU</t>
  </si>
  <si>
    <t>0049191</t>
  </si>
  <si>
    <t>KATETR CENTRÁLNÍ VENÓZNÍ ARROW GARD BLUE</t>
  </si>
  <si>
    <t>0049302</t>
  </si>
  <si>
    <t>KANYLA KARDIOPLEGICKÁ,RETROGRÁDNÍ, RSH-MR14S-L</t>
  </si>
  <si>
    <t>0049333</t>
  </si>
  <si>
    <t>SADA PRO ODBĚR V.SAPHENY A A.RADIALIS PRO BYPASS</t>
  </si>
  <si>
    <t>0050249</t>
  </si>
  <si>
    <t>SET AUTOTRANSFÚZNÍ AT 1 9005101</t>
  </si>
  <si>
    <t>0050251</t>
  </si>
  <si>
    <t>SET AUTOTRANSFÚZNÍ-HADICE SACÍ 9108481</t>
  </si>
  <si>
    <t>0050252</t>
  </si>
  <si>
    <t>SET AUTOTRANSFÚZNÍ-VAK REINFUZNÍ</t>
  </si>
  <si>
    <t>0051199</t>
  </si>
  <si>
    <t>KROUŽEK ANULOPLASTICKÝ MEMO 3D, VELIKOST SMD24 - S</t>
  </si>
  <si>
    <t>0051889</t>
  </si>
  <si>
    <t>CHLOPEŇ SRDEČNÍ MECHANICKÁ SJM,SÉR.MASTERS</t>
  </si>
  <si>
    <t>0052279</t>
  </si>
  <si>
    <t>CHLOPEŇ SRDEČNÍ MECHANICKÁ SJM REGENT</t>
  </si>
  <si>
    <t>0053197</t>
  </si>
  <si>
    <t>SENSOR K MĚŘENÍ EXTRAKORP.PARC.TLAKU KYSLÍKU</t>
  </si>
  <si>
    <t>0056268</t>
  </si>
  <si>
    <t>KROUŽEK ANULOPLASTICKÝ 4450</t>
  </si>
  <si>
    <t>0056617</t>
  </si>
  <si>
    <t>ELEKTRODA STIMULAČNÍ CAPSURE EPI 4965,4968,4951,50</t>
  </si>
  <si>
    <t>0057243</t>
  </si>
  <si>
    <t>KATETR BALÓNKOVÝ INTRAARTER.KONTRAPULZAČNÍ</t>
  </si>
  <si>
    <t>0057923</t>
  </si>
  <si>
    <t xml:space="preserve">ELEKTRODA STIMULAČNÍ CAPSURE FIX NOVUS 5076,4076; </t>
  </si>
  <si>
    <t>0057985</t>
  </si>
  <si>
    <t>OXYGENÁTOR-SADA HEMOFILTRAČNÍ-KREVNÍ KONCENTRÁTOR</t>
  </si>
  <si>
    <t>0058109</t>
  </si>
  <si>
    <t>SADA STABILIZAČNÍ ULTIMA/AXIUS OM-2001SD..OM7100SD</t>
  </si>
  <si>
    <t>0058110</t>
  </si>
  <si>
    <t>SADA STABIL.AXIUS XO-2001SD..XO3-7100SD OM-6XXXS,D</t>
  </si>
  <si>
    <t>0058112</t>
  </si>
  <si>
    <t>SADA STABILIZAČNÍ MIDCAB CMS-161..CMS-171</t>
  </si>
  <si>
    <t>0059538</t>
  </si>
  <si>
    <t>OXYGENÁTOR-SADA:KANYLA DVOUSTUPŇOVÁ VENÓZNÍ RMI</t>
  </si>
  <si>
    <t>0059540</t>
  </si>
  <si>
    <t>OXYGENÁTOR-SADA:KANYLA JEDNOSTUPŇOVÁ VENÓZNÍ RMI</t>
  </si>
  <si>
    <t>0059541</t>
  </si>
  <si>
    <t>OXYGENÁTOR-SADA:KANYLA AORTÁLNÍ RMI</t>
  </si>
  <si>
    <t>0059542</t>
  </si>
  <si>
    <t>OBĚH MIMOTĚLNÍ - OXYGENÁTOR SADA - KANYLA FEMOR.AR</t>
  </si>
  <si>
    <t>0059543</t>
  </si>
  <si>
    <t>OXYGENÁTOR-SADA:KANYLA FEMOR.ARTER./VENÓZNÍ RMI</t>
  </si>
  <si>
    <t>0059546</t>
  </si>
  <si>
    <t>OXYGENÁTOR-SADA:KANYLA ARTEGRÁDNÍ AORTÁLNÍ RMI</t>
  </si>
  <si>
    <t>0059632</t>
  </si>
  <si>
    <t>MATERIÁL KOVOVÝ ŠICÍ STEH PRO STERNUM OCELOVÝ DRÁT</t>
  </si>
  <si>
    <t>0081997</t>
  </si>
  <si>
    <t>V.A.C. ATS SBĚRNÁ NÁDOBA S GELEM</t>
  </si>
  <si>
    <t>0081998</t>
  </si>
  <si>
    <t>V.A.C.FREEDOM SBĚRNÁ NÁDOBA S GELEM</t>
  </si>
  <si>
    <t>0082000</t>
  </si>
  <si>
    <t>V.A.C.GRANUFOAM(PU PĚNA) VELIKOST M</t>
  </si>
  <si>
    <t>0082001</t>
  </si>
  <si>
    <t>V.A.C.GRANUFOAM(PU PĚNA) VELIKOST L</t>
  </si>
  <si>
    <t>0082488</t>
  </si>
  <si>
    <t>SET AUTOTRANSFUZNÍ</t>
  </si>
  <si>
    <t>0082490</t>
  </si>
  <si>
    <t>SET AUTOTRANSFUZNÍ - SBĚR</t>
  </si>
  <si>
    <t>0083068</t>
  </si>
  <si>
    <t>DLAHA STERNÁLNÍ TITAN</t>
  </si>
  <si>
    <t>0092098</t>
  </si>
  <si>
    <t>SET ZAVÁDĚCÍ FLOWGUARD</t>
  </si>
  <si>
    <t>0092262</t>
  </si>
  <si>
    <t>KATETR CENTRÁLNÍ VENÓZNÍ KIT</t>
  </si>
  <si>
    <t>0094029</t>
  </si>
  <si>
    <t xml:space="preserve">ELEKTRODA STIMULAČNÍ EPIKARDIÁLNÍ MYOPORE; PRO KS </t>
  </si>
  <si>
    <t>0094544</t>
  </si>
  <si>
    <t>OXYGENÁTOR SADA, KANYLA JEDNOSTUPŇOVÁ VENÓZNÍ RMI</t>
  </si>
  <si>
    <t>0108130</t>
  </si>
  <si>
    <t>DLAHA ROVNÁ STERNÁLNÍ TITAN</t>
  </si>
  <si>
    <t>0108767</t>
  </si>
  <si>
    <t>0108768</t>
  </si>
  <si>
    <t>ŠROUB SAMOVRTNÝ STERNÁLNÍ TITAN</t>
  </si>
  <si>
    <t>0112062</t>
  </si>
  <si>
    <t>CERKLÁŽ - SYSTÉM MODULÁRNÍ CERKLÁŽE PRO STERNUM (M</t>
  </si>
  <si>
    <t>0161532</t>
  </si>
  <si>
    <t>CHLOPEŇ SRDEČNÍ BIOLOGICKÁ - BOVINNÍ AORTÁLNÍ MITR</t>
  </si>
  <si>
    <t>0161533</t>
  </si>
  <si>
    <t>CHLOPEŇ SRDEČNÍ BIOLOGICKÁ - BOVINNÍ TRIFECTA</t>
  </si>
  <si>
    <t>0043156</t>
  </si>
  <si>
    <t>0094715</t>
  </si>
  <si>
    <t>KATETR ABLAČNÍ CARDIOABLATE GEMINI</t>
  </si>
  <si>
    <t>0048337</t>
  </si>
  <si>
    <t>LEPIDLO BIOLOGICKÉ CRYOLIFE BG-3005</t>
  </si>
  <si>
    <t>0092972</t>
  </si>
  <si>
    <t>CHLOPEŇ AORTÁLNÍ - KONDUIT CHLOPENNÍ SJM, VAVGJ-51</t>
  </si>
  <si>
    <t>0051227</t>
  </si>
  <si>
    <t>KATETR ABLAČNÍ BIPOLÁRNÍ - ATRICURE</t>
  </si>
  <si>
    <t>0047498</t>
  </si>
  <si>
    <t>PROTÉZA CÉVNÍ TKANÁ TUBULÁRNÍ 175XXXP</t>
  </si>
  <si>
    <t>0048338</t>
  </si>
  <si>
    <t>LEPIDLO BIOLOGICKÉ CRYOLIFE BG-3010</t>
  </si>
  <si>
    <t>0191951</t>
  </si>
  <si>
    <t>KARDIOSTIMULÁTOR JEDNODUTINOVÝ G20 SR, G20SRA1</t>
  </si>
  <si>
    <t>0057221</t>
  </si>
  <si>
    <t>KATETR TERMODIL.DIAG.AH-XXXXX..AH-XXXXX,X,XX</t>
  </si>
  <si>
    <t>09227</t>
  </si>
  <si>
    <t>I. V. APLIKACE KRVE NEBO KREVNÍCH DERIVÁTŮ</t>
  </si>
  <si>
    <t>17710</t>
  </si>
  <si>
    <t>PUNKCE PERIKARDU- PROVÁDÍ-LI SE ZA KONTROLY NĚKTER</t>
  </si>
  <si>
    <t>51012</t>
  </si>
  <si>
    <t>57233</t>
  </si>
  <si>
    <t>HRUDNÍ DRENÁŽ</t>
  </si>
  <si>
    <t>61143</t>
  </si>
  <si>
    <t>ODBĚR CÉVNÍHO ŠTĚPU MALÉHO KALIBRU (PRO MIKROCHIRU</t>
  </si>
  <si>
    <t>71717</t>
  </si>
  <si>
    <t>TRACHEOTOMIE</t>
  </si>
  <si>
    <t>78022</t>
  </si>
  <si>
    <t>CÍLENÉ VYŠETŘENÍ ANESTEZIOLOGEM</t>
  </si>
  <si>
    <t>78023</t>
  </si>
  <si>
    <t>KONTROLNÍ VYŠETŘENÍ ANESTEZIOLOGEM</t>
  </si>
  <si>
    <t>78812</t>
  </si>
  <si>
    <t>ISOVOLEMICKÁ HEMODILUCE</t>
  </si>
  <si>
    <t>81141</t>
  </si>
  <si>
    <t>VÁPNÍK IONIZOVANÝ STATIM</t>
  </si>
  <si>
    <t>81171</t>
  </si>
  <si>
    <t>KYSELINA MLÉČNÁ (LAKTÁT) STATIM</t>
  </si>
  <si>
    <t>00880</t>
  </si>
  <si>
    <t>ROZLIŠENÍ VYKÁZANÉ HOSPITALIZACE JAKO: = NOVÁ HOSP</t>
  </si>
  <si>
    <t>00881</t>
  </si>
  <si>
    <t>ROZLIŠENÍ VYKÁZANÉ HOSPITALIZACE JAKO: = POKRAČOVÁ</t>
  </si>
  <si>
    <t>09547</t>
  </si>
  <si>
    <t>REGULAČNÍ POPLATEK -- POJIŠTĚNEC OD ÚHRADY POPLATK</t>
  </si>
  <si>
    <t>90887</t>
  </si>
  <si>
    <t>07546</t>
  </si>
  <si>
    <t>(DRG) OTEVŘENÝ PŘÍSTUP</t>
  </si>
  <si>
    <t>07550</t>
  </si>
  <si>
    <t>(DRG) ENDOVASKULÁRNÍ PŘÍSTUP PERKUTÁNNÍ NEBO S?PRE</t>
  </si>
  <si>
    <t>07561</t>
  </si>
  <si>
    <t>(DRG) REKUPERACE KRVE</t>
  </si>
  <si>
    <t>07001</t>
  </si>
  <si>
    <t xml:space="preserve">(DRG) AORTOKORONÁRNÍ BYPASS VÍCENÁSOBNÝ (2 A VÍCE </t>
  </si>
  <si>
    <t>07041</t>
  </si>
  <si>
    <t>(DRG) NÁHRADA MITRÁLNÍ CHLOPNĚ MECHANICKOU PROTÉZO</t>
  </si>
  <si>
    <t>07095</t>
  </si>
  <si>
    <t>(DRG) CHIRURGICKÁ ABLACE SÍŇOVÉ ARYTMIE S POMOCÍ R</t>
  </si>
  <si>
    <t>07565</t>
  </si>
  <si>
    <t>(DRG) KATASTROFICKÁ OPERACE KVCH</t>
  </si>
  <si>
    <t>07232</t>
  </si>
  <si>
    <t>(DRG) CHIRURGICKÁ IMPLANTACE TRVALÝCH EPIKARDIÁLNÍ</t>
  </si>
  <si>
    <t>07560</t>
  </si>
  <si>
    <t>(DRG) KREVNÍ KARDIOPLEGIE JAKO SOUČÁST JINÉHO KARD</t>
  </si>
  <si>
    <t>07000</t>
  </si>
  <si>
    <t>(DRG) AORTOKORONÁRNÍ BYPASS JEDNONÁSOBNÝ</t>
  </si>
  <si>
    <t>07087</t>
  </si>
  <si>
    <t>(DRG) UZÁVĚR DEFEKTU SEPTA SÍNÍ ZÁPLATOU Z AUTOLOG</t>
  </si>
  <si>
    <t>07571</t>
  </si>
  <si>
    <t>(DRG) POOPERAČNÍ REVIZE PRO KRVÁCENÍ, INFEKCI NEBO</t>
  </si>
  <si>
    <t>07042</t>
  </si>
  <si>
    <t>(DRG) NÁHRADA MITRÁLNÍ CHLOPNĚ BIOLOGICKOU PROTÉZO</t>
  </si>
  <si>
    <t>07002</t>
  </si>
  <si>
    <t>(DRG) AORTOKORONÁRNÍ BYPASS VÍCENÁSOBNÝ - (2 A VÍC</t>
  </si>
  <si>
    <t>07547</t>
  </si>
  <si>
    <t>(DRG) MINITORAKOTOMIE NEBO MINILAPAROTOMIE</t>
  </si>
  <si>
    <t>07017</t>
  </si>
  <si>
    <t xml:space="preserve">(DRG) NÁHRADA KOŘENE AORTY A PŘÍPADNĚ ASCENDENTNÍ </t>
  </si>
  <si>
    <t>07156</t>
  </si>
  <si>
    <t>(DRG) NÁHRADA ASCENDENTNÍ AORTY PROTÉZOU PRO AKUTN</t>
  </si>
  <si>
    <t>07256</t>
  </si>
  <si>
    <t>(DRG) ZAVEDENÍ IABK v souvislosti kardiochirurgick</t>
  </si>
  <si>
    <t>07235</t>
  </si>
  <si>
    <t xml:space="preserve">(DRG) CHIRURGICKÁ IMPLANTACE NEBO VÝMĚNA TRVALÉHO </t>
  </si>
  <si>
    <t>07142</t>
  </si>
  <si>
    <t>(DRG) UZÁVĚR DEFEKTU SEPTA KOMOR (VROZENÉHO NEBO Z</t>
  </si>
  <si>
    <t>07241</t>
  </si>
  <si>
    <t>(DRG) CHIRURGICKÁ DRENÁŽ PERIKARDU CESTOU STERNOTO</t>
  </si>
  <si>
    <t>07112</t>
  </si>
  <si>
    <t xml:space="preserve">(DRG) RESEKCE VÝDUTĚ LEVÉ KOMORY SRDEČNÍ S PŘÍMOU </t>
  </si>
  <si>
    <t>07277</t>
  </si>
  <si>
    <t>(DRG) APLIKACE NEBO VÝMĚNA DPWT DO MEDIASTINA</t>
  </si>
  <si>
    <t>07240</t>
  </si>
  <si>
    <t>(DRG) CHRIRUGICKÁ DRENÁŽ PERIKARDU SUBXYPHOIDEÁLNĚ</t>
  </si>
  <si>
    <t>07126</t>
  </si>
  <si>
    <t>(DRG) OPERACE PRO PORANĚNÍ PRAVÉ KOMORY SRDEČNÍ</t>
  </si>
  <si>
    <t>07242</t>
  </si>
  <si>
    <t>(DRG) PERIKARDEKTOMIE PARCIÁLNÍ PRO KONSTRIKCI NEB</t>
  </si>
  <si>
    <t>07111</t>
  </si>
  <si>
    <t>(DRG) OPERACE PRO PORANĚNÍ HORNÍ NEBO DOLNÍ DUTÉ Ž</t>
  </si>
  <si>
    <t>07110</t>
  </si>
  <si>
    <t>(DRG) PLASTIKA HORNÍ NEBO DOLNÍ DUTÉ ŽÍLY</t>
  </si>
  <si>
    <t>07117</t>
  </si>
  <si>
    <t>(DRG) OPERACE PRO PORANĚNÍ LEVÉ KOMORY SRDEČNÍ</t>
  </si>
  <si>
    <t>78121</t>
  </si>
  <si>
    <t>KAPNOMETRIE PŘI ANESTEZII Á 20 MINUT</t>
  </si>
  <si>
    <t>81135</t>
  </si>
  <si>
    <t>SODÍK STATIM</t>
  </si>
  <si>
    <t>09225</t>
  </si>
  <si>
    <t>KANYLACE CENTRÁLNÍ ŽÍLY ZA KONTROLY CELKOVÉHO STAV</t>
  </si>
  <si>
    <t>81585</t>
  </si>
  <si>
    <t>ACIDOBAZICKÁ ROVNOVÁHA</t>
  </si>
  <si>
    <t>81145</t>
  </si>
  <si>
    <t>DRASLÍK STATIM</t>
  </si>
  <si>
    <t>07543</t>
  </si>
  <si>
    <t>(DRG) PRIMOOPERACE</t>
  </si>
  <si>
    <t>09544</t>
  </si>
  <si>
    <t>REGULAČNÍ POPLATEK ZA KAŽDÝ DEN LŮŽKOVÉ PÉČE -- PO</t>
  </si>
  <si>
    <t>78140</t>
  </si>
  <si>
    <t>ANESTÉZIE U PACIENTA S ASA 3E A VÍCE Á 20 MINUT, P</t>
  </si>
  <si>
    <t>81155</t>
  </si>
  <si>
    <t>GLUKÓZA KVANTITATIVNÍ STANOVENÍ STATIM</t>
  </si>
  <si>
    <t>54990</t>
  </si>
  <si>
    <t>ODBĚR ŽILNÍHO ŠTĚPU</t>
  </si>
  <si>
    <t>78111</t>
  </si>
  <si>
    <t>ANESTÉZIE INTRAVENOZNÍ Á 20 MIN.</t>
  </si>
  <si>
    <t>78820</t>
  </si>
  <si>
    <t>ZAJIŠTĚNÍ DÝCHACÍCH CEST PŘI ANESTEZII</t>
  </si>
  <si>
    <t>00602</t>
  </si>
  <si>
    <t>OD TYPU 02 - PRO NEMOCNICE TYPU 3, (KATEGORIE 6)</t>
  </si>
  <si>
    <t>55230</t>
  </si>
  <si>
    <t>KOMBINOVANÝ CHIRURGICKÝ VÝKON NA SRDCI A HRUDNÍ AO</t>
  </si>
  <si>
    <t>55265</t>
  </si>
  <si>
    <t>ENDOSKOPICKÝ ODBĚR ŽILNÍHO ŠTĚPU (V. SAPHENA MAGNA</t>
  </si>
  <si>
    <t>78210</t>
  </si>
  <si>
    <t>ANALGOSEDACE INTRAVENÓZNÍ</t>
  </si>
  <si>
    <t>51850</t>
  </si>
  <si>
    <t>PŘEVAZ RÁNY METODOU V. A. C. (VACUUM ASISTED CLOSU</t>
  </si>
  <si>
    <t>78810</t>
  </si>
  <si>
    <t>ZAVEDENÁ HYPOTENZE</t>
  </si>
  <si>
    <t>78116</t>
  </si>
  <si>
    <t>ANESTÉZIE S ŘÍZENOU VENTILACÍ Á 20 MIN.</t>
  </si>
  <si>
    <t>07564</t>
  </si>
  <si>
    <t>(DRG) EMERGENTNÍ OPERACE KVCH</t>
  </si>
  <si>
    <t>07562</t>
  </si>
  <si>
    <t>(DRG) PLÁNOVANÁ OPERACE KVCH</t>
  </si>
  <si>
    <t>55220</t>
  </si>
  <si>
    <t>JEDNODUCHÝ VÝKON NA SRDCI - PRIMOOPERACE</t>
  </si>
  <si>
    <t>78117</t>
  </si>
  <si>
    <t>07552</t>
  </si>
  <si>
    <t>(DRG) OPERAČNÍ VÝKON BEZ MIMOTĚLNÍHO OBĚHU</t>
  </si>
  <si>
    <t>55021</t>
  </si>
  <si>
    <t>KOMPLEXNÍ VYŠETŘENÍ KARDIOCHIRURGEM</t>
  </si>
  <si>
    <t>90888</t>
  </si>
  <si>
    <t>55260</t>
  </si>
  <si>
    <t>KREVNÍ KARDIOPLEGIE</t>
  </si>
  <si>
    <t>07563</t>
  </si>
  <si>
    <t>(DRG) URGENTNÍ OPERACE KVCH</t>
  </si>
  <si>
    <t>07544</t>
  </si>
  <si>
    <t>(DRG) PRVNÍ REOPERACE</t>
  </si>
  <si>
    <t>99980</t>
  </si>
  <si>
    <t>(VZP) PACIENT S DIAGNOSTIKOVANÝM POLYTRAUMATEM S I</t>
  </si>
  <si>
    <t>07019</t>
  </si>
  <si>
    <t>(DRG) NÁHRADA AORTÁLNÍ CHLOPNĚ STENTOVANOU BIOLOGI</t>
  </si>
  <si>
    <t>78816</t>
  </si>
  <si>
    <t>REKUPERACE KRVE</t>
  </si>
  <si>
    <t>55250</t>
  </si>
  <si>
    <t>STERNOTOMIE, TORAKOTOMIE</t>
  </si>
  <si>
    <t>07274</t>
  </si>
  <si>
    <t>(DRG) POOPERAČNÍ REVIZE PRO ZÁNĚT NEBO PORUCHU HOJ</t>
  </si>
  <si>
    <t>51011</t>
  </si>
  <si>
    <t>55210</t>
  </si>
  <si>
    <t>VÝKONY NA ZAVŘENÉM SRDCI</t>
  </si>
  <si>
    <t>55255</t>
  </si>
  <si>
    <t>KONTRAPULZACE</t>
  </si>
  <si>
    <t>07273</t>
  </si>
  <si>
    <t>(DRG) POOPERAČNÍ REVIZE PRO KRVÁCENÍ NEBO TAMPONÁD</t>
  </si>
  <si>
    <t>07553</t>
  </si>
  <si>
    <t>(DRG) OPERAČNÍ VÝKON S MIMOTĚLNÍM OBĚHEM, CENTRÁLN</t>
  </si>
  <si>
    <t>07094</t>
  </si>
  <si>
    <t>(DRG) CHIRURGICKÁ ABLACE SÍŇOVÉ ARYTMIE S POMOCÍ K</t>
  </si>
  <si>
    <t>78310</t>
  </si>
  <si>
    <t xml:space="preserve">NEODKLADNÁ KARDIOPULMONÁLNÍ RESUSCITACE ROZŠÍŘENÁ </t>
  </si>
  <si>
    <t>78320</t>
  </si>
  <si>
    <t>54340</t>
  </si>
  <si>
    <t>TEPENNÁ EMBOLEKTOMIE, TROMBEKTOMIE</t>
  </si>
  <si>
    <t>07559</t>
  </si>
  <si>
    <t>(DRG) KRYSTALOIDNÍ KARDIOPLEGIE JAKO SOUČÁST JINÉH</t>
  </si>
  <si>
    <t>55215</t>
  </si>
  <si>
    <t>MECHANICKÁ SRDEČNÍ PODPORA</t>
  </si>
  <si>
    <t>07418</t>
  </si>
  <si>
    <t>(VZP) TROMBECTOMIE  A. FEMORALIS A JEJÍCH VĚTVÍ</t>
  </si>
  <si>
    <t>07258</t>
  </si>
  <si>
    <t>(DRG) ZAVEDENÍ ECMO, PERIFERNÍ KANYLACE</t>
  </si>
  <si>
    <t>07018</t>
  </si>
  <si>
    <t>(DRG) NÁHRADA AORTÁLNÍ CHLOPNĚ MECHANICKOU PROTÉZO</t>
  </si>
  <si>
    <t>07003</t>
  </si>
  <si>
    <t>(DRG) AORTOKORONÁRNÍ BYPASS VÍCENÁSOBNÝ - PLNĚ TEP</t>
  </si>
  <si>
    <t>07233</t>
  </si>
  <si>
    <t>07514</t>
  </si>
  <si>
    <t>(VZP) ODBĚR A PŘÍPRAVA ŽILNÍHO ŠTĚPU Z POVRCHOVÝCH</t>
  </si>
  <si>
    <t>07548</t>
  </si>
  <si>
    <t>(DRG) LAPAROSKOPICKÝ NEBO TORAKOSKOPICKÝ PŘÍSTUP</t>
  </si>
  <si>
    <t>07004</t>
  </si>
  <si>
    <t>07554</t>
  </si>
  <si>
    <t>(DRG) OPERAČNÍ VÝKON S MIMOTĚLNÍM OBĚHEM, PERIFERN</t>
  </si>
  <si>
    <t>07164</t>
  </si>
  <si>
    <t>(DRG) NÁHRADA ASCENDENTNÍ AORTY PROTÉZOU</t>
  </si>
  <si>
    <t>55221</t>
  </si>
  <si>
    <t>JEDNODUCHÝ VÝKON NA SRDCI - REOPERACE</t>
  </si>
  <si>
    <t>07234</t>
  </si>
  <si>
    <t>07048</t>
  </si>
  <si>
    <t xml:space="preserve">(DRG) PLASTIKA TRIKUSPIDÁLNÍ CHLOPNĚ S IMPLANTACÍ </t>
  </si>
  <si>
    <t>55231</t>
  </si>
  <si>
    <t>07024</t>
  </si>
  <si>
    <t>(DRG) NÁHRADA AORTÁLNÍ CHLOPNĚ A KOŘENE AORTY A PŘ</t>
  </si>
  <si>
    <t>07190</t>
  </si>
  <si>
    <t>(DRG) REVIZE VÝKONU NA DESCENDENTNÍ AORTĚ PRO KRVÁ</t>
  </si>
  <si>
    <t>07157</t>
  </si>
  <si>
    <t>(DRG) NÁHRADA ASCENDENTNÍ AORTY A OBLOUKU PROTÉZOU</t>
  </si>
  <si>
    <t>07013</t>
  </si>
  <si>
    <t>(DRG) PLASTIKA LÍSTKŮ AORTÁLNÍ CHLOPNĚ</t>
  </si>
  <si>
    <t>07098</t>
  </si>
  <si>
    <t>(DRG) RESEKCE NÁDORU SÍNÍ NEBO MEZISÍŇOVÉ PŘEPÁŽKY</t>
  </si>
  <si>
    <t>07040</t>
  </si>
  <si>
    <t>(DRG) PLASTIKA MITRÁLNÍ CHLOPNĚ S IMPLANTACÍ PRSTE</t>
  </si>
  <si>
    <t>07161</t>
  </si>
  <si>
    <t>(DRG) STENTING DESCENDENTNÍ AORTY PRO AKUTNÍ DISEK</t>
  </si>
  <si>
    <t>07558</t>
  </si>
  <si>
    <t>(DRG) HLUBOKÁ HYPOTERMIE A CIRKULAČNÍ ZÁSTAVA S AN</t>
  </si>
  <si>
    <t>5F6</t>
  </si>
  <si>
    <t>56119</t>
  </si>
  <si>
    <t>DEKOMPRESIVNÍ KRANIEKTOMIE</t>
  </si>
  <si>
    <t>56163</t>
  </si>
  <si>
    <t>ZEVNÍ KOMOROVÁ DRENÁŽ NEBO ZAVEDENÍ ČIDLA NA MĚŘEN</t>
  </si>
  <si>
    <t>56419</t>
  </si>
  <si>
    <t>POUŽITÍ OPERAČNÍHO MIKROSKOPU Á 15 MINUT</t>
  </si>
  <si>
    <t>65513</t>
  </si>
  <si>
    <t>PŘÍPRAVA FASCIÁLNÍHO A PERIKRANIÁLNÍHO LALOKU K RE</t>
  </si>
  <si>
    <t>66313</t>
  </si>
  <si>
    <t xml:space="preserve">DELIBERACE - ODSTRANĚNÍ ÚTLAKU - DURÁLNÍHO VAKU A </t>
  </si>
  <si>
    <t>66319</t>
  </si>
  <si>
    <t>RESEKCE JINÉ NS ČÁSTI OBRATLE - INTERVERTEBRÁLNÍHO</t>
  </si>
  <si>
    <t>66323</t>
  </si>
  <si>
    <t>PŘEDNÍ RESEKCE OBRATLOVÉHO TĚLA - SOMATEKTOMIE - I</t>
  </si>
  <si>
    <t>66329</t>
  </si>
  <si>
    <t>FŮZE PÁTEŘE - STANDARDNÍ - PŘEDNÍ - INTERSOMATICKÁ</t>
  </si>
  <si>
    <t>66335</t>
  </si>
  <si>
    <t xml:space="preserve">OPERAČNÍ PŘÍSTUP NA PÁTEŘ - STANDARDNÍ - PŘEDNÍ - </t>
  </si>
  <si>
    <t>66315</t>
  </si>
  <si>
    <t xml:space="preserve">INSTRUMENTACE C, T, L, S PÁTEŘE - PŘEDNÍ I ZADNÍ, </t>
  </si>
  <si>
    <t>66337</t>
  </si>
  <si>
    <t xml:space="preserve">OPERAČNÍ PŘÍSTUP K PÁTEŘI - STANDARDNÍ - PŘEDNÍ - </t>
  </si>
  <si>
    <t>56151</t>
  </si>
  <si>
    <t>TREPANACE PRO EXTRACEREBRÁLNÍ HEMATOM NEBO KRANIOT</t>
  </si>
  <si>
    <t>66815</t>
  </si>
  <si>
    <t>AUTOGENNÍ ŠTĚP</t>
  </si>
  <si>
    <t>5T5</t>
  </si>
  <si>
    <t>0011592</t>
  </si>
  <si>
    <t>METRONIDAZOL B. BRAUN 5 MG/ML</t>
  </si>
  <si>
    <t>0011785</t>
  </si>
  <si>
    <t>AMIKIN 1 G</t>
  </si>
  <si>
    <t>0026902</t>
  </si>
  <si>
    <t>VFEND 200 MG</t>
  </si>
  <si>
    <t>0031547</t>
  </si>
  <si>
    <t>0056801</t>
  </si>
  <si>
    <t>HAEMOCOMPLETTAN P</t>
  </si>
  <si>
    <t>0083417</t>
  </si>
  <si>
    <t>MERONEM 1 G</t>
  </si>
  <si>
    <t>0094155</t>
  </si>
  <si>
    <t>ABAKTAL 400 MG/5 ML</t>
  </si>
  <si>
    <t>0162180</t>
  </si>
  <si>
    <t>CIPROFLOXACIN KABI 200 MG/100 ML INFUZNÍ ROZTOK</t>
  </si>
  <si>
    <t>0164350</t>
  </si>
  <si>
    <t>TAZOCIN 4 G/0,5 G</t>
  </si>
  <si>
    <t>0107931</t>
  </si>
  <si>
    <t>Trombocyty z aferézy</t>
  </si>
  <si>
    <t>0005606</t>
  </si>
  <si>
    <t>NÁVLEK NA OPMI, TYP 71                      306071</t>
  </si>
  <si>
    <t>0026139</t>
  </si>
  <si>
    <t>KANYLA TRACHEOSTOMICKÁ VOCALAID S NÍZKOTLAKOU MANŽ</t>
  </si>
  <si>
    <t>0043970</t>
  </si>
  <si>
    <t>SYSTÉM MONITOROVACÍ INTRAKRANIÁLNÍ TKÁŇOVÁ O2 NERO</t>
  </si>
  <si>
    <t>0043979</t>
  </si>
  <si>
    <t>ČIDLO PRO MĚŘENÍ NITROLEBNÍHO TLAKU NEUROVENT</t>
  </si>
  <si>
    <t>0043984</t>
  </si>
  <si>
    <t>0048591</t>
  </si>
  <si>
    <t>0048989</t>
  </si>
  <si>
    <t>ELEKTRODA KOAGULAČNÍ JEDNORÁZOVÁ GN211</t>
  </si>
  <si>
    <t>0053801</t>
  </si>
  <si>
    <t>ECMO - OXYGENÁTOR,PLS-SYSTÉM DLOUHODOBÉ ŽIVOTNÍ PO</t>
  </si>
  <si>
    <t>0056292</t>
  </si>
  <si>
    <t>KATETR BALONKOVÝ FOGARTY 120805F</t>
  </si>
  <si>
    <t>0059424</t>
  </si>
  <si>
    <t xml:space="preserve">KATETR TERMODILUČNÍ 744HF75 746HF8 (ZMĚŘENÍ TLAKU </t>
  </si>
  <si>
    <t>0067891</t>
  </si>
  <si>
    <t>IMPLANTÁT SPINÁL.NÁHRADA MEZIOBRATLOVÁ FUSION    K</t>
  </si>
  <si>
    <t>0068667</t>
  </si>
  <si>
    <t>IMPLANTÁT SPINÁLNÍ SYSTÉM VECTRA                 K</t>
  </si>
  <si>
    <t>0068670</t>
  </si>
  <si>
    <t>0058516</t>
  </si>
  <si>
    <t>PROTÉZA CÉVNÍ</t>
  </si>
  <si>
    <t>0048852</t>
  </si>
  <si>
    <t>00651</t>
  </si>
  <si>
    <t>OD TYPU 51 - PRO NEMOCNICE TYPU 3, (KATEGORIE 6) -</t>
  </si>
  <si>
    <t>00655</t>
  </si>
  <si>
    <t>OD TYPU 55 - PRO NEMOCNICE TYPU 3, (KATEGORIE 6) -</t>
  </si>
  <si>
    <t>78813</t>
  </si>
  <si>
    <t>CVVH - KONTINUÁLNÍ VENOVENÓZNÍ HEMOFILTRACE</t>
  </si>
  <si>
    <t>90902</t>
  </si>
  <si>
    <t xml:space="preserve">(DRG) DOBA TRVÁNÍ UMĚLÉ PLICNÍ VENTILACE VÍCE NEŽ </t>
  </si>
  <si>
    <t>99981</t>
  </si>
  <si>
    <t xml:space="preserve">(VZP) PACIENT HOSPITALIZOVANÝ V LŮŽKOVÉM ZAŘÍZENÍ </t>
  </si>
  <si>
    <t>90903</t>
  </si>
  <si>
    <t>00658</t>
  </si>
  <si>
    <t>OD TYPU 58 - PRO NEMOCNICE TYPU 3, (KATEGORIE 6) -</t>
  </si>
  <si>
    <t>00653</t>
  </si>
  <si>
    <t>OD TYPU 53 - PRO NEMOCNICE TYPU 3, (KATEGORIE 6) -</t>
  </si>
  <si>
    <t>00657</t>
  </si>
  <si>
    <t>OD TYPU 57 - PRO NEMOCNICE TYPU 3, (KATEGORIE 6) -</t>
  </si>
  <si>
    <t>90904</t>
  </si>
  <si>
    <t>00652</t>
  </si>
  <si>
    <t>OD TYPU 52 - PRO NEMOCNICE TYPU 3, (KATEGORIE 6) -</t>
  </si>
  <si>
    <t>90905</t>
  </si>
  <si>
    <t>708</t>
  </si>
  <si>
    <t>59</t>
  </si>
  <si>
    <t>Zdravotní výkony vykázané na pracovišti pro pacienty hospitalizované ve FNOL - orientační přehled</t>
  </si>
  <si>
    <t>00100</t>
  </si>
  <si>
    <t>A</t>
  </si>
  <si>
    <t xml:space="preserve">DLOUHODOBÁ MECHANICKÁ VENTILACE &gt; 504 HODIN (22-42 DNÍ) S EKONOMICKY NÁROČNÝM VÝKONEM               </t>
  </si>
  <si>
    <t>00122</t>
  </si>
  <si>
    <t xml:space="preserve">DLOUHODOBÁ MECHANICKÁ VENTILACE &gt; 240 HODIN (11-21 DNÍ) S EKONOMICKY NÁROČNÝM VÝKONEM S CC          </t>
  </si>
  <si>
    <t>00123</t>
  </si>
  <si>
    <t xml:space="preserve">DLOUHODOBÁ MECHANICKÁ VENTILACE &gt; 240 HODIN (11-21 DNÍ) S EKONOMICKY NÁROČNÝM VÝKONEM S MCC         </t>
  </si>
  <si>
    <t>00133</t>
  </si>
  <si>
    <t xml:space="preserve">DLOUHODOBÁ MECHANICKÁ VENTILACE &gt; 96 HODIN (5-10 DNÍ) S EKONOMICKY NÁROČNÝM VÝKONEM S MCC           </t>
  </si>
  <si>
    <t>04331</t>
  </si>
  <si>
    <t xml:space="preserve">ZÁVAŽNÉ TRAUMA HRUDNÍKU BEZ CC                                                                      </t>
  </si>
  <si>
    <t>05000</t>
  </si>
  <si>
    <t xml:space="preserve">ÚMRTÍ DO 5 DNÍ OD PŘÍJMU PŘI HLAVNÍ DIAGNÓZE OBĚHOVÉHO SYSTÉMU                                      </t>
  </si>
  <si>
    <t>05012</t>
  </si>
  <si>
    <t xml:space="preserve">SRDEČNÍ DEFIBRILÁTOR A IMPLANTÁT PRO PODPORU FUNKCE SRDCE S CC                                      </t>
  </si>
  <si>
    <t>05013</t>
  </si>
  <si>
    <t xml:space="preserve">SRDEČNÍ DEFIBRILÁTOR A IMPLANTÁT PRO PODPORU FUNKCE SRDCE S MCC                                     </t>
  </si>
  <si>
    <t>05021</t>
  </si>
  <si>
    <t xml:space="preserve">VÝKONY NA SRDEČNÍ CHLOPNI SE SRDEČNÍ KATETRIZACÍ BEZ CC                                             </t>
  </si>
  <si>
    <t>05022</t>
  </si>
  <si>
    <t xml:space="preserve">VÝKONY NA SRDEČNÍ CHLOPNI SE SRDEČNÍ KATETRIZACÍ S CC                                               </t>
  </si>
  <si>
    <t>05023</t>
  </si>
  <si>
    <t xml:space="preserve">VÝKONY NA SRDEČNÍ CHLOPNI SE SRDEČNÍ KATETRIZACÍ S MCC                                              </t>
  </si>
  <si>
    <t>05041</t>
  </si>
  <si>
    <t xml:space="preserve">VÝKONY NA SRDEČNÍ CHLOPNI BEZ SRDEČNÍ KATETRIZACE BEZ CC                                            </t>
  </si>
  <si>
    <t>05042</t>
  </si>
  <si>
    <t xml:space="preserve">VÝKONY NA SRDEČNÍ CHLOPNI BEZ SRDEČNÍ KATETRIZACE S CC                                              </t>
  </si>
  <si>
    <t>05043</t>
  </si>
  <si>
    <t xml:space="preserve">VÝKONY NA SRDEČNÍ CHLOPNI BEZ SRDEČNÍ KATETRIZACE S MCC                                             </t>
  </si>
  <si>
    <t>05051</t>
  </si>
  <si>
    <t xml:space="preserve">KORONÁRNÍ BYPASS SE SRDEČNÍ KATETRIZACÍ BEZ CC                                                      </t>
  </si>
  <si>
    <t>05052</t>
  </si>
  <si>
    <t xml:space="preserve">KORONÁRNÍ BYPASS SE SRDEČNÍ KATETRIZACÍ S CC                                                        </t>
  </si>
  <si>
    <t>05053</t>
  </si>
  <si>
    <t xml:space="preserve">KORONÁRNÍ BYPASS SE SRDEČNÍ KATETRIZACÍ S MCC                                                       </t>
  </si>
  <si>
    <t>05061</t>
  </si>
  <si>
    <t xml:space="preserve">KORONÁRNÍ BYPASS BEZ SRDEČNÍ KATETRIZACE BEZ CC                                                     </t>
  </si>
  <si>
    <t>05062</t>
  </si>
  <si>
    <t xml:space="preserve">KORONÁRNÍ BYPASS BEZ SRDEČNÍ KATETRIZACE S CC                                                       </t>
  </si>
  <si>
    <t>05063</t>
  </si>
  <si>
    <t xml:space="preserve">KORONÁRNÍ BYPASS BEZ SRDEČNÍ KATETRIZACE S MCC                                                      </t>
  </si>
  <si>
    <t>05102</t>
  </si>
  <si>
    <t xml:space="preserve">JINÉ PERKUTÁNNÍ KARDIOVASKULÁRNÍ VÝKONY PŘI AKUTNÍM INFARKTU MYOKARDU S CC                          </t>
  </si>
  <si>
    <t>05112</t>
  </si>
  <si>
    <t xml:space="preserve">IMPLANTACE TRVALÉHO KARDIOSTIMULÁTORU BEZ AKUTNÍHO INFARKTU MYOKARDU. SELHÁNÍ SRDCE NEBO ŠOKU S CC  </t>
  </si>
  <si>
    <t>05122</t>
  </si>
  <si>
    <t xml:space="preserve">VELKÉ HRUDNÍ VASKULÁRNÍ VÝKONY S CC                                                                 </t>
  </si>
  <si>
    <t>05123</t>
  </si>
  <si>
    <t xml:space="preserve">VELKÉ HRUDNÍ VASKULÁRNÍ VÝKONY S MCC                                                                </t>
  </si>
  <si>
    <t>05231</t>
  </si>
  <si>
    <t xml:space="preserve">PERKUTÁNNÍ KORONÁRNÍ ANGIOPLASTIKA. &lt;=2 POTAHOVANÉ STENTY PŘI AKUTNÍM INFARKTU MYOKARDU BEZ CC      </t>
  </si>
  <si>
    <t>05302</t>
  </si>
  <si>
    <t xml:space="preserve">SRDEČNÍ KATETRIZACE PŘI AKUTNÍM INFARKTU MYOKARDU S CC                                              </t>
  </si>
  <si>
    <t>05321</t>
  </si>
  <si>
    <t xml:space="preserve">SRDEČNÍ KATETRIZACE PŘI JINÝCH PORUCHÁCH OBĚHOVÉHO SYSTÉMU BEZ CC                                   </t>
  </si>
  <si>
    <t>05322</t>
  </si>
  <si>
    <t xml:space="preserve">SRDEČNÍ KATETRIZACE PŘI JINÝCH PORUCHÁCH OBĚHOVÉHO SYSTÉMU S CC                                     </t>
  </si>
  <si>
    <t>05332</t>
  </si>
  <si>
    <t xml:space="preserve">AKUTNÍ INFARKT MYOKARDU S CC                                                                        </t>
  </si>
  <si>
    <t>05351</t>
  </si>
  <si>
    <t xml:space="preserve">SRDEČNÍ SELHÁNÍ BEZ CC                                                                              </t>
  </si>
  <si>
    <t>05352</t>
  </si>
  <si>
    <t xml:space="preserve">SRDEČNÍ SELHÁNÍ S CC                                                                                </t>
  </si>
  <si>
    <t>05381</t>
  </si>
  <si>
    <t xml:space="preserve">PERIFERNÍ A JINÉ VASKULÁRNÍ PORUCHY BEZ CC                                                          </t>
  </si>
  <si>
    <t>05391</t>
  </si>
  <si>
    <t xml:space="preserve">ATEROSKLERÓZA BEZ CC                                                                                </t>
  </si>
  <si>
    <t>05392</t>
  </si>
  <si>
    <t xml:space="preserve">ATEROSKLERÓZA S CC                                                                                  </t>
  </si>
  <si>
    <t>05411</t>
  </si>
  <si>
    <t xml:space="preserve">VROZENÉ SRDEČNÍ A CHLOPENNÍ PORUCHY BEZ CC                                                          </t>
  </si>
  <si>
    <t>05412</t>
  </si>
  <si>
    <t xml:space="preserve">VROZENÉ SRDEČNÍ A CHLOPENNÍ PORUCHY S CC                                                            </t>
  </si>
  <si>
    <t>05421</t>
  </si>
  <si>
    <t xml:space="preserve">SRDEČNÍ ARYTMIE A PORUCHY VEDENÍ BEZ CC                                                             </t>
  </si>
  <si>
    <t>05422</t>
  </si>
  <si>
    <t xml:space="preserve">SRDEČNÍ ARYTMIE A PORUCHY VEDENÍ S CC                                                               </t>
  </si>
  <si>
    <t>05471</t>
  </si>
  <si>
    <t xml:space="preserve">JINÉ PORUCHY OBĚHOVÉHO SYSTÉMU BEZ CC                                                               </t>
  </si>
  <si>
    <t>05472</t>
  </si>
  <si>
    <t xml:space="preserve">JINÉ PORUCHY OBĚHOVÉHO SYSTÉMU S CC                                                                 </t>
  </si>
  <si>
    <t>18021</t>
  </si>
  <si>
    <t xml:space="preserve">VÝKONY PRO POOPERAČNÍ A POÚRAZOVÉ INFEKCE BEZ CC                                                    </t>
  </si>
  <si>
    <t>18022</t>
  </si>
  <si>
    <t xml:space="preserve">VÝKONY PRO POOPERAČNÍ A POÚRAZOVÉ INFEKCE S CC                                                      </t>
  </si>
  <si>
    <t>88872</t>
  </si>
  <si>
    <t xml:space="preserve">ROZSÁHLÉ VÝKONY. KTERÉ SE NETÝKAJÍ HLAVNÍ DIAGNÓZY S CC                                             </t>
  </si>
  <si>
    <t>Porovnání jednotlivých IR DRG skupin</t>
  </si>
  <si>
    <t>08 - PORODNICKO-GYNEKOLOGICKÁ KLINIKA</t>
  </si>
  <si>
    <t>10 - DĚTSKÁ KLINIKA</t>
  </si>
  <si>
    <t>22 - KLINIKA NUKLEÁRNÍ MEDICÍNY</t>
  </si>
  <si>
    <t>32 - HEMATO-ONKOLOGICKÁ KLINIKA</t>
  </si>
  <si>
    <t>33 - ODDĚLENÍ KLINICKÉ BIOCHEMIE</t>
  </si>
  <si>
    <t>34 - KLINIKA RADIOLOGICKÁ</t>
  </si>
  <si>
    <t>35 - TRANSFÚZNÍ ODDĚLENÍ</t>
  </si>
  <si>
    <t>37 - ÚSTAV PATOLOGIE</t>
  </si>
  <si>
    <t>40 - ÚSTAV MIKROBIOLOGIE</t>
  </si>
  <si>
    <t>41 - ÚSTAV IMUNOLOGIE</t>
  </si>
  <si>
    <t>08</t>
  </si>
  <si>
    <t>603</t>
  </si>
  <si>
    <t>82056</t>
  </si>
  <si>
    <t>MIKROSKOPICKÉ STANOVENÍ MIKROBIÁLNÍHO OBRAZU POŠEV</t>
  </si>
  <si>
    <t>10</t>
  </si>
  <si>
    <t>816</t>
  </si>
  <si>
    <t>94119</t>
  </si>
  <si>
    <t>IZOLACE A UCHOVÁNÍ LIDSKÉ DNA (RNA)</t>
  </si>
  <si>
    <t>94115</t>
  </si>
  <si>
    <t>IN SITU HYBRIDIZACE LIDSKÉ DNA SE ZNAČENOU SONDOU</t>
  </si>
  <si>
    <t>94123</t>
  </si>
  <si>
    <t>PCR ANALÝZA LIDSKÉ DNA</t>
  </si>
  <si>
    <t>205</t>
  </si>
  <si>
    <t>87447</t>
  </si>
  <si>
    <t>CYTOLOGICKÉ PREPARÁTY ZHOTOVENÉ CYTOCENTRIFUGOU</t>
  </si>
  <si>
    <t>87525</t>
  </si>
  <si>
    <t>STANOVENÍ CYTOLOGICKÉ DIAGNÓZY III. STUPNĚ OBTÍŽNO</t>
  </si>
  <si>
    <t>87439</t>
  </si>
  <si>
    <t>SPECIÁLNÍ CYTOLOGICKÉ BARVENÍ - 1-3  PREPARÁTY,  J</t>
  </si>
  <si>
    <t>87449</t>
  </si>
  <si>
    <t xml:space="preserve">SCREENINGOVÉ ODEČÍTÁNÍ CYTOLOGICKÝCH NÁLEZŮ (ZA 1 </t>
  </si>
  <si>
    <t>22</t>
  </si>
  <si>
    <t>0002027</t>
  </si>
  <si>
    <t>99mTc-MIBI inj.</t>
  </si>
  <si>
    <t>47023</t>
  </si>
  <si>
    <t>KONTROLNÍ VYŠETŘENÍ LÉKAŘEM SE SPECIALIZOVANOU ZPŮ</t>
  </si>
  <si>
    <t>47269</t>
  </si>
  <si>
    <t>TOMOGRAFICKÁ SCINTIGRAFIE - SPECT</t>
  </si>
  <si>
    <t>47273</t>
  </si>
  <si>
    <t>KVANTIFIKACE DYNAMICKÝCH A TOMOGRAFICKÝCH SCINTIGR</t>
  </si>
  <si>
    <t>32</t>
  </si>
  <si>
    <t>818</t>
  </si>
  <si>
    <t>96157</t>
  </si>
  <si>
    <t>STANOVENÍ HEPARINOVÝCH JEDNOTEK ANTI XA</t>
  </si>
  <si>
    <t>96167</t>
  </si>
  <si>
    <t>KREVNÍ OBRAZ S PĚTI POPULAČNÍM DIFERENCIÁLNÍM POČT</t>
  </si>
  <si>
    <t>96321</t>
  </si>
  <si>
    <t>POČET TROMBOCYTŮ MIKROSKOPICKY</t>
  </si>
  <si>
    <t>96617</t>
  </si>
  <si>
    <t>TROMBINOVÝ ČAS</t>
  </si>
  <si>
    <t>96621</t>
  </si>
  <si>
    <t>AKTIVOVANÝ PARTIALNÍ TROMBOPLASTINOVÝ TEST (APTT)</t>
  </si>
  <si>
    <t>96711</t>
  </si>
  <si>
    <t>PANOPTICKÉ OBARVENÍ NÁTĚRU PERIFERNÍ KRVE NEBO ASP</t>
  </si>
  <si>
    <t>96847</t>
  </si>
  <si>
    <t>FIBRIN/FIBRINOGEN DEGRADAČNÍ PRODUKTY SEMIKVANTITA</t>
  </si>
  <si>
    <t>96857</t>
  </si>
  <si>
    <t>STANOVENÍ POČTU RETIKULOCYTŮ NA AUTOMATICKÉM ANALY</t>
  </si>
  <si>
    <t>96881</t>
  </si>
  <si>
    <t>AGREGAČNÍ TEST NA HEPARINEM INDUKOVANOU TROMBOCYTO</t>
  </si>
  <si>
    <t>96315</t>
  </si>
  <si>
    <t>ANALÝZA KREVNÍHO NÁTĚRU PANOPTICKY OBARVENÉHO. IND</t>
  </si>
  <si>
    <t>96813</t>
  </si>
  <si>
    <t>ANTITROMBIN III, CHROMOGENNÍ METODOU (SÉRIE)</t>
  </si>
  <si>
    <t>96515</t>
  </si>
  <si>
    <t>FIBRIN DEGRADAČNÍ PRODUKTY KVANTITATIVNĚ</t>
  </si>
  <si>
    <t>96325</t>
  </si>
  <si>
    <t>FIBRINOGEN (SÉRIE)</t>
  </si>
  <si>
    <t>96863</t>
  </si>
  <si>
    <t>STANOVENÍ POČTU ERYTROBLASTŮ NA AUTOMATICKÉM ANALY</t>
  </si>
  <si>
    <t>33</t>
  </si>
  <si>
    <t>801</t>
  </si>
  <si>
    <t>81111</t>
  </si>
  <si>
    <t>A L T  STATIM</t>
  </si>
  <si>
    <t>81117</t>
  </si>
  <si>
    <t>AMYLASA (SÉRUM, MOČ) STATIM</t>
  </si>
  <si>
    <t>81121</t>
  </si>
  <si>
    <t>BILIRUBIN CELKOVÝ STATIM</t>
  </si>
  <si>
    <t>81137</t>
  </si>
  <si>
    <t>UREA STATIM</t>
  </si>
  <si>
    <t>81147</t>
  </si>
  <si>
    <t>FOSFATÁZA ALKALICKÁ STATIM</t>
  </si>
  <si>
    <t>81157</t>
  </si>
  <si>
    <t>CHLORIDY STATIM</t>
  </si>
  <si>
    <t>81161</t>
  </si>
  <si>
    <t>AMYLÁZA PANKREATICKÁ STATIM</t>
  </si>
  <si>
    <t>81167</t>
  </si>
  <si>
    <t>KREATINKINÁZA IZOENZYMY (CK-MB) STATIM</t>
  </si>
  <si>
    <t>81227</t>
  </si>
  <si>
    <t>PROSTATICKÝ SPECIFICKÝ ANTIGEN (PSA) - VOLNÝ</t>
  </si>
  <si>
    <t>81237</t>
  </si>
  <si>
    <t>TROPONIN - T NEBO I ELISA</t>
  </si>
  <si>
    <t>81397</t>
  </si>
  <si>
    <t>ELEKTROFORÉZA PROTEINŮ (SÉRUM)</t>
  </si>
  <si>
    <t>81427</t>
  </si>
  <si>
    <t>FOSFOR ANORGANICKÝ</t>
  </si>
  <si>
    <t>81481</t>
  </si>
  <si>
    <t>AMYLÁZA PANKREATICKÁ</t>
  </si>
  <si>
    <t>81527</t>
  </si>
  <si>
    <t>CHOLESTEROL LDL</t>
  </si>
  <si>
    <t>81641</t>
  </si>
  <si>
    <t>ŽELEZO CELKOVÉ</t>
  </si>
  <si>
    <t>81721</t>
  </si>
  <si>
    <t>IMUNOTURBIDIMETRICKÉ A/NEBO IMUNONEFELOMETRICKÉ ST</t>
  </si>
  <si>
    <t>81731</t>
  </si>
  <si>
    <t>STANOVENÍ NATRIURETICKÝCH PEPTIDŮ V SÉRU A V PLAZM</t>
  </si>
  <si>
    <t>91171</t>
  </si>
  <si>
    <t>STANOVENÍ IgG ELISA</t>
  </si>
  <si>
    <t>91481</t>
  </si>
  <si>
    <t>STANOVENÍ KONCENTRACE PROCALCITONINU</t>
  </si>
  <si>
    <t>93151</t>
  </si>
  <si>
    <t>FERRITIN</t>
  </si>
  <si>
    <t>93171</t>
  </si>
  <si>
    <t>PARATHORMON</t>
  </si>
  <si>
    <t>93187</t>
  </si>
  <si>
    <t>TYROXIN CELKOVÝ (TT4)</t>
  </si>
  <si>
    <t>93231</t>
  </si>
  <si>
    <t>TYREOGLOBULIN AUTOPROTILÁTKY</t>
  </si>
  <si>
    <t>81473</t>
  </si>
  <si>
    <t>CHOLESTEROL HDL</t>
  </si>
  <si>
    <t>81563</t>
  </si>
  <si>
    <t>OSMOLALITA (SÉRUM, MOČ)</t>
  </si>
  <si>
    <t>93189</t>
  </si>
  <si>
    <t>TYROXIN VOLNÝ (FT4)</t>
  </si>
  <si>
    <t>93245</t>
  </si>
  <si>
    <t>TRIJODTYRONIN VOLNÝ (FT3)</t>
  </si>
  <si>
    <t>91153</t>
  </si>
  <si>
    <t>STANOVENÍ  C - REAKTIVNÍHO PROTEINU</t>
  </si>
  <si>
    <t>81153</t>
  </si>
  <si>
    <t>GAMA-GLUTAMYLTRANSFERÁZA (GMT) STATIM</t>
  </si>
  <si>
    <t>81113</t>
  </si>
  <si>
    <t>A S T  STATIM</t>
  </si>
  <si>
    <t>93225</t>
  </si>
  <si>
    <t>PROSTATICKÝ SPECIFICKÝ ANTIGEN (PSA)</t>
  </si>
  <si>
    <t>81169</t>
  </si>
  <si>
    <t>KREATININ STATIM</t>
  </si>
  <si>
    <t>81143</t>
  </si>
  <si>
    <t>LAKTÁTDEHYDROGENÁZA STATIM</t>
  </si>
  <si>
    <t>81495</t>
  </si>
  <si>
    <t>KREATINKINÁZA (CK)</t>
  </si>
  <si>
    <t>81449</t>
  </si>
  <si>
    <t>GLYKOVANÝ HEMOGLOBIN</t>
  </si>
  <si>
    <t>81149</t>
  </si>
  <si>
    <t>FOSFOR ANORGANICKÝ STATIM</t>
  </si>
  <si>
    <t>81173</t>
  </si>
  <si>
    <t>LIPÁZA STATIM</t>
  </si>
  <si>
    <t>93195</t>
  </si>
  <si>
    <t>TYREOTROPIN (TSH)</t>
  </si>
  <si>
    <t>93213</t>
  </si>
  <si>
    <t>VITAMIN B12</t>
  </si>
  <si>
    <t>81329</t>
  </si>
  <si>
    <t>ALBUMIN (SÉRUM)</t>
  </si>
  <si>
    <t>81115</t>
  </si>
  <si>
    <t>ALBUMIN SÉRUM (STATIM)</t>
  </si>
  <si>
    <t>93115</t>
  </si>
  <si>
    <t>FOLÁTY</t>
  </si>
  <si>
    <t>81345</t>
  </si>
  <si>
    <t>AMYLÁZA</t>
  </si>
  <si>
    <t>81139</t>
  </si>
  <si>
    <t>VÁPNÍK CELKOVÝ STATIM</t>
  </si>
  <si>
    <t>81363</t>
  </si>
  <si>
    <t>BILIRUBIN KONJUGOVANÝ</t>
  </si>
  <si>
    <t>81625</t>
  </si>
  <si>
    <t>VÁPNÍK CELKOVÝ</t>
  </si>
  <si>
    <t>81465</t>
  </si>
  <si>
    <t>HOŘČÍK</t>
  </si>
  <si>
    <t>81533</t>
  </si>
  <si>
    <t>LIPÁZA</t>
  </si>
  <si>
    <t>93199</t>
  </si>
  <si>
    <t>TYREOGLOBULIN (TG)</t>
  </si>
  <si>
    <t>81629</t>
  </si>
  <si>
    <t>VAZEBNÁ KAPACITA ŽELEZA</t>
  </si>
  <si>
    <t>81369</t>
  </si>
  <si>
    <t>BÍLKOVINA KVANTITATIVNĚ (MOČ, MOZKOM. MOK, VÝPOTEK</t>
  </si>
  <si>
    <t>81125</t>
  </si>
  <si>
    <t>BÍLKOVINY CELKOVÉ (SÉRUM) STATIM</t>
  </si>
  <si>
    <t>93125</t>
  </si>
  <si>
    <t>ALDOSTERON</t>
  </si>
  <si>
    <t>81423</t>
  </si>
  <si>
    <t>FOSFATÁZA ALKALICKÁ IZOENZYMY</t>
  </si>
  <si>
    <t>81123</t>
  </si>
  <si>
    <t>BILIRUBIN KONJUGOVANÝ STATIM</t>
  </si>
  <si>
    <t>81475</t>
  </si>
  <si>
    <t>CHOLINESTERÁZA</t>
  </si>
  <si>
    <t>93185</t>
  </si>
  <si>
    <t>TRIJODTYRONIN CELKOVÝ (TT3)</t>
  </si>
  <si>
    <t>93135</t>
  </si>
  <si>
    <t>MYOGLOBIN V SÉRII</t>
  </si>
  <si>
    <t>81165</t>
  </si>
  <si>
    <t>KREATINKINÁZA (CK) STATIM</t>
  </si>
  <si>
    <t>81239</t>
  </si>
  <si>
    <t>ANALÝZA MOČE MIKROSKOPICKY VE FÁZOVÉM KONTRASTU</t>
  </si>
  <si>
    <t>81733</t>
  </si>
  <si>
    <t>KVANTITATIVNÍ STANOVENÍ KRVE VE STOLICI NA ANALYZÁ</t>
  </si>
  <si>
    <t>93179</t>
  </si>
  <si>
    <t>PLAZMATICKÁ RENINOVÁ AKTIVITA (PRA)</t>
  </si>
  <si>
    <t>813</t>
  </si>
  <si>
    <t>94215</t>
  </si>
  <si>
    <t>DOT BLOTTING DNA</t>
  </si>
  <si>
    <t>34</t>
  </si>
  <si>
    <t>809</t>
  </si>
  <si>
    <t>0003132</t>
  </si>
  <si>
    <t>GADOVIST 1,0 MMOL/ML</t>
  </si>
  <si>
    <t>0003134</t>
  </si>
  <si>
    <t>0022075</t>
  </si>
  <si>
    <t>IOMERON 400</t>
  </si>
  <si>
    <t>0042433</t>
  </si>
  <si>
    <t>VISIPAQUE 320 MG I/ML</t>
  </si>
  <si>
    <t>0077018</t>
  </si>
  <si>
    <t>ULTRAVIST 370</t>
  </si>
  <si>
    <t>0077019</t>
  </si>
  <si>
    <t>0095607</t>
  </si>
  <si>
    <t>MICROPAQUE</t>
  </si>
  <si>
    <t>0038482</t>
  </si>
  <si>
    <t>DRÁT VODÍCÍ GUIDE WIRE M</t>
  </si>
  <si>
    <t>0038483</t>
  </si>
  <si>
    <t>0038503</t>
  </si>
  <si>
    <t>SOUPRAVA ZAVÁDĚCÍ INTRODUCER</t>
  </si>
  <si>
    <t>0053905</t>
  </si>
  <si>
    <t>KATETR DILATAČNÍ XXL                 14-5XX</t>
  </si>
  <si>
    <t>0054358</t>
  </si>
  <si>
    <t>KATETR DIAGNOSTICKÝ SUPER TORQUE 5F,6F 533525-686</t>
  </si>
  <si>
    <t>0057769</t>
  </si>
  <si>
    <t>DILATÁTOR COPE-SADDEKNI SFA ACCESS</t>
  </si>
  <si>
    <t>0057823</t>
  </si>
  <si>
    <t>KATETR ANGIOGRAFICKÝ TORCON,PRŮMĚR 4.1 AŽ 7 FRENCH</t>
  </si>
  <si>
    <t>0057827</t>
  </si>
  <si>
    <t>KATETR ANGIOGRAFICKÝ VYSOKOTLAKÝ, PRŮMĚR 4 A 5 FR</t>
  </si>
  <si>
    <t>0058948</t>
  </si>
  <si>
    <t>STENT PERIFERNÍ WALLSTENT UNI,SAMOEXPANDIBILNÍ,OCE</t>
  </si>
  <si>
    <t>0059345</t>
  </si>
  <si>
    <t>INDEFLÁTOR 622510</t>
  </si>
  <si>
    <t>0059795</t>
  </si>
  <si>
    <t>DRÁT VODÍCÍ ANGIODYN J3 FC-FS 150-0,35</t>
  </si>
  <si>
    <t>89113</t>
  </si>
  <si>
    <t>RTG LEBKY, CÍLENÉ SNÍMKY</t>
  </si>
  <si>
    <t>89117</t>
  </si>
  <si>
    <t>RTG KRKU A KRČNÍ PÁTEŘE</t>
  </si>
  <si>
    <t>89119</t>
  </si>
  <si>
    <t>RTG HRUDNÍ NEBO BEDERNÍ PÁTEŘE</t>
  </si>
  <si>
    <t>89123</t>
  </si>
  <si>
    <t>RTG PÁNVE NEBO KYČELNÍHO KLOUBU</t>
  </si>
  <si>
    <t>89127</t>
  </si>
  <si>
    <t>RTG KOSTÍ A KLOUBŮ KONČETIN</t>
  </si>
  <si>
    <t>89143</t>
  </si>
  <si>
    <t>RTG BŘICHA</t>
  </si>
  <si>
    <t>89417</t>
  </si>
  <si>
    <t xml:space="preserve">PŘEHLEDNÁ ČI SELEKTIVNÍ ANGIOGRAFIE NAVAZUJÍCÍ NA </t>
  </si>
  <si>
    <t>89423</t>
  </si>
  <si>
    <t>PERKUTÁNNÍ TRANSLUMINÁLNÍ ANGIOPLASTIKA</t>
  </si>
  <si>
    <t>89617</t>
  </si>
  <si>
    <t>CT VYŠETŘENÍ KTERÉHOKOLIV ORGÁNU NEBO OBLASTI S AP</t>
  </si>
  <si>
    <t>89619</t>
  </si>
  <si>
    <t>CT VYŠETŘENÍ TĚLA S PODÁNÍM K. L. PER OS, EVENT. P</t>
  </si>
  <si>
    <t>89713</t>
  </si>
  <si>
    <t>MR ZOBRAZENÍ HLAVY, KONČETIN, KLOUBU, JEDNOHO ÚSEK</t>
  </si>
  <si>
    <t>89717</t>
  </si>
  <si>
    <t>MR ZOBRAZENÍ SRDCE</t>
  </si>
  <si>
    <t>89131</t>
  </si>
  <si>
    <t>RTG HRUDNÍKU</t>
  </si>
  <si>
    <t>89615</t>
  </si>
  <si>
    <t>CT VYŠETŘENÍ S VĚTŠÍM POČTEM SKENŮ (NAD 30), BEZ P</t>
  </si>
  <si>
    <t>89725</t>
  </si>
  <si>
    <t>OPAKOVANÉ ČI DOPLŇUJÍCÍ VYŠETŘENÍ MR</t>
  </si>
  <si>
    <t>89331</t>
  </si>
  <si>
    <t>ZAVEDENÍ STENTU DO TEPENNÉHO ČI ŽILNÍHO ŘEČIŠTĚ</t>
  </si>
  <si>
    <t>89201</t>
  </si>
  <si>
    <t>SKIASKOPIE NA OPERAČNÍM ČI ZÁKROKOVÉM SÁLE MOBILNÍ</t>
  </si>
  <si>
    <t>89145</t>
  </si>
  <si>
    <t>RTG JÍCNU</t>
  </si>
  <si>
    <t>89115</t>
  </si>
  <si>
    <t>RTG LEBKY, PŘEHLEDNÉ SNÍMKY</t>
  </si>
  <si>
    <t>89611</t>
  </si>
  <si>
    <t>CT VYŠETŘENÍ HLAVY NEBO TĚLA NATIVNÍ A KONTRASTNÍ</t>
  </si>
  <si>
    <t>89415</t>
  </si>
  <si>
    <t>89411</t>
  </si>
  <si>
    <t>PŘEHLEDNÁ  ČI SELEKTIVNÍ ANGIOGRAFIE</t>
  </si>
  <si>
    <t>35</t>
  </si>
  <si>
    <t>222</t>
  </si>
  <si>
    <t>22119</t>
  </si>
  <si>
    <t>VYŠETŘENÍ KOMPATIBILITY TRANSFÚZNÍHO PŘÍPRAVKU OBS</t>
  </si>
  <si>
    <t>22129</t>
  </si>
  <si>
    <t xml:space="preserve">VYŠETŘENÍ JEDNOHO ERYTROCYTÁRNÍHO ANTIGENU (KROMĚ </t>
  </si>
  <si>
    <t>22134</t>
  </si>
  <si>
    <t>UPŘESNĚNÍ TYPU SENZIBILIZACE ERYTROCYTŮ</t>
  </si>
  <si>
    <t>22214</t>
  </si>
  <si>
    <t>SCREENING ANTIERYTROCYTÁRNÍCH PROTILÁTEK - V SÉRII</t>
  </si>
  <si>
    <t>22355</t>
  </si>
  <si>
    <t>KONZULTACE ODBORNÉHO TRANSFÚZIOLOGA - IMUNOHEMATOL</t>
  </si>
  <si>
    <t>82077</t>
  </si>
  <si>
    <t>STANOVENÍ PROTILÁTEK PROTI ANTIGENŮM VIRŮ HEPATITI</t>
  </si>
  <si>
    <t>22111</t>
  </si>
  <si>
    <t>VYŠETŘENÍ KREVNÍ SKUPINY ABO RH (D) - STATIM</t>
  </si>
  <si>
    <t>22221</t>
  </si>
  <si>
    <t>DOPLNĚNÍ SCREENINGU ANTIERYTROCYTÁRNÍCH PROTILÁTEK</t>
  </si>
  <si>
    <t>22223</t>
  </si>
  <si>
    <t>22212</t>
  </si>
  <si>
    <t>SCREENING ANTIERYTROCYTÁRNÍCH PROTILÁTEK - STATIM,</t>
  </si>
  <si>
    <t>82079</t>
  </si>
  <si>
    <t>STANOVENÍ PROTILÁTEK PROTI ANTIGENŮM VIRŮ (MIMO VI</t>
  </si>
  <si>
    <t>22112</t>
  </si>
  <si>
    <t>VYŠETŘENÍ KREVNÍ SKUPINY ABO, RH (D) V SÉRII</t>
  </si>
  <si>
    <t>22117</t>
  </si>
  <si>
    <t>22347</t>
  </si>
  <si>
    <t>IDENTIFIKACE ANTIERYTROCYTÁRNÍCH PROTILÁTEK - SLOU</t>
  </si>
  <si>
    <t>22133</t>
  </si>
  <si>
    <t>PŘÍMÝ ANTIGLOBULINOVÝ TEST</t>
  </si>
  <si>
    <t>22113</t>
  </si>
  <si>
    <t>VYŠETŘENÍ KREVNÍ SKUPINY ABO RH (D) U NOVOROZENCE</t>
  </si>
  <si>
    <t>37</t>
  </si>
  <si>
    <t>807</t>
  </si>
  <si>
    <t>87127</t>
  </si>
  <si>
    <t>JEDNODUCHÝ BIOPTICKÝ VZOREK: MAKROSKOPICKÉ POSOUZE</t>
  </si>
  <si>
    <t>87131</t>
  </si>
  <si>
    <t>BIOPTICKÝ MATERIÁL S ČÁSTEČNÉ NEBO RADIKÁLNÍ EKTOM</t>
  </si>
  <si>
    <t>87217</t>
  </si>
  <si>
    <t>PROKRAJOVÁNÍ BLOKU (POLOSÉRIOVÉ ŘEZY) S 1-3 PREPAR</t>
  </si>
  <si>
    <t>87223</t>
  </si>
  <si>
    <t>SPECIELNÍ BARVENÍ JEDNODUCHÉ (KAŽDÝ PREPARÁT Z PAR</t>
  </si>
  <si>
    <t>87431</t>
  </si>
  <si>
    <t>PREPARÁTY METODOU CYTOBLOKU - ZA KAŽDÝ PREPARÁT</t>
  </si>
  <si>
    <t>87517</t>
  </si>
  <si>
    <t>STANOVENÍ BIOPTICKÉ DIAGNÓZY II. STUPNĚ OBTÍŽNOSTI</t>
  </si>
  <si>
    <t>87523</t>
  </si>
  <si>
    <t>STANOVENÍ BIOPTICKÉ DIAGNÓZY III. STUPNĚ OBTÍŽNOST</t>
  </si>
  <si>
    <t>87613</t>
  </si>
  <si>
    <t>TECHNICKO ADMINISTRATIVNÍ KOMPONENTA BIOPSIE (STAN</t>
  </si>
  <si>
    <t>87225</t>
  </si>
  <si>
    <t>SPECIELNI BARVENÍ SLOŽITÉ (ZA KAŽDÝ PREPARÁT ZE ZM</t>
  </si>
  <si>
    <t>87129</t>
  </si>
  <si>
    <t>VÍCEČETNÉ MALÉ BIOPTICKÉ VZORKY: MAKROSKOPICKÉ POS</t>
  </si>
  <si>
    <t>87215</t>
  </si>
  <si>
    <t>DALŠÍ BLOK SE STANDARTNÍM PREPARÁTEM (OD 3. BIOPTI</t>
  </si>
  <si>
    <t>87219</t>
  </si>
  <si>
    <t>ODVÁPNĚNÍ, ZMĚKČOVÁNÍ MATERIÁLU (ZA KAŽDÉ ZAPOČATÉ</t>
  </si>
  <si>
    <t>87435</t>
  </si>
  <si>
    <t>STANDARDNÍ CYTOLOGICKÉ BARVENÍ,  ZA 4-10  PREPARÁT</t>
  </si>
  <si>
    <t>87519</t>
  </si>
  <si>
    <t>STANOVENÍ CYTOLOGICKÉ DIAGNÓZY II. STUPNĚ OBTÍŽNOS</t>
  </si>
  <si>
    <t>87611</t>
  </si>
  <si>
    <t>TECHNICKÁ KOMPONENTA MIKROSKOPICKÉHO VYŠETŘENÍ PIT</t>
  </si>
  <si>
    <t>40</t>
  </si>
  <si>
    <t>82001</t>
  </si>
  <si>
    <t>KONSULTACE K MIKROBIOLOGICKÉMU, PARAZITOLOGICKÉMU,</t>
  </si>
  <si>
    <t>82041</t>
  </si>
  <si>
    <t>PRŮKAZ DNA MIKROORGANISMU V KLINICKÉM MATERIÁLU HY</t>
  </si>
  <si>
    <t>82057</t>
  </si>
  <si>
    <t>IDENTIFIKACE KMENE ORIENTAČNÍ JEDNODUCHÝM TESTEM</t>
  </si>
  <si>
    <t>82097</t>
  </si>
  <si>
    <t>STANOVENÍ PROTILÁTEK PROTI EBV (ELISA)</t>
  </si>
  <si>
    <t>82111</t>
  </si>
  <si>
    <t>PRŮKAZ PROTILÁTEK NEPŘÍMOU HEMAGLUTINACÍ NA NOSIČÍ</t>
  </si>
  <si>
    <t>82117</t>
  </si>
  <si>
    <t>PRŮKAZ ANTIGENU VIRU (MIMO VIRY HEPATITID), BAKTER</t>
  </si>
  <si>
    <t>82131</t>
  </si>
  <si>
    <t>IDENTIFIKACE BAKTERIÁLNÍHO KMENE V KULTUŘE (POMNOŽ</t>
  </si>
  <si>
    <t>82211</t>
  </si>
  <si>
    <t>KULTIVAČNÍ VYŠETŘENÍ NA MYKOBAKTERIA</t>
  </si>
  <si>
    <t>82221</t>
  </si>
  <si>
    <t>PRIMÁRNÍ ISOLACE MYKOBAKTERIÍ RYCHLOU KULTIVAČNÍ M</t>
  </si>
  <si>
    <t>82065</t>
  </si>
  <si>
    <t>STANOVENÍ CITLIVOSTI NA ATB KVANTITATIVNÍ METODOU</t>
  </si>
  <si>
    <t>82003</t>
  </si>
  <si>
    <t>TELEFONICKÁ KONZULTACE K MIKROBIOLOGICKÉMU, PARAZI</t>
  </si>
  <si>
    <t>82025</t>
  </si>
  <si>
    <t>KULTIVAČNÍ VYŠETŘENÍ NA GO</t>
  </si>
  <si>
    <t>82069</t>
  </si>
  <si>
    <t>STANOVENÍ PRODUKCE BETA-LAKTAMÁZY</t>
  </si>
  <si>
    <t>82063</t>
  </si>
  <si>
    <t>STANOVENÍ CITLIVOSTI NA ATB KVALITATIVNÍ METODOU</t>
  </si>
  <si>
    <t>82083</t>
  </si>
  <si>
    <t>PRŮKAZ BAKTERIÁLNÍHO TOXINU BIOLOGICKÝM POKUSEM NA</t>
  </si>
  <si>
    <t>82115</t>
  </si>
  <si>
    <t>PRŮKAZ VIROVÉHO ANTIGENU V BIOLOGICKÉM MATERIÁLU N</t>
  </si>
  <si>
    <t>41</t>
  </si>
  <si>
    <t>91131</t>
  </si>
  <si>
    <t>STANOVENÍ IgA</t>
  </si>
  <si>
    <t>91129</t>
  </si>
  <si>
    <t>STANOVENÍ IgG</t>
  </si>
  <si>
    <t>91133</t>
  </si>
  <si>
    <t>STANOVENÍ IgM</t>
  </si>
  <si>
    <t>Zdravotní výkony (vybraných odborností) vyžádané pro pacienty hospitalizované na vlastním pracovišti - orientační přehled</t>
  </si>
  <si>
    <t xml:space="preserve">Ošetřovací den      </t>
  </si>
  <si>
    <t xml:space="preserve">TISS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</si>
</sst>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\ &quot;Kč&quot;_-;\-* #,##0.00\ &quot;Kč&quot;_-;_-* &quot;-&quot;??\ &quot;Kč&quot;_-;_-@_-"/>
    <numFmt numFmtId="165" formatCode="#\ ###\ ###\ ##0"/>
    <numFmt numFmtId="166" formatCode="#\ ###\ ##0.0"/>
    <numFmt numFmtId="167" formatCode="#,##0.0"/>
    <numFmt numFmtId="168" formatCode="0.0%"/>
    <numFmt numFmtId="169" formatCode="0.0"/>
    <numFmt numFmtId="170" formatCode="#,##0,"/>
    <numFmt numFmtId="171" formatCode="#\ ##0"/>
    <numFmt numFmtId="172" formatCode="0.000"/>
    <numFmt numFmtId="173" formatCode="#.##0"/>
    <numFmt numFmtId="174" formatCode="#,##0;\-#,##0;"/>
    <numFmt numFmtId="175" formatCode="General;\-General;"/>
    <numFmt numFmtId="176" formatCode="#,##0%"/>
    <numFmt numFmtId="177" formatCode="#,##0.000"/>
  </numFmts>
  <fonts count="6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b/>
      <sz val="10"/>
      <color indexed="10"/>
      <name val="Calibri"/>
      <family val="2"/>
      <charset val="238"/>
    </font>
    <font>
      <sz val="10"/>
      <color indexed="12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b/>
      <sz val="10"/>
      <color indexed="63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sz val="14"/>
      <name val="Arial"/>
      <family val="2"/>
      <charset val="238"/>
    </font>
    <font>
      <sz val="10"/>
      <name val="Arial CE"/>
      <family val="2"/>
      <charset val="238"/>
    </font>
    <font>
      <sz val="14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4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/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theme="1"/>
      </right>
      <top style="medium">
        <color theme="1"/>
      </top>
      <bottom style="medium">
        <color indexed="64"/>
      </bottom>
      <diagonal/>
    </border>
    <border>
      <left style="thin">
        <color indexed="23"/>
      </left>
      <right style="medium">
        <color auto="1"/>
      </right>
      <top style="medium">
        <color theme="1"/>
      </top>
      <bottom style="medium">
        <color indexed="64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theme="1"/>
      </right>
      <top style="thin">
        <color indexed="64"/>
      </top>
      <bottom/>
      <diagonal/>
    </border>
  </borders>
  <cellStyleXfs count="99">
    <xf numFmtId="0" fontId="0" fillId="0" borderId="0"/>
    <xf numFmtId="0" fontId="28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27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4" fillId="0" borderId="0"/>
    <xf numFmtId="0" fontId="13" fillId="0" borderId="0"/>
    <xf numFmtId="0" fontId="1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15" fillId="0" borderId="0"/>
    <xf numFmtId="0" fontId="13" fillId="0" borderId="0"/>
    <xf numFmtId="0" fontId="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4" fillId="0" borderId="0"/>
    <xf numFmtId="0" fontId="4" fillId="0" borderId="0"/>
    <xf numFmtId="0" fontId="13" fillId="0" borderId="0"/>
    <xf numFmtId="0" fontId="25" fillId="0" borderId="0"/>
    <xf numFmtId="0" fontId="26" fillId="0" borderId="0"/>
    <xf numFmtId="0" fontId="29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7" fillId="0" borderId="0"/>
    <xf numFmtId="0" fontId="27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7" fillId="0" borderId="0"/>
  </cellStyleXfs>
  <cellXfs count="871">
    <xf numFmtId="0" fontId="0" fillId="0" borderId="0" xfId="0"/>
    <xf numFmtId="0" fontId="30" fillId="2" borderId="20" xfId="81" applyFont="1" applyFill="1" applyBorder="1"/>
    <xf numFmtId="0" fontId="31" fillId="2" borderId="21" xfId="81" applyFont="1" applyFill="1" applyBorder="1"/>
    <xf numFmtId="3" fontId="31" fillId="2" borderId="22" xfId="81" applyNumberFormat="1" applyFont="1" applyFill="1" applyBorder="1"/>
    <xf numFmtId="0" fontId="31" fillId="4" borderId="21" xfId="81" applyFont="1" applyFill="1" applyBorder="1"/>
    <xf numFmtId="3" fontId="32" fillId="0" borderId="10" xfId="26" applyNumberFormat="1" applyFont="1" applyFill="1" applyBorder="1" applyAlignment="1">
      <alignment horizontal="center"/>
    </xf>
    <xf numFmtId="3" fontId="32" fillId="0" borderId="12" xfId="26" applyNumberFormat="1" applyFont="1" applyFill="1" applyBorder="1" applyAlignment="1">
      <alignment horizontal="center"/>
    </xf>
    <xf numFmtId="3" fontId="32" fillId="0" borderId="27" xfId="26" applyNumberFormat="1" applyFont="1" applyFill="1" applyBorder="1" applyAlignment="1">
      <alignment horizontal="center"/>
    </xf>
    <xf numFmtId="3" fontId="32" fillId="0" borderId="28" xfId="26" applyNumberFormat="1" applyFont="1" applyFill="1" applyBorder="1" applyAlignment="1">
      <alignment horizontal="center"/>
    </xf>
    <xf numFmtId="3" fontId="31" fillId="4" borderId="22" xfId="81" applyNumberFormat="1" applyFont="1" applyFill="1" applyBorder="1"/>
    <xf numFmtId="172" fontId="31" fillId="3" borderId="22" xfId="81" applyNumberFormat="1" applyFont="1" applyFill="1" applyBorder="1"/>
    <xf numFmtId="0" fontId="32" fillId="5" borderId="0" xfId="74" applyFont="1" applyFill="1"/>
    <xf numFmtId="0" fontId="35" fillId="5" borderId="0" xfId="74" applyFont="1" applyFill="1"/>
    <xf numFmtId="3" fontId="30" fillId="5" borderId="27" xfId="81" applyNumberFormat="1" applyFont="1" applyFill="1" applyBorder="1"/>
    <xf numFmtId="3" fontId="30" fillId="5" borderId="10" xfId="81" applyNumberFormat="1" applyFont="1" applyFill="1" applyBorder="1"/>
    <xf numFmtId="3" fontId="30" fillId="5" borderId="14" xfId="81" applyNumberFormat="1" applyFont="1" applyFill="1" applyBorder="1"/>
    <xf numFmtId="0" fontId="30" fillId="5" borderId="0" xfId="81" applyFont="1" applyFill="1"/>
    <xf numFmtId="10" fontId="30" fillId="5" borderId="0" xfId="81" applyNumberFormat="1" applyFont="1" applyFill="1"/>
    <xf numFmtId="0" fontId="40" fillId="2" borderId="36" xfId="0" applyFont="1" applyFill="1" applyBorder="1" applyAlignment="1">
      <alignment vertical="top"/>
    </xf>
    <xf numFmtId="0" fontId="40" fillId="2" borderId="37" xfId="0" applyFont="1" applyFill="1" applyBorder="1" applyAlignment="1">
      <alignment vertical="top"/>
    </xf>
    <xf numFmtId="0" fontId="37" fillId="2" borderId="37" xfId="0" applyFont="1" applyFill="1" applyBorder="1" applyAlignment="1">
      <alignment vertical="top"/>
    </xf>
    <xf numFmtId="0" fontId="41" fillId="2" borderId="37" xfId="0" applyFont="1" applyFill="1" applyBorder="1" applyAlignment="1">
      <alignment vertical="top"/>
    </xf>
    <xf numFmtId="0" fontId="39" fillId="2" borderId="37" xfId="0" applyFont="1" applyFill="1" applyBorder="1" applyAlignment="1">
      <alignment vertical="top"/>
    </xf>
    <xf numFmtId="0" fontId="37" fillId="2" borderId="38" xfId="0" applyFont="1" applyFill="1" applyBorder="1" applyAlignment="1">
      <alignment vertical="top"/>
    </xf>
    <xf numFmtId="0" fontId="40" fillId="2" borderId="10" xfId="0" applyFont="1" applyFill="1" applyBorder="1" applyAlignment="1">
      <alignment horizontal="center" vertical="center"/>
    </xf>
    <xf numFmtId="0" fontId="40" fillId="2" borderId="24" xfId="0" applyFont="1" applyFill="1" applyBorder="1" applyAlignment="1">
      <alignment horizontal="center" vertical="center"/>
    </xf>
    <xf numFmtId="0" fontId="40" fillId="2" borderId="26" xfId="0" applyFont="1" applyFill="1" applyBorder="1" applyAlignment="1">
      <alignment horizontal="center" vertical="center"/>
    </xf>
    <xf numFmtId="0" fontId="40" fillId="2" borderId="25" xfId="0" applyFont="1" applyFill="1" applyBorder="1" applyAlignment="1">
      <alignment horizontal="center" vertical="center"/>
    </xf>
    <xf numFmtId="0" fontId="41" fillId="2" borderId="24" xfId="0" applyFont="1" applyFill="1" applyBorder="1" applyAlignment="1">
      <alignment horizontal="center" vertical="center" wrapText="1"/>
    </xf>
    <xf numFmtId="0" fontId="41" fillId="2" borderId="26" xfId="0" applyFont="1" applyFill="1" applyBorder="1" applyAlignment="1">
      <alignment horizontal="center" vertical="center" wrapText="1"/>
    </xf>
    <xf numFmtId="0" fontId="39" fillId="2" borderId="26" xfId="0" applyFont="1" applyFill="1" applyBorder="1" applyAlignment="1">
      <alignment horizontal="center" vertical="center" wrapText="1"/>
    </xf>
    <xf numFmtId="3" fontId="30" fillId="5" borderId="5" xfId="81" applyNumberFormat="1" applyFont="1" applyFill="1" applyBorder="1"/>
    <xf numFmtId="3" fontId="30" fillId="5" borderId="32" xfId="81" applyNumberFormat="1" applyFont="1" applyFill="1" applyBorder="1"/>
    <xf numFmtId="3" fontId="30" fillId="5" borderId="28" xfId="81" applyNumberFormat="1" applyFont="1" applyFill="1" applyBorder="1"/>
    <xf numFmtId="3" fontId="30" fillId="5" borderId="11" xfId="81" applyNumberFormat="1" applyFont="1" applyFill="1" applyBorder="1"/>
    <xf numFmtId="3" fontId="30" fillId="5" borderId="12" xfId="81" applyNumberFormat="1" applyFont="1" applyFill="1" applyBorder="1"/>
    <xf numFmtId="3" fontId="30" fillId="5" borderId="15" xfId="81" applyNumberFormat="1" applyFont="1" applyFill="1" applyBorder="1"/>
    <xf numFmtId="3" fontId="30" fillId="5" borderId="16" xfId="81" applyNumberFormat="1" applyFont="1" applyFill="1" applyBorder="1"/>
    <xf numFmtId="3" fontId="31" fillId="2" borderId="30" xfId="81" applyNumberFormat="1" applyFont="1" applyFill="1" applyBorder="1"/>
    <xf numFmtId="3" fontId="31" fillId="2" borderId="23" xfId="81" applyNumberFormat="1" applyFont="1" applyFill="1" applyBorder="1"/>
    <xf numFmtId="3" fontId="31" fillId="4" borderId="30" xfId="81" applyNumberFormat="1" applyFont="1" applyFill="1" applyBorder="1"/>
    <xf numFmtId="3" fontId="31" fillId="4" borderId="23" xfId="81" applyNumberFormat="1" applyFont="1" applyFill="1" applyBorder="1"/>
    <xf numFmtId="172" fontId="31" fillId="3" borderId="30" xfId="81" applyNumberFormat="1" applyFont="1" applyFill="1" applyBorder="1"/>
    <xf numFmtId="172" fontId="31" fillId="3" borderId="23" xfId="81" applyNumberFormat="1" applyFont="1" applyFill="1" applyBorder="1"/>
    <xf numFmtId="0" fontId="34" fillId="2" borderId="28" xfId="81" applyFont="1" applyFill="1" applyBorder="1" applyAlignment="1">
      <alignment horizontal="center"/>
    </xf>
    <xf numFmtId="0" fontId="42" fillId="0" borderId="2" xfId="0" applyFont="1" applyFill="1" applyBorder="1"/>
    <xf numFmtId="0" fontId="42" fillId="0" borderId="3" xfId="0" applyFont="1" applyFill="1" applyBorder="1"/>
    <xf numFmtId="3" fontId="31" fillId="0" borderId="30" xfId="78" applyNumberFormat="1" applyFont="1" applyFill="1" applyBorder="1" applyAlignment="1">
      <alignment horizontal="right"/>
    </xf>
    <xf numFmtId="9" fontId="31" fillId="0" borderId="30" xfId="78" applyNumberFormat="1" applyFont="1" applyFill="1" applyBorder="1" applyAlignment="1">
      <alignment horizontal="right"/>
    </xf>
    <xf numFmtId="3" fontId="31" fillId="0" borderId="23" xfId="78" applyNumberFormat="1" applyFont="1" applyFill="1" applyBorder="1" applyAlignment="1">
      <alignment horizontal="right"/>
    </xf>
    <xf numFmtId="0" fontId="35" fillId="0" borderId="47" xfId="0" applyFont="1" applyFill="1" applyBorder="1" applyAlignment="1"/>
    <xf numFmtId="0" fontId="43" fillId="0" borderId="0" xfId="0" applyFont="1" applyFill="1" applyBorder="1" applyAlignment="1"/>
    <xf numFmtId="3" fontId="36" fillId="0" borderId="8" xfId="0" applyNumberFormat="1" applyFont="1" applyFill="1" applyBorder="1" applyAlignment="1">
      <alignment horizontal="right" vertical="top"/>
    </xf>
    <xf numFmtId="3" fontId="36" fillId="0" borderId="6" xfId="0" applyNumberFormat="1" applyFont="1" applyFill="1" applyBorder="1" applyAlignment="1">
      <alignment horizontal="right" vertical="top"/>
    </xf>
    <xf numFmtId="3" fontId="37" fillId="0" borderId="6" xfId="0" applyNumberFormat="1" applyFont="1" applyFill="1" applyBorder="1" applyAlignment="1">
      <alignment horizontal="right" vertical="top"/>
    </xf>
    <xf numFmtId="3" fontId="36" fillId="0" borderId="13" xfId="0" applyNumberFormat="1" applyFont="1" applyFill="1" applyBorder="1" applyAlignment="1">
      <alignment horizontal="right" vertical="top"/>
    </xf>
    <xf numFmtId="3" fontId="36" fillId="0" borderId="11" xfId="0" applyNumberFormat="1" applyFont="1" applyFill="1" applyBorder="1" applyAlignment="1">
      <alignment horizontal="right" vertical="top"/>
    </xf>
    <xf numFmtId="3" fontId="37" fillId="0" borderId="11" xfId="0" applyNumberFormat="1" applyFont="1" applyFill="1" applyBorder="1" applyAlignment="1">
      <alignment horizontal="right" vertical="top"/>
    </xf>
    <xf numFmtId="3" fontId="38" fillId="0" borderId="13" xfId="0" applyNumberFormat="1" applyFont="1" applyFill="1" applyBorder="1" applyAlignment="1">
      <alignment horizontal="right" vertical="top"/>
    </xf>
    <xf numFmtId="3" fontId="38" fillId="0" borderId="11" xfId="0" applyNumberFormat="1" applyFont="1" applyFill="1" applyBorder="1" applyAlignment="1">
      <alignment horizontal="right" vertical="top"/>
    </xf>
    <xf numFmtId="3" fontId="39" fillId="0" borderId="11" xfId="0" applyNumberFormat="1" applyFont="1" applyFill="1" applyBorder="1" applyAlignment="1">
      <alignment horizontal="right" vertical="top"/>
    </xf>
    <xf numFmtId="3" fontId="36" fillId="0" borderId="35" xfId="0" applyNumberFormat="1" applyFont="1" applyFill="1" applyBorder="1" applyAlignment="1">
      <alignment horizontal="right" vertical="top"/>
    </xf>
    <xf numFmtId="3" fontId="36" fillId="0" borderId="26" xfId="0" applyNumberFormat="1" applyFont="1" applyFill="1" applyBorder="1" applyAlignment="1">
      <alignment horizontal="right" vertical="top"/>
    </xf>
    <xf numFmtId="3" fontId="37" fillId="0" borderId="26" xfId="0" applyNumberFormat="1" applyFont="1" applyFill="1" applyBorder="1" applyAlignment="1">
      <alignment horizontal="right" vertical="top"/>
    </xf>
    <xf numFmtId="0" fontId="7" fillId="0" borderId="0" xfId="82" applyFont="1" applyFill="1"/>
    <xf numFmtId="0" fontId="9" fillId="0" borderId="47" xfId="82" applyFont="1" applyFill="1" applyBorder="1" applyAlignment="1"/>
    <xf numFmtId="0" fontId="32" fillId="0" borderId="0" xfId="49" applyFont="1" applyFill="1"/>
    <xf numFmtId="3" fontId="7" fillId="0" borderId="0" xfId="78" applyNumberFormat="1" applyFont="1" applyFill="1" applyAlignment="1">
      <alignment horizontal="left"/>
    </xf>
    <xf numFmtId="9" fontId="7" fillId="0" borderId="0" xfId="78" applyNumberFormat="1" applyFont="1" applyFill="1"/>
    <xf numFmtId="3" fontId="7" fillId="0" borderId="0" xfId="78" applyNumberFormat="1" applyFont="1" applyFill="1"/>
    <xf numFmtId="3" fontId="3" fillId="0" borderId="45" xfId="79" applyNumberFormat="1" applyFont="1" applyFill="1" applyBorder="1"/>
    <xf numFmtId="9" fontId="3" fillId="0" borderId="45" xfId="79" applyNumberFormat="1" applyFont="1" applyFill="1" applyBorder="1"/>
    <xf numFmtId="9" fontId="3" fillId="0" borderId="46" xfId="79" applyNumberFormat="1" applyFont="1" applyFill="1" applyBorder="1"/>
    <xf numFmtId="0" fontId="3" fillId="0" borderId="40" xfId="79" applyFont="1" applyFill="1" applyBorder="1"/>
    <xf numFmtId="0" fontId="3" fillId="0" borderId="0" xfId="79" applyFont="1" applyFill="1" applyBorder="1"/>
    <xf numFmtId="0" fontId="3" fillId="0" borderId="0" xfId="79" applyFont="1" applyFill="1" applyBorder="1" applyAlignment="1">
      <alignment horizontal="right"/>
    </xf>
    <xf numFmtId="0" fontId="3" fillId="0" borderId="41" xfId="79" applyFont="1" applyFill="1" applyBorder="1"/>
    <xf numFmtId="0" fontId="3" fillId="0" borderId="42" xfId="79" applyFont="1" applyFill="1" applyBorder="1"/>
    <xf numFmtId="165" fontId="3" fillId="0" borderId="76" xfId="53" applyNumberFormat="1" applyFont="1" applyFill="1" applyBorder="1"/>
    <xf numFmtId="9" fontId="3" fillId="0" borderId="76" xfId="53" applyNumberFormat="1" applyFont="1" applyFill="1" applyBorder="1"/>
    <xf numFmtId="3" fontId="32" fillId="0" borderId="0" xfId="26" applyNumberFormat="1" applyFont="1" applyFill="1" applyBorder="1"/>
    <xf numFmtId="0" fontId="32" fillId="0" borderId="0" xfId="26" applyFont="1" applyFill="1"/>
    <xf numFmtId="0" fontId="32" fillId="0" borderId="54" xfId="26" applyFont="1" applyFill="1" applyBorder="1" applyAlignment="1"/>
    <xf numFmtId="3" fontId="33" fillId="0" borderId="0" xfId="26" applyNumberFormat="1" applyFont="1" applyFill="1" applyBorder="1" applyAlignment="1">
      <alignment horizontal="center" vertical="center"/>
    </xf>
    <xf numFmtId="171" fontId="32" fillId="0" borderId="27" xfId="26" applyNumberFormat="1" applyFont="1" applyFill="1" applyBorder="1"/>
    <xf numFmtId="9" fontId="32" fillId="0" borderId="28" xfId="26" applyNumberFormat="1" applyFont="1" applyFill="1" applyBorder="1"/>
    <xf numFmtId="171" fontId="32" fillId="0" borderId="51" xfId="26" applyNumberFormat="1" applyFont="1" applyFill="1" applyBorder="1"/>
    <xf numFmtId="171" fontId="32" fillId="0" borderId="10" xfId="26" applyNumberFormat="1" applyFont="1" applyFill="1" applyBorder="1"/>
    <xf numFmtId="9" fontId="32" fillId="0" borderId="12" xfId="26" applyNumberFormat="1" applyFont="1" applyFill="1" applyBorder="1"/>
    <xf numFmtId="171" fontId="32" fillId="0" borderId="39" xfId="26" applyNumberFormat="1" applyFont="1" applyFill="1" applyBorder="1"/>
    <xf numFmtId="171" fontId="32" fillId="0" borderId="24" xfId="26" applyNumberFormat="1" applyFont="1" applyFill="1" applyBorder="1"/>
    <xf numFmtId="9" fontId="32" fillId="0" borderId="25" xfId="26" applyNumberFormat="1" applyFont="1" applyFill="1" applyBorder="1"/>
    <xf numFmtId="171" fontId="32" fillId="0" borderId="53" xfId="26" applyNumberFormat="1" applyFont="1" applyFill="1" applyBorder="1"/>
    <xf numFmtId="0" fontId="5" fillId="0" borderId="0" xfId="26" applyFont="1" applyFill="1"/>
    <xf numFmtId="0" fontId="3" fillId="0" borderId="0" xfId="26" applyFont="1" applyFill="1" applyAlignment="1">
      <alignment horizontal="left" vertical="top"/>
    </xf>
    <xf numFmtId="0" fontId="5" fillId="0" borderId="0" xfId="26" applyFont="1" applyFill="1" applyAlignment="1">
      <alignment horizontal="left" vertical="top"/>
    </xf>
    <xf numFmtId="49" fontId="3" fillId="0" borderId="0" xfId="26" applyNumberFormat="1" applyFont="1" applyFill="1" applyAlignment="1">
      <alignment horizontal="center"/>
    </xf>
    <xf numFmtId="3" fontId="5" fillId="0" borderId="0" xfId="26" applyNumberFormat="1" applyFont="1" applyFill="1"/>
    <xf numFmtId="167" fontId="5" fillId="0" borderId="0" xfId="26" applyNumberFormat="1" applyFont="1" applyFill="1"/>
    <xf numFmtId="169" fontId="5" fillId="0" borderId="0" xfId="26" applyNumberFormat="1" applyFont="1" applyFill="1" applyAlignment="1">
      <alignment horizontal="right"/>
    </xf>
    <xf numFmtId="9" fontId="5" fillId="0" borderId="0" xfId="26" applyNumberFormat="1" applyFont="1" applyFill="1"/>
    <xf numFmtId="0" fontId="35" fillId="0" borderId="33" xfId="0" applyFont="1" applyFill="1" applyBorder="1" applyAlignment="1"/>
    <xf numFmtId="0" fontId="35" fillId="0" borderId="34" xfId="0" applyFont="1" applyFill="1" applyBorder="1" applyAlignment="1"/>
    <xf numFmtId="0" fontId="35" fillId="0" borderId="68" xfId="0" applyFont="1" applyFill="1" applyBorder="1" applyAlignment="1"/>
    <xf numFmtId="0" fontId="31" fillId="2" borderId="29" xfId="78" applyFont="1" applyFill="1" applyBorder="1" applyAlignment="1">
      <alignment horizontal="right"/>
    </xf>
    <xf numFmtId="3" fontId="31" fillId="2" borderId="67" xfId="78" applyNumberFormat="1" applyFont="1" applyFill="1" applyBorder="1"/>
    <xf numFmtId="0" fontId="3" fillId="2" borderId="22" xfId="79" applyFont="1" applyFill="1" applyBorder="1" applyAlignment="1">
      <alignment horizontal="left"/>
    </xf>
    <xf numFmtId="0" fontId="3" fillId="2" borderId="30" xfId="79" applyFont="1" applyFill="1" applyBorder="1" applyAlignment="1">
      <alignment horizontal="left"/>
    </xf>
    <xf numFmtId="0" fontId="3" fillId="2" borderId="26" xfId="80" applyFont="1" applyFill="1" applyBorder="1"/>
    <xf numFmtId="0" fontId="3" fillId="2" borderId="25" xfId="80" applyFont="1" applyFill="1" applyBorder="1"/>
    <xf numFmtId="0" fontId="3" fillId="2" borderId="44" xfId="79" applyFont="1" applyFill="1" applyBorder="1"/>
    <xf numFmtId="0" fontId="3" fillId="2" borderId="43" xfId="79" applyFont="1" applyFill="1" applyBorder="1"/>
    <xf numFmtId="0" fontId="3" fillId="2" borderId="74" xfId="53" applyFont="1" applyFill="1" applyBorder="1" applyAlignment="1">
      <alignment horizontal="right"/>
    </xf>
    <xf numFmtId="3" fontId="32" fillId="7" borderId="11" xfId="26" applyNumberFormat="1" applyFont="1" applyFill="1" applyBorder="1"/>
    <xf numFmtId="3" fontId="32" fillId="7" borderId="6" xfId="26" applyNumberFormat="1" applyFont="1" applyFill="1" applyBorder="1"/>
    <xf numFmtId="3" fontId="34" fillId="2" borderId="22" xfId="26" applyNumberFormat="1" applyFont="1" applyFill="1" applyBorder="1"/>
    <xf numFmtId="3" fontId="34" fillId="2" borderId="30" xfId="26" applyNumberFormat="1" applyFont="1" applyFill="1" applyBorder="1"/>
    <xf numFmtId="3" fontId="34" fillId="4" borderId="22" xfId="26" applyNumberFormat="1" applyFont="1" applyFill="1" applyBorder="1"/>
    <xf numFmtId="3" fontId="34" fillId="7" borderId="4" xfId="26" applyNumberFormat="1" applyFont="1" applyFill="1" applyBorder="1"/>
    <xf numFmtId="3" fontId="34" fillId="7" borderId="9" xfId="26" applyNumberFormat="1" applyFont="1" applyFill="1" applyBorder="1"/>
    <xf numFmtId="3" fontId="34" fillId="2" borderId="29" xfId="26" applyNumberFormat="1" applyFont="1" applyFill="1" applyBorder="1"/>
    <xf numFmtId="3" fontId="32" fillId="7" borderId="5" xfId="26" applyNumberFormat="1" applyFont="1" applyFill="1" applyBorder="1"/>
    <xf numFmtId="3" fontId="32" fillId="7" borderId="10" xfId="26" applyNumberFormat="1" applyFont="1" applyFill="1" applyBorder="1"/>
    <xf numFmtId="3" fontId="32" fillId="5" borderId="0" xfId="26" applyNumberFormat="1" applyFont="1" applyFill="1" applyBorder="1"/>
    <xf numFmtId="3" fontId="48" fillId="5" borderId="0" xfId="26" applyNumberFormat="1" applyFont="1" applyFill="1" applyBorder="1"/>
    <xf numFmtId="168" fontId="32" fillId="5" borderId="0" xfId="26" applyNumberFormat="1" applyFont="1" applyFill="1" applyBorder="1"/>
    <xf numFmtId="0" fontId="34" fillId="2" borderId="1" xfId="26" applyNumberFormat="1" applyFont="1" applyFill="1" applyBorder="1" applyAlignment="1">
      <alignment horizontal="center"/>
    </xf>
    <xf numFmtId="0" fontId="34" fillId="2" borderId="2" xfId="26" applyNumberFormat="1" applyFont="1" applyFill="1" applyBorder="1" applyAlignment="1">
      <alignment horizontal="center"/>
    </xf>
    <xf numFmtId="168" fontId="34" fillId="2" borderId="3" xfId="26" applyNumberFormat="1" applyFont="1" applyFill="1" applyBorder="1" applyAlignment="1">
      <alignment horizontal="center"/>
    </xf>
    <xf numFmtId="3" fontId="34" fillId="2" borderId="22" xfId="26" applyNumberFormat="1" applyFont="1" applyFill="1" applyBorder="1" applyAlignment="1">
      <alignment horizontal="center"/>
    </xf>
    <xf numFmtId="168" fontId="34" fillId="2" borderId="23" xfId="26" applyNumberFormat="1" applyFont="1" applyFill="1" applyBorder="1" applyAlignment="1">
      <alignment horizontal="center"/>
    </xf>
    <xf numFmtId="168" fontId="34" fillId="7" borderId="7" xfId="86" applyNumberFormat="1" applyFont="1" applyFill="1" applyBorder="1" applyAlignment="1">
      <alignment horizontal="right"/>
    </xf>
    <xf numFmtId="3" fontId="32" fillId="7" borderId="8" xfId="26" applyNumberFormat="1" applyFont="1" applyFill="1" applyBorder="1"/>
    <xf numFmtId="168" fontId="34" fillId="7" borderId="7" xfId="86" applyNumberFormat="1" applyFont="1" applyFill="1" applyBorder="1"/>
    <xf numFmtId="168" fontId="34" fillId="7" borderId="12" xfId="86" applyNumberFormat="1" applyFont="1" applyFill="1" applyBorder="1" applyAlignment="1">
      <alignment horizontal="right"/>
    </xf>
    <xf numFmtId="3" fontId="32" fillId="7" borderId="13" xfId="26" applyNumberFormat="1" applyFont="1" applyFill="1" applyBorder="1"/>
    <xf numFmtId="168" fontId="34" fillId="7" borderId="12" xfId="86" applyNumberFormat="1" applyFont="1" applyFill="1" applyBorder="1"/>
    <xf numFmtId="168" fontId="34" fillId="2" borderId="23" xfId="86" applyNumberFormat="1" applyFont="1" applyFill="1" applyBorder="1" applyAlignment="1">
      <alignment horizontal="right"/>
    </xf>
    <xf numFmtId="3" fontId="34" fillId="2" borderId="31" xfId="26" applyNumberFormat="1" applyFont="1" applyFill="1" applyBorder="1"/>
    <xf numFmtId="168" fontId="34" fillId="2" borderId="23" xfId="86" applyNumberFormat="1" applyFont="1" applyFill="1" applyBorder="1"/>
    <xf numFmtId="3" fontId="34" fillId="2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 applyAlignment="1">
      <alignment horizontal="left"/>
    </xf>
    <xf numFmtId="0" fontId="34" fillId="3" borderId="1" xfId="26" applyNumberFormat="1" applyFont="1" applyFill="1" applyBorder="1" applyAlignment="1">
      <alignment horizontal="center"/>
    </xf>
    <xf numFmtId="0" fontId="34" fillId="3" borderId="2" xfId="26" applyNumberFormat="1" applyFont="1" applyFill="1" applyBorder="1" applyAlignment="1">
      <alignment horizontal="center"/>
    </xf>
    <xf numFmtId="168" fontId="34" fillId="3" borderId="3" xfId="26" applyNumberFormat="1" applyFont="1" applyFill="1" applyBorder="1" applyAlignment="1">
      <alignment horizontal="center"/>
    </xf>
    <xf numFmtId="3" fontId="34" fillId="3" borderId="22" xfId="26" applyNumberFormat="1" applyFont="1" applyFill="1" applyBorder="1" applyAlignment="1">
      <alignment horizontal="center"/>
    </xf>
    <xf numFmtId="168" fontId="34" fillId="3" borderId="23" xfId="26" applyNumberFormat="1" applyFont="1" applyFill="1" applyBorder="1" applyAlignment="1">
      <alignment horizontal="center"/>
    </xf>
    <xf numFmtId="3" fontId="32" fillId="7" borderId="27" xfId="26" applyNumberFormat="1" applyFont="1" applyFill="1" applyBorder="1" applyAlignment="1">
      <alignment horizontal="center"/>
    </xf>
    <xf numFmtId="3" fontId="32" fillId="7" borderId="28" xfId="26" applyNumberFormat="1" applyFont="1" applyFill="1" applyBorder="1" applyAlignment="1">
      <alignment horizontal="center"/>
    </xf>
    <xf numFmtId="3" fontId="32" fillId="7" borderId="10" xfId="26" applyNumberFormat="1" applyFont="1" applyFill="1" applyBorder="1" applyAlignment="1">
      <alignment horizontal="center"/>
    </xf>
    <xf numFmtId="3" fontId="32" fillId="7" borderId="12" xfId="26" applyNumberFormat="1" applyFont="1" applyFill="1" applyBorder="1" applyAlignment="1">
      <alignment horizontal="center"/>
    </xf>
    <xf numFmtId="3" fontId="34" fillId="3" borderId="29" xfId="26" applyNumberFormat="1" applyFont="1" applyFill="1" applyBorder="1"/>
    <xf numFmtId="3" fontId="34" fillId="3" borderId="22" xfId="26" applyNumberFormat="1" applyFont="1" applyFill="1" applyBorder="1"/>
    <xf numFmtId="3" fontId="34" fillId="3" borderId="30" xfId="26" applyNumberFormat="1" applyFont="1" applyFill="1" applyBorder="1"/>
    <xf numFmtId="168" fontId="34" fillId="3" borderId="23" xfId="86" applyNumberFormat="1" applyFont="1" applyFill="1" applyBorder="1" applyAlignment="1">
      <alignment horizontal="right"/>
    </xf>
    <xf numFmtId="168" fontId="34" fillId="3" borderId="23" xfId="86" applyNumberFormat="1" applyFont="1" applyFill="1" applyBorder="1"/>
    <xf numFmtId="3" fontId="34" fillId="3" borderId="23" xfId="26" applyNumberFormat="1" applyFont="1" applyFill="1" applyBorder="1" applyAlignment="1">
      <alignment horizontal="center"/>
    </xf>
    <xf numFmtId="3" fontId="34" fillId="7" borderId="0" xfId="26" applyNumberFormat="1" applyFont="1" applyFill="1" applyBorder="1"/>
    <xf numFmtId="3" fontId="32" fillId="7" borderId="0" xfId="26" applyNumberFormat="1" applyFont="1" applyFill="1" applyBorder="1"/>
    <xf numFmtId="168" fontId="32" fillId="7" borderId="0" xfId="26" applyNumberFormat="1" applyFont="1" applyFill="1" applyBorder="1"/>
    <xf numFmtId="0" fontId="34" fillId="4" borderId="1" xfId="26" applyNumberFormat="1" applyFont="1" applyFill="1" applyBorder="1" applyAlignment="1">
      <alignment horizontal="center"/>
    </xf>
    <xf numFmtId="0" fontId="34" fillId="4" borderId="2" xfId="26" applyNumberFormat="1" applyFont="1" applyFill="1" applyBorder="1" applyAlignment="1">
      <alignment horizontal="center"/>
    </xf>
    <xf numFmtId="168" fontId="34" fillId="4" borderId="3" xfId="26" applyNumberFormat="1" applyFont="1" applyFill="1" applyBorder="1" applyAlignment="1">
      <alignment horizontal="center"/>
    </xf>
    <xf numFmtId="3" fontId="34" fillId="4" borderId="22" xfId="26" applyNumberFormat="1" applyFont="1" applyFill="1" applyBorder="1" applyAlignment="1">
      <alignment horizontal="center"/>
    </xf>
    <xf numFmtId="168" fontId="34" fillId="4" borderId="23" xfId="26" applyNumberFormat="1" applyFont="1" applyFill="1" applyBorder="1" applyAlignment="1">
      <alignment horizontal="center"/>
    </xf>
    <xf numFmtId="3" fontId="34" fillId="4" borderId="29" xfId="26" applyNumberFormat="1" applyFont="1" applyFill="1" applyBorder="1"/>
    <xf numFmtId="3" fontId="34" fillId="4" borderId="30" xfId="26" applyNumberFormat="1" applyFont="1" applyFill="1" applyBorder="1"/>
    <xf numFmtId="168" fontId="34" fillId="4" borderId="23" xfId="86" applyNumberFormat="1" applyFont="1" applyFill="1" applyBorder="1" applyAlignment="1">
      <alignment horizontal="right"/>
    </xf>
    <xf numFmtId="3" fontId="34" fillId="4" borderId="31" xfId="26" applyNumberFormat="1" applyFont="1" applyFill="1" applyBorder="1"/>
    <xf numFmtId="168" fontId="34" fillId="4" borderId="23" xfId="86" applyNumberFormat="1" applyFont="1" applyFill="1" applyBorder="1"/>
    <xf numFmtId="3" fontId="34" fillId="4" borderId="23" xfId="26" applyNumberFormat="1" applyFont="1" applyFill="1" applyBorder="1" applyAlignment="1">
      <alignment horizontal="center"/>
    </xf>
    <xf numFmtId="9" fontId="3" fillId="2" borderId="33" xfId="27" applyNumberFormat="1" applyFont="1" applyFill="1" applyBorder="1" applyAlignment="1">
      <alignment horizontal="center" vertical="center" wrapText="1"/>
    </xf>
    <xf numFmtId="3" fontId="3" fillId="2" borderId="1" xfId="27" applyNumberFormat="1" applyFont="1" applyFill="1" applyBorder="1" applyAlignment="1">
      <alignment horizontal="center" vertical="center" wrapText="1"/>
    </xf>
    <xf numFmtId="3" fontId="3" fillId="2" borderId="2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 wrapText="1"/>
    </xf>
    <xf numFmtId="9" fontId="3" fillId="2" borderId="3" xfId="27" applyNumberFormat="1" applyFont="1" applyFill="1" applyBorder="1" applyAlignment="1">
      <alignment horizontal="center" vertical="center"/>
    </xf>
    <xf numFmtId="171" fontId="34" fillId="2" borderId="50" xfId="26" quotePrefix="1" applyNumberFormat="1" applyFont="1" applyFill="1" applyBorder="1" applyAlignment="1">
      <alignment horizontal="center"/>
    </xf>
    <xf numFmtId="171" fontId="34" fillId="2" borderId="9" xfId="26" quotePrefix="1" applyNumberFormat="1" applyFont="1" applyFill="1" applyBorder="1" applyAlignment="1">
      <alignment horizontal="center"/>
    </xf>
    <xf numFmtId="171" fontId="34" fillId="2" borderId="52" xfId="26" quotePrefix="1" applyNumberFormat="1" applyFont="1" applyFill="1" applyBorder="1" applyAlignment="1">
      <alignment horizontal="center"/>
    </xf>
    <xf numFmtId="0" fontId="32" fillId="2" borderId="33" xfId="26" applyFont="1" applyFill="1" applyBorder="1"/>
    <xf numFmtId="0" fontId="3" fillId="2" borderId="68" xfId="33" applyFont="1" applyFill="1" applyBorder="1" applyAlignment="1">
      <alignment horizontal="center" vertical="center"/>
    </xf>
    <xf numFmtId="9" fontId="3" fillId="0" borderId="75" xfId="53" applyNumberFormat="1" applyFont="1" applyFill="1" applyBorder="1"/>
    <xf numFmtId="0" fontId="35" fillId="0" borderId="28" xfId="0" applyFont="1" applyBorder="1" applyAlignment="1"/>
    <xf numFmtId="0" fontId="35" fillId="5" borderId="7" xfId="0" applyFont="1" applyFill="1" applyBorder="1"/>
    <xf numFmtId="0" fontId="35" fillId="5" borderId="12" xfId="0" applyFont="1" applyFill="1" applyBorder="1"/>
    <xf numFmtId="0" fontId="35" fillId="5" borderId="25" xfId="0" applyFont="1" applyFill="1" applyBorder="1"/>
    <xf numFmtId="0" fontId="35" fillId="5" borderId="47" xfId="0" applyFont="1" applyFill="1" applyBorder="1"/>
    <xf numFmtId="0" fontId="35" fillId="5" borderId="54" xfId="0" applyFont="1" applyFill="1" applyBorder="1"/>
    <xf numFmtId="9" fontId="37" fillId="0" borderId="7" xfId="0" applyNumberFormat="1" applyFont="1" applyFill="1" applyBorder="1" applyAlignment="1">
      <alignment horizontal="right" vertical="top"/>
    </xf>
    <xf numFmtId="9" fontId="37" fillId="0" borderId="12" xfId="0" applyNumberFormat="1" applyFont="1" applyFill="1" applyBorder="1" applyAlignment="1">
      <alignment horizontal="right" vertical="top"/>
    </xf>
    <xf numFmtId="9" fontId="39" fillId="0" borderId="12" xfId="0" applyNumberFormat="1" applyFont="1" applyFill="1" applyBorder="1" applyAlignment="1">
      <alignment horizontal="right" vertical="top"/>
    </xf>
    <xf numFmtId="9" fontId="37" fillId="0" borderId="25" xfId="0" applyNumberFormat="1" applyFont="1" applyFill="1" applyBorder="1" applyAlignment="1">
      <alignment horizontal="right" vertical="top"/>
    </xf>
    <xf numFmtId="0" fontId="32" fillId="0" borderId="0" xfId="76" applyFont="1" applyFill="1"/>
    <xf numFmtId="0" fontId="32" fillId="0" borderId="0" xfId="26" applyFont="1" applyFill="1" applyBorder="1" applyAlignment="1"/>
    <xf numFmtId="0" fontId="32" fillId="0" borderId="2" xfId="76" applyFont="1" applyFill="1" applyBorder="1" applyAlignment="1"/>
    <xf numFmtId="0" fontId="34" fillId="2" borderId="74" xfId="53" applyFont="1" applyFill="1" applyBorder="1" applyAlignment="1">
      <alignment horizontal="right"/>
    </xf>
    <xf numFmtId="165" fontId="34" fillId="0" borderId="79" xfId="53" applyNumberFormat="1" applyFont="1" applyFill="1" applyBorder="1"/>
    <xf numFmtId="165" fontId="34" fillId="0" borderId="80" xfId="53" applyNumberFormat="1" applyFont="1" applyFill="1" applyBorder="1"/>
    <xf numFmtId="9" fontId="34" fillId="0" borderId="81" xfId="83" applyNumberFormat="1" applyFont="1" applyFill="1" applyBorder="1"/>
    <xf numFmtId="170" fontId="34" fillId="0" borderId="79" xfId="53" applyNumberFormat="1" applyFont="1" applyFill="1" applyBorder="1"/>
    <xf numFmtId="170" fontId="34" fillId="0" borderId="80" xfId="53" applyNumberFormat="1" applyFont="1" applyFill="1" applyBorder="1"/>
    <xf numFmtId="3" fontId="34" fillId="0" borderId="81" xfId="83" applyNumberFormat="1" applyFont="1" applyFill="1" applyBorder="1"/>
    <xf numFmtId="3" fontId="32" fillId="0" borderId="0" xfId="76" applyNumberFormat="1" applyFont="1" applyFill="1"/>
    <xf numFmtId="9" fontId="32" fillId="0" borderId="0" xfId="76" applyNumberFormat="1" applyFont="1" applyFill="1"/>
    <xf numFmtId="170" fontId="32" fillId="0" borderId="0" xfId="76" applyNumberFormat="1" applyFont="1" applyFill="1"/>
    <xf numFmtId="0" fontId="32" fillId="0" borderId="54" xfId="26" applyFont="1" applyFill="1" applyBorder="1" applyAlignment="1">
      <alignment horizontal="right"/>
    </xf>
    <xf numFmtId="171" fontId="32" fillId="0" borderId="50" xfId="26" quotePrefix="1" applyNumberFormat="1" applyFont="1" applyFill="1" applyBorder="1" applyAlignment="1">
      <alignment horizontal="right"/>
    </xf>
    <xf numFmtId="171" fontId="32" fillId="0" borderId="9" xfId="26" quotePrefix="1" applyNumberFormat="1" applyFont="1" applyFill="1" applyBorder="1" applyAlignment="1">
      <alignment horizontal="right"/>
    </xf>
    <xf numFmtId="171" fontId="32" fillId="0" borderId="52" xfId="26" quotePrefix="1" applyNumberFormat="1" applyFont="1" applyFill="1" applyBorder="1" applyAlignment="1">
      <alignment horizontal="right"/>
    </xf>
    <xf numFmtId="0" fontId="32" fillId="0" borderId="0" xfId="26" applyFont="1" applyFill="1" applyAlignment="1">
      <alignment horizontal="right"/>
    </xf>
    <xf numFmtId="0" fontId="3" fillId="2" borderId="30" xfId="79" applyFont="1" applyFill="1" applyBorder="1"/>
    <xf numFmtId="0" fontId="3" fillId="2" borderId="30" xfId="53" applyFont="1" applyFill="1" applyBorder="1" applyAlignment="1">
      <alignment horizontal="left"/>
    </xf>
    <xf numFmtId="3" fontId="3" fillId="2" borderId="23" xfId="53" applyNumberFormat="1" applyFont="1" applyFill="1" applyBorder="1" applyAlignment="1">
      <alignment horizontal="left"/>
    </xf>
    <xf numFmtId="3" fontId="34" fillId="0" borderId="32" xfId="53" applyNumberFormat="1" applyFont="1" applyFill="1" applyBorder="1"/>
    <xf numFmtId="3" fontId="34" fillId="0" borderId="28" xfId="53" applyNumberFormat="1" applyFont="1" applyFill="1" applyBorder="1"/>
    <xf numFmtId="0" fontId="31" fillId="0" borderId="3" xfId="78" applyFont="1" applyFill="1" applyBorder="1" applyAlignment="1">
      <alignment horizontal="left"/>
    </xf>
    <xf numFmtId="0" fontId="34" fillId="2" borderId="54" xfId="0" applyFont="1" applyFill="1" applyBorder="1" applyAlignment="1">
      <alignment horizontal="center"/>
    </xf>
    <xf numFmtId="3" fontId="3" fillId="0" borderId="75" xfId="53" applyNumberFormat="1" applyFont="1" applyFill="1" applyBorder="1"/>
    <xf numFmtId="3" fontId="3" fillId="0" borderId="76" xfId="53" applyNumberFormat="1" applyFont="1" applyFill="1" applyBorder="1"/>
    <xf numFmtId="3" fontId="3" fillId="0" borderId="77" xfId="53" applyNumberFormat="1" applyFont="1" applyFill="1" applyBorder="1"/>
    <xf numFmtId="0" fontId="34" fillId="2" borderId="54" xfId="0" applyNumberFormat="1" applyFont="1" applyFill="1" applyBorder="1" applyAlignment="1">
      <alignment horizontal="center"/>
    </xf>
    <xf numFmtId="3" fontId="3" fillId="0" borderId="78" xfId="53" applyNumberFormat="1" applyFont="1" applyFill="1" applyBorder="1"/>
    <xf numFmtId="3" fontId="3" fillId="0" borderId="83" xfId="53" applyNumberFormat="1" applyFont="1" applyFill="1" applyBorder="1"/>
    <xf numFmtId="169" fontId="5" fillId="0" borderId="0" xfId="26" applyNumberFormat="1" applyFont="1" applyFill="1"/>
    <xf numFmtId="167" fontId="3" fillId="2" borderId="33" xfId="24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/>
    <xf numFmtId="0" fontId="34" fillId="2" borderId="50" xfId="74" applyFont="1" applyFill="1" applyBorder="1" applyAlignment="1">
      <alignment horizontal="center"/>
    </xf>
    <xf numFmtId="0" fontId="30" fillId="5" borderId="47" xfId="81" applyFont="1" applyFill="1" applyBorder="1"/>
    <xf numFmtId="0" fontId="34" fillId="2" borderId="26" xfId="81" applyFont="1" applyFill="1" applyBorder="1" applyAlignment="1">
      <alignment horizontal="center"/>
    </xf>
    <xf numFmtId="0" fontId="34" fillId="2" borderId="25" xfId="81" applyFont="1" applyFill="1" applyBorder="1" applyAlignment="1">
      <alignment horizontal="center"/>
    </xf>
    <xf numFmtId="0" fontId="35" fillId="0" borderId="0" xfId="0" applyFont="1" applyFill="1" applyBorder="1" applyAlignment="1"/>
    <xf numFmtId="0" fontId="49" fillId="2" borderId="20" xfId="1" applyFont="1" applyFill="1" applyBorder="1"/>
    <xf numFmtId="0" fontId="50" fillId="0" borderId="0" xfId="0" applyFont="1" applyFill="1"/>
    <xf numFmtId="0" fontId="51" fillId="0" borderId="0" xfId="0" applyFont="1" applyFill="1"/>
    <xf numFmtId="0" fontId="51" fillId="0" borderId="0" xfId="0" applyFont="1" applyFill="1" applyBorder="1"/>
    <xf numFmtId="3" fontId="35" fillId="0" borderId="32" xfId="0" applyNumberFormat="1" applyFont="1" applyFill="1" applyBorder="1"/>
    <xf numFmtId="3" fontId="35" fillId="0" borderId="27" xfId="0" applyNumberFormat="1" applyFont="1" applyFill="1" applyBorder="1"/>
    <xf numFmtId="3" fontId="35" fillId="0" borderId="10" xfId="0" applyNumberFormat="1" applyFont="1" applyFill="1" applyBorder="1"/>
    <xf numFmtId="3" fontId="35" fillId="0" borderId="11" xfId="0" applyNumberFormat="1" applyFont="1" applyFill="1" applyBorder="1"/>
    <xf numFmtId="3" fontId="35" fillId="0" borderId="14" xfId="0" applyNumberFormat="1" applyFont="1" applyFill="1" applyBorder="1"/>
    <xf numFmtId="3" fontId="35" fillId="0" borderId="15" xfId="0" applyNumberFormat="1" applyFont="1" applyFill="1" applyBorder="1"/>
    <xf numFmtId="9" fontId="35" fillId="0" borderId="28" xfId="0" applyNumberFormat="1" applyFont="1" applyFill="1" applyBorder="1"/>
    <xf numFmtId="9" fontId="35" fillId="0" borderId="12" xfId="0" applyNumberFormat="1" applyFont="1" applyFill="1" applyBorder="1"/>
    <xf numFmtId="9" fontId="35" fillId="0" borderId="16" xfId="0" applyNumberFormat="1" applyFont="1" applyFill="1" applyBorder="1"/>
    <xf numFmtId="9" fontId="31" fillId="2" borderId="23" xfId="81" applyNumberFormat="1" applyFont="1" applyFill="1" applyBorder="1"/>
    <xf numFmtId="9" fontId="31" fillId="4" borderId="23" xfId="81" applyNumberFormat="1" applyFont="1" applyFill="1" applyBorder="1"/>
    <xf numFmtId="9" fontId="31" fillId="3" borderId="23" xfId="81" applyNumberFormat="1" applyFont="1" applyFill="1" applyBorder="1"/>
    <xf numFmtId="0" fontId="34" fillId="2" borderId="24" xfId="81" applyFont="1" applyFill="1" applyBorder="1" applyAlignment="1">
      <alignment horizontal="center"/>
    </xf>
    <xf numFmtId="49" fontId="40" fillId="2" borderId="11" xfId="0" applyNumberFormat="1" applyFont="1" applyFill="1" applyBorder="1" applyAlignment="1">
      <alignment horizontal="center" vertical="center"/>
    </xf>
    <xf numFmtId="3" fontId="51" fillId="0" borderId="0" xfId="76" applyNumberFormat="1" applyFont="1" applyFill="1" applyBorder="1"/>
    <xf numFmtId="3" fontId="34" fillId="7" borderId="18" xfId="26" applyNumberFormat="1" applyFont="1" applyFill="1" applyBorder="1"/>
    <xf numFmtId="3" fontId="32" fillId="7" borderId="85" xfId="26" applyNumberFormat="1" applyFont="1" applyFill="1" applyBorder="1"/>
    <xf numFmtId="3" fontId="32" fillId="7" borderId="65" xfId="26" applyNumberFormat="1" applyFont="1" applyFill="1" applyBorder="1"/>
    <xf numFmtId="168" fontId="34" fillId="7" borderId="73" xfId="86" applyNumberFormat="1" applyFont="1" applyFill="1" applyBorder="1" applyAlignment="1">
      <alignment horizontal="right"/>
    </xf>
    <xf numFmtId="3" fontId="32" fillId="7" borderId="86" xfId="26" applyNumberFormat="1" applyFont="1" applyFill="1" applyBorder="1"/>
    <xf numFmtId="168" fontId="34" fillId="7" borderId="73" xfId="86" applyNumberFormat="1" applyFont="1" applyFill="1" applyBorder="1"/>
    <xf numFmtId="3" fontId="32" fillId="0" borderId="85" xfId="26" applyNumberFormat="1" applyFont="1" applyFill="1" applyBorder="1" applyAlignment="1">
      <alignment horizontal="center"/>
    </xf>
    <xf numFmtId="3" fontId="32" fillId="0" borderId="73" xfId="26" applyNumberFormat="1" applyFont="1" applyFill="1" applyBorder="1" applyAlignment="1">
      <alignment horizontal="center"/>
    </xf>
    <xf numFmtId="3" fontId="32" fillId="7" borderId="85" xfId="26" applyNumberFormat="1" applyFont="1" applyFill="1" applyBorder="1" applyAlignment="1">
      <alignment horizontal="center"/>
    </xf>
    <xf numFmtId="3" fontId="32" fillId="7" borderId="73" xfId="26" applyNumberFormat="1" applyFont="1" applyFill="1" applyBorder="1" applyAlignment="1">
      <alignment horizontal="center"/>
    </xf>
    <xf numFmtId="0" fontId="35" fillId="0" borderId="0" xfId="0" applyFont="1" applyFill="1"/>
    <xf numFmtId="0" fontId="35" fillId="0" borderId="54" xfId="0" applyFont="1" applyFill="1" applyBorder="1" applyAlignment="1"/>
    <xf numFmtId="0" fontId="35" fillId="0" borderId="0" xfId="0" applyFont="1" applyFill="1" applyAlignment="1"/>
    <xf numFmtId="0" fontId="49" fillId="4" borderId="36" xfId="1" applyFont="1" applyFill="1" applyBorder="1"/>
    <xf numFmtId="0" fontId="49" fillId="4" borderId="20" xfId="1" applyFont="1" applyFill="1" applyBorder="1"/>
    <xf numFmtId="0" fontId="49" fillId="3" borderId="21" xfId="1" applyFont="1" applyFill="1" applyBorder="1"/>
    <xf numFmtId="0" fontId="52" fillId="0" borderId="0" xfId="0" applyFont="1" applyFill="1" applyBorder="1" applyAlignment="1">
      <alignment vertical="center"/>
    </xf>
    <xf numFmtId="0" fontId="52" fillId="0" borderId="0" xfId="0" applyFont="1" applyFill="1" applyAlignment="1">
      <alignment vertical="center"/>
    </xf>
    <xf numFmtId="3" fontId="50" fillId="0" borderId="0" xfId="76" applyNumberFormat="1" applyFont="1" applyFill="1" applyBorder="1"/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165" fontId="34" fillId="2" borderId="27" xfId="53" applyNumberFormat="1" applyFont="1" applyFill="1" applyBorder="1" applyAlignment="1">
      <alignment horizontal="right"/>
    </xf>
    <xf numFmtId="0" fontId="3" fillId="2" borderId="32" xfId="80" applyFont="1" applyFill="1" applyBorder="1" applyAlignment="1">
      <alignment horizontal="left"/>
    </xf>
    <xf numFmtId="0" fontId="3" fillId="0" borderId="0" xfId="79" applyFont="1" applyFill="1" applyBorder="1" applyAlignment="1">
      <alignment horizontal="left"/>
    </xf>
    <xf numFmtId="169" fontId="3" fillId="2" borderId="33" xfId="26" applyNumberFormat="1" applyFont="1" applyFill="1" applyBorder="1" applyAlignment="1">
      <alignment horizontal="left" vertical="top"/>
    </xf>
    <xf numFmtId="0" fontId="49" fillId="3" borderId="10" xfId="1" applyFont="1" applyFill="1" applyBorder="1"/>
    <xf numFmtId="0" fontId="49" fillId="3" borderId="5" xfId="1" applyFont="1" applyFill="1" applyBorder="1"/>
    <xf numFmtId="0" fontId="49" fillId="6" borderId="5" xfId="1" applyFont="1" applyFill="1" applyBorder="1"/>
    <xf numFmtId="0" fontId="49" fillId="6" borderId="66" xfId="1" applyFont="1" applyFill="1" applyBorder="1"/>
    <xf numFmtId="0" fontId="49" fillId="2" borderId="5" xfId="1" applyFont="1" applyFill="1" applyBorder="1"/>
    <xf numFmtId="0" fontId="49" fillId="4" borderId="5" xfId="1" applyFont="1" applyFill="1" applyBorder="1"/>
    <xf numFmtId="0" fontId="35" fillId="0" borderId="0" xfId="0" applyFont="1"/>
    <xf numFmtId="0" fontId="35" fillId="0" borderId="0" xfId="0" applyFont="1" applyBorder="1" applyAlignment="1"/>
    <xf numFmtId="3" fontId="35" fillId="0" borderId="0" xfId="0" applyNumberFormat="1" applyFont="1"/>
    <xf numFmtId="9" fontId="35" fillId="0" borderId="0" xfId="0" applyNumberFormat="1" applyFont="1"/>
    <xf numFmtId="0" fontId="35" fillId="0" borderId="0" xfId="0" applyFont="1" applyBorder="1"/>
    <xf numFmtId="3" fontId="42" fillId="2" borderId="57" xfId="0" applyNumberFormat="1" applyFont="1" applyFill="1" applyBorder="1"/>
    <xf numFmtId="3" fontId="42" fillId="2" borderId="59" xfId="0" applyNumberFormat="1" applyFont="1" applyFill="1" applyBorder="1"/>
    <xf numFmtId="9" fontId="42" fillId="2" borderId="67" xfId="0" applyNumberFormat="1" applyFont="1" applyFill="1" applyBorder="1"/>
    <xf numFmtId="0" fontId="53" fillId="2" borderId="21" xfId="1" applyFont="1" applyFill="1" applyBorder="1" applyAlignment="1"/>
    <xf numFmtId="0" fontId="35" fillId="2" borderId="31" xfId="0" applyFont="1" applyFill="1" applyBorder="1" applyAlignment="1"/>
    <xf numFmtId="3" fontId="35" fillId="2" borderId="30" xfId="0" applyNumberFormat="1" applyFont="1" applyFill="1" applyBorder="1" applyAlignment="1"/>
    <xf numFmtId="9" fontId="35" fillId="2" borderId="23" xfId="0" applyNumberFormat="1" applyFont="1" applyFill="1" applyBorder="1" applyAlignment="1"/>
    <xf numFmtId="0" fontId="42" fillId="2" borderId="63" xfId="0" applyFont="1" applyFill="1" applyBorder="1" applyAlignment="1"/>
    <xf numFmtId="0" fontId="35" fillId="0" borderId="8" xfId="0" applyFont="1" applyBorder="1" applyAlignment="1"/>
    <xf numFmtId="3" fontId="35" fillId="0" borderId="6" xfId="0" applyNumberFormat="1" applyFont="1" applyBorder="1" applyAlignment="1"/>
    <xf numFmtId="9" fontId="35" fillId="0" borderId="12" xfId="0" applyNumberFormat="1" applyFont="1" applyBorder="1" applyAlignment="1"/>
    <xf numFmtId="0" fontId="32" fillId="2" borderId="37" xfId="1" applyFont="1" applyFill="1" applyBorder="1" applyAlignment="1">
      <alignment horizontal="left" indent="2"/>
    </xf>
    <xf numFmtId="0" fontId="35" fillId="0" borderId="13" xfId="0" applyFont="1" applyBorder="1" applyAlignment="1"/>
    <xf numFmtId="3" fontId="35" fillId="0" borderId="11" xfId="0" applyNumberFormat="1" applyFont="1" applyBorder="1" applyAlignment="1"/>
    <xf numFmtId="0" fontId="49" fillId="2" borderId="37" xfId="1" applyFont="1" applyFill="1" applyBorder="1" applyAlignment="1">
      <alignment horizontal="left" indent="4"/>
    </xf>
    <xf numFmtId="9" fontId="35" fillId="0" borderId="11" xfId="0" applyNumberFormat="1" applyFont="1" applyBorder="1" applyAlignment="1"/>
    <xf numFmtId="0" fontId="35" fillId="2" borderId="37" xfId="0" applyFont="1" applyFill="1" applyBorder="1" applyAlignment="1">
      <alignment horizontal="left" indent="2"/>
    </xf>
    <xf numFmtId="0" fontId="34" fillId="2" borderId="37" xfId="1" applyFont="1" applyFill="1" applyBorder="1" applyAlignment="1"/>
    <xf numFmtId="0" fontId="49" fillId="2" borderId="37" xfId="1" applyFont="1" applyFill="1" applyBorder="1" applyAlignment="1">
      <alignment horizontal="left" indent="2"/>
    </xf>
    <xf numFmtId="0" fontId="53" fillId="2" borderId="37" xfId="1" applyFont="1" applyFill="1" applyBorder="1" applyAlignment="1"/>
    <xf numFmtId="0" fontId="35" fillId="0" borderId="35" xfId="0" applyFont="1" applyBorder="1" applyAlignment="1"/>
    <xf numFmtId="3" fontId="35" fillId="0" borderId="26" xfId="0" applyNumberFormat="1" applyFont="1" applyBorder="1" applyAlignment="1"/>
    <xf numFmtId="9" fontId="35" fillId="0" borderId="25" xfId="0" applyNumberFormat="1" applyFont="1" applyBorder="1" applyAlignment="1"/>
    <xf numFmtId="0" fontId="42" fillId="0" borderId="47" xfId="0" applyFont="1" applyFill="1" applyBorder="1" applyAlignment="1">
      <alignment horizontal="left" indent="2"/>
    </xf>
    <xf numFmtId="0" fontId="35" fillId="0" borderId="47" xfId="0" applyFont="1" applyBorder="1" applyAlignment="1"/>
    <xf numFmtId="3" fontId="35" fillId="0" borderId="47" xfId="0" applyNumberFormat="1" applyFont="1" applyBorder="1" applyAlignment="1"/>
    <xf numFmtId="9" fontId="35" fillId="0" borderId="47" xfId="0" applyNumberFormat="1" applyFont="1" applyBorder="1" applyAlignment="1"/>
    <xf numFmtId="0" fontId="53" fillId="4" borderId="21" xfId="1" applyFont="1" applyFill="1" applyBorder="1" applyAlignment="1">
      <alignment horizontal="left"/>
    </xf>
    <xf numFmtId="0" fontId="35" fillId="4" borderId="31" xfId="0" applyFont="1" applyFill="1" applyBorder="1" applyAlignment="1"/>
    <xf numFmtId="3" fontId="35" fillId="4" borderId="30" xfId="0" applyNumberFormat="1" applyFont="1" applyFill="1" applyBorder="1" applyAlignment="1"/>
    <xf numFmtId="9" fontId="35" fillId="4" borderId="23" xfId="0" applyNumberFormat="1" applyFont="1" applyFill="1" applyBorder="1" applyAlignment="1"/>
    <xf numFmtId="0" fontId="53" fillId="4" borderId="63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2"/>
    </xf>
    <xf numFmtId="0" fontId="53" fillId="4" borderId="37" xfId="1" applyFont="1" applyFill="1" applyBorder="1" applyAlignment="1">
      <alignment horizontal="left"/>
    </xf>
    <xf numFmtId="0" fontId="49" fillId="4" borderId="37" xfId="1" applyFont="1" applyFill="1" applyBorder="1" applyAlignment="1">
      <alignment horizontal="left" indent="4"/>
    </xf>
    <xf numFmtId="9" fontId="35" fillId="0" borderId="11" xfId="0" applyNumberFormat="1" applyFont="1" applyBorder="1" applyAlignment="1">
      <alignment horizontal="right"/>
    </xf>
    <xf numFmtId="0" fontId="49" fillId="4" borderId="37" xfId="1" applyFont="1" applyFill="1" applyBorder="1" applyAlignment="1">
      <alignment horizontal="left" wrapText="1" indent="2"/>
    </xf>
    <xf numFmtId="0" fontId="35" fillId="4" borderId="38" xfId="0" applyFont="1" applyFill="1" applyBorder="1" applyAlignment="1">
      <alignment horizontal="left" indent="2"/>
    </xf>
    <xf numFmtId="0" fontId="42" fillId="0" borderId="0" xfId="0" applyFont="1" applyFill="1" applyBorder="1" applyAlignment="1"/>
    <xf numFmtId="0" fontId="35" fillId="0" borderId="0" xfId="0" applyFont="1" applyAlignment="1"/>
    <xf numFmtId="3" fontId="35" fillId="0" borderId="0" xfId="0" applyNumberFormat="1" applyFont="1" applyAlignment="1"/>
    <xf numFmtId="9" fontId="35" fillId="0" borderId="54" xfId="0" applyNumberFormat="1" applyFont="1" applyBorder="1" applyAlignment="1"/>
    <xf numFmtId="0" fontId="42" fillId="3" borderId="21" xfId="0" applyFont="1" applyFill="1" applyBorder="1" applyAlignment="1"/>
    <xf numFmtId="0" fontId="35" fillId="3" borderId="31" xfId="0" applyFont="1" applyFill="1" applyBorder="1" applyAlignment="1"/>
    <xf numFmtId="3" fontId="35" fillId="3" borderId="30" xfId="0" applyNumberFormat="1" applyFont="1" applyFill="1" applyBorder="1" applyAlignment="1"/>
    <xf numFmtId="9" fontId="35" fillId="3" borderId="23" xfId="0" applyNumberFormat="1" applyFont="1" applyFill="1" applyBorder="1" applyAlignment="1"/>
    <xf numFmtId="0" fontId="43" fillId="0" borderId="0" xfId="0" applyFont="1" applyFill="1"/>
    <xf numFmtId="16" fontId="43" fillId="0" borderId="0" xfId="0" quotePrefix="1" applyNumberFormat="1" applyFont="1" applyFill="1"/>
    <xf numFmtId="0" fontId="43" fillId="0" borderId="0" xfId="0" quotePrefix="1" applyFont="1" applyFill="1"/>
    <xf numFmtId="172" fontId="43" fillId="0" borderId="0" xfId="0" applyNumberFormat="1" applyFont="1" applyFill="1"/>
    <xf numFmtId="173" fontId="43" fillId="0" borderId="0" xfId="0" applyNumberFormat="1" applyFont="1" applyFill="1"/>
    <xf numFmtId="3" fontId="43" fillId="0" borderId="0" xfId="0" applyNumberFormat="1" applyFont="1" applyFill="1"/>
    <xf numFmtId="0" fontId="8" fillId="0" borderId="0" xfId="81" applyFont="1" applyFill="1"/>
    <xf numFmtId="0" fontId="54" fillId="0" borderId="47" xfId="81" applyFont="1" applyFill="1" applyBorder="1" applyAlignment="1"/>
    <xf numFmtId="0" fontId="7" fillId="0" borderId="0" xfId="78" applyFont="1" applyFill="1" applyBorder="1" applyAlignment="1"/>
    <xf numFmtId="3" fontId="35" fillId="0" borderId="0" xfId="0" applyNumberFormat="1" applyFont="1" applyFill="1"/>
    <xf numFmtId="0" fontId="35" fillId="0" borderId="0" xfId="0" applyFont="1" applyFill="1" applyAlignment="1">
      <alignment horizontal="left"/>
    </xf>
    <xf numFmtId="165" fontId="35" fillId="0" borderId="0" xfId="0" applyNumberFormat="1" applyFont="1" applyFill="1"/>
    <xf numFmtId="9" fontId="35" fillId="0" borderId="0" xfId="0" applyNumberFormat="1" applyFont="1" applyFill="1"/>
    <xf numFmtId="165" fontId="30" fillId="0" borderId="0" xfId="78" applyNumberFormat="1" applyFont="1" applyFill="1" applyBorder="1" applyAlignment="1"/>
    <xf numFmtId="3" fontId="30" fillId="0" borderId="0" xfId="78" applyNumberFormat="1" applyFont="1" applyFill="1" applyBorder="1" applyAlignment="1"/>
    <xf numFmtId="165" fontId="35" fillId="0" borderId="0" xfId="0" applyNumberFormat="1" applyFont="1" applyFill="1" applyAlignment="1">
      <alignment horizontal="right"/>
    </xf>
    <xf numFmtId="3" fontId="7" fillId="0" borderId="0" xfId="78" applyNumberFormat="1" applyFont="1" applyFill="1" applyBorder="1" applyAlignment="1"/>
    <xf numFmtId="9" fontId="7" fillId="0" borderId="0" xfId="78" applyNumberFormat="1" applyFont="1" applyFill="1" applyBorder="1" applyAlignment="1"/>
    <xf numFmtId="0" fontId="7" fillId="0" borderId="0" xfId="78" applyFont="1" applyFill="1"/>
    <xf numFmtId="0" fontId="7" fillId="0" borderId="0" xfId="78" applyFont="1" applyFill="1" applyBorder="1" applyAlignment="1">
      <alignment horizontal="left"/>
    </xf>
    <xf numFmtId="0" fontId="35" fillId="0" borderId="0" xfId="0" applyFont="1" applyFill="1" applyAlignment="1">
      <alignment horizontal="right"/>
    </xf>
    <xf numFmtId="166" fontId="35" fillId="0" borderId="0" xfId="0" applyNumberFormat="1" applyFont="1" applyFill="1"/>
    <xf numFmtId="0" fontId="42" fillId="2" borderId="29" xfId="0" applyFont="1" applyFill="1" applyBorder="1" applyAlignment="1">
      <alignment horizontal="right"/>
    </xf>
    <xf numFmtId="170" fontId="42" fillId="0" borderId="22" xfId="0" applyNumberFormat="1" applyFont="1" applyFill="1" applyBorder="1" applyAlignment="1"/>
    <xf numFmtId="170" fontId="42" fillId="0" borderId="30" xfId="0" applyNumberFormat="1" applyFont="1" applyFill="1" applyBorder="1" applyAlignment="1"/>
    <xf numFmtId="9" fontId="42" fillId="0" borderId="23" xfId="0" applyNumberFormat="1" applyFont="1" applyFill="1" applyBorder="1" applyAlignment="1"/>
    <xf numFmtId="170" fontId="42" fillId="0" borderId="31" xfId="0" applyNumberFormat="1" applyFont="1" applyFill="1" applyBorder="1" applyAlignment="1"/>
    <xf numFmtId="9" fontId="42" fillId="0" borderId="56" xfId="0" applyNumberFormat="1" applyFont="1" applyFill="1" applyBorder="1" applyAlignment="1"/>
    <xf numFmtId="170" fontId="35" fillId="0" borderId="0" xfId="0" applyNumberFormat="1" applyFont="1" applyFill="1" applyBorder="1" applyAlignment="1"/>
    <xf numFmtId="9" fontId="35" fillId="0" borderId="0" xfId="0" applyNumberFormat="1" applyFont="1" applyFill="1" applyBorder="1" applyAlignment="1"/>
    <xf numFmtId="3" fontId="35" fillId="0" borderId="54" xfId="0" applyNumberFormat="1" applyFont="1" applyFill="1" applyBorder="1" applyAlignment="1"/>
    <xf numFmtId="9" fontId="35" fillId="0" borderId="54" xfId="0" applyNumberFormat="1" applyFont="1" applyFill="1" applyBorder="1" applyAlignment="1"/>
    <xf numFmtId="3" fontId="35" fillId="0" borderId="0" xfId="0" applyNumberFormat="1" applyFont="1" applyFill="1" applyBorder="1" applyAlignment="1"/>
    <xf numFmtId="3" fontId="4" fillId="0" borderId="0" xfId="76" applyNumberFormat="1" applyFont="1" applyFill="1"/>
    <xf numFmtId="0" fontId="7" fillId="0" borderId="54" xfId="26" applyFont="1" applyFill="1" applyBorder="1" applyAlignment="1"/>
    <xf numFmtId="3" fontId="34" fillId="0" borderId="2" xfId="26" applyNumberFormat="1" applyFont="1" applyFill="1" applyBorder="1" applyAlignment="1">
      <alignment horizontal="right" vertical="top"/>
    </xf>
    <xf numFmtId="0" fontId="35" fillId="0" borderId="2" xfId="0" applyFont="1" applyFill="1" applyBorder="1" applyAlignment="1">
      <alignment horizontal="right" vertical="top"/>
    </xf>
    <xf numFmtId="168" fontId="32" fillId="5" borderId="0" xfId="26" applyNumberFormat="1" applyFont="1" applyFill="1" applyBorder="1" applyAlignment="1">
      <alignment horizontal="center"/>
    </xf>
    <xf numFmtId="0" fontId="35" fillId="0" borderId="0" xfId="98" applyFont="1" applyBorder="1" applyAlignment="1">
      <alignment horizontal="center"/>
    </xf>
    <xf numFmtId="3" fontId="57" fillId="0" borderId="0" xfId="76" applyNumberFormat="1" applyFont="1" applyFill="1" applyBorder="1"/>
    <xf numFmtId="9" fontId="57" fillId="0" borderId="0" xfId="76" applyNumberFormat="1" applyFont="1" applyFill="1" applyBorder="1" applyAlignment="1">
      <alignment horizontal="right"/>
    </xf>
    <xf numFmtId="9" fontId="57" fillId="0" borderId="0" xfId="76" applyNumberFormat="1" applyFont="1" applyFill="1" applyBorder="1"/>
    <xf numFmtId="9" fontId="4" fillId="0" borderId="0" xfId="76" applyNumberFormat="1" applyFont="1" applyFill="1" applyAlignment="1">
      <alignment horizontal="right"/>
    </xf>
    <xf numFmtId="9" fontId="4" fillId="0" borderId="0" xfId="76" applyNumberFormat="1" applyFont="1" applyFill="1"/>
    <xf numFmtId="3" fontId="32" fillId="0" borderId="0" xfId="26" applyNumberFormat="1" applyFont="1" applyFill="1" applyBorder="1" applyAlignment="1">
      <alignment horizontal="right"/>
    </xf>
    <xf numFmtId="0" fontId="33" fillId="0" borderId="0" xfId="26" applyFont="1" applyFill="1" applyBorder="1" applyAlignment="1">
      <alignment horizontal="right"/>
    </xf>
    <xf numFmtId="9" fontId="33" fillId="0" borderId="0" xfId="26" applyNumberFormat="1" applyFont="1" applyFill="1" applyBorder="1" applyAlignment="1">
      <alignment horizontal="right"/>
    </xf>
    <xf numFmtId="3" fontId="43" fillId="0" borderId="0" xfId="26" applyNumberFormat="1" applyFont="1" applyFill="1" applyBorder="1"/>
    <xf numFmtId="0" fontId="3" fillId="0" borderId="47" xfId="26" applyFont="1" applyFill="1" applyBorder="1" applyAlignment="1">
      <alignment vertical="center"/>
    </xf>
    <xf numFmtId="169" fontId="3" fillId="0" borderId="47" xfId="26" applyNumberFormat="1" applyFont="1" applyFill="1" applyBorder="1" applyAlignment="1">
      <alignment vertical="center"/>
    </xf>
    <xf numFmtId="167" fontId="3" fillId="0" borderId="47" xfId="26" applyNumberFormat="1" applyFont="1" applyFill="1" applyBorder="1" applyAlignment="1">
      <alignment vertical="center"/>
    </xf>
    <xf numFmtId="3" fontId="0" fillId="0" borderId="0" xfId="0" applyNumberFormat="1"/>
    <xf numFmtId="3" fontId="0" fillId="8" borderId="87" xfId="0" applyNumberFormat="1" applyFont="1" applyFill="1" applyBorder="1"/>
    <xf numFmtId="3" fontId="59" fillId="9" borderId="88" xfId="0" applyNumberFormat="1" applyFont="1" applyFill="1" applyBorder="1"/>
    <xf numFmtId="3" fontId="59" fillId="9" borderId="87" xfId="0" applyNumberFormat="1" applyFont="1" applyFill="1" applyBorder="1"/>
    <xf numFmtId="0" fontId="60" fillId="0" borderId="0" xfId="1" applyFont="1" applyFill="1"/>
    <xf numFmtId="3" fontId="55" fillId="0" borderId="0" xfId="26" applyNumberFormat="1" applyFont="1" applyFill="1" applyBorder="1" applyAlignment="1"/>
    <xf numFmtId="3" fontId="42" fillId="2" borderId="91" xfId="0" applyNumberFormat="1" applyFont="1" applyFill="1" applyBorder="1" applyAlignment="1">
      <alignment horizontal="center" vertical="center"/>
    </xf>
    <xf numFmtId="0" fontId="42" fillId="2" borderId="92" xfId="0" applyFont="1" applyFill="1" applyBorder="1" applyAlignment="1">
      <alignment horizontal="center" vertical="center"/>
    </xf>
    <xf numFmtId="0" fontId="42" fillId="2" borderId="93" xfId="0" applyFont="1" applyFill="1" applyBorder="1" applyAlignment="1">
      <alignment horizontal="center" vertical="center"/>
    </xf>
    <xf numFmtId="3" fontId="61" fillId="2" borderId="94" xfId="0" applyNumberFormat="1" applyFont="1" applyFill="1" applyBorder="1" applyAlignment="1">
      <alignment horizontal="center" vertical="center" wrapText="1"/>
    </xf>
    <xf numFmtId="0" fontId="61" fillId="2" borderId="95" xfId="0" applyFont="1" applyFill="1" applyBorder="1" applyAlignment="1">
      <alignment horizontal="center" vertical="center" wrapText="1"/>
    </xf>
    <xf numFmtId="0" fontId="61" fillId="2" borderId="96" xfId="0" applyFont="1" applyFill="1" applyBorder="1" applyAlignment="1">
      <alignment horizontal="center" vertical="center" wrapText="1"/>
    </xf>
    <xf numFmtId="0" fontId="42" fillId="2" borderId="97" xfId="0" applyFont="1" applyFill="1" applyBorder="1" applyAlignment="1"/>
    <xf numFmtId="0" fontId="42" fillId="2" borderId="99" xfId="0" applyFont="1" applyFill="1" applyBorder="1" applyAlignment="1">
      <alignment horizontal="left" indent="1"/>
    </xf>
    <xf numFmtId="0" fontId="42" fillId="2" borderId="105" xfId="0" applyFont="1" applyFill="1" applyBorder="1" applyAlignment="1">
      <alignment horizontal="left" indent="1"/>
    </xf>
    <xf numFmtId="0" fontId="42" fillId="4" borderId="97" xfId="0" applyFont="1" applyFill="1" applyBorder="1" applyAlignment="1"/>
    <xf numFmtId="0" fontId="42" fillId="4" borderId="99" xfId="0" applyFont="1" applyFill="1" applyBorder="1" applyAlignment="1">
      <alignment horizontal="left" indent="1"/>
    </xf>
    <xf numFmtId="0" fontId="42" fillId="4" borderId="110" xfId="0" applyFont="1" applyFill="1" applyBorder="1" applyAlignment="1">
      <alignment horizontal="left" indent="1"/>
    </xf>
    <xf numFmtId="0" fontId="35" fillId="2" borderId="99" xfId="0" quotePrefix="1" applyFont="1" applyFill="1" applyBorder="1" applyAlignment="1">
      <alignment horizontal="left" indent="2"/>
    </xf>
    <xf numFmtId="0" fontId="35" fillId="2" borderId="105" xfId="0" quotePrefix="1" applyFont="1" applyFill="1" applyBorder="1" applyAlignment="1">
      <alignment horizontal="left" indent="2"/>
    </xf>
    <xf numFmtId="0" fontId="42" fillId="2" borderId="97" xfId="0" applyFont="1" applyFill="1" applyBorder="1" applyAlignment="1">
      <alignment horizontal="left" indent="1"/>
    </xf>
    <xf numFmtId="0" fontId="42" fillId="2" borderId="110" xfId="0" applyFont="1" applyFill="1" applyBorder="1" applyAlignment="1">
      <alignment horizontal="left" indent="1"/>
    </xf>
    <xf numFmtId="0" fontId="42" fillId="4" borderId="105" xfId="0" applyFont="1" applyFill="1" applyBorder="1" applyAlignment="1">
      <alignment horizontal="left" indent="1"/>
    </xf>
    <xf numFmtId="0" fontId="35" fillId="0" borderId="115" xfId="0" applyFont="1" applyBorder="1"/>
    <xf numFmtId="3" fontId="35" fillId="0" borderId="115" xfId="0" applyNumberFormat="1" applyFont="1" applyBorder="1"/>
    <xf numFmtId="0" fontId="42" fillId="4" borderId="89" xfId="0" applyFont="1" applyFill="1" applyBorder="1" applyAlignment="1">
      <alignment horizontal="center" vertical="center"/>
    </xf>
    <xf numFmtId="0" fontId="42" fillId="4" borderId="68" xfId="0" applyFont="1" applyFill="1" applyBorder="1" applyAlignment="1">
      <alignment horizontal="center" vertical="center"/>
    </xf>
    <xf numFmtId="0" fontId="0" fillId="0" borderId="0" xfId="0" applyNumberFormat="1"/>
    <xf numFmtId="3" fontId="42" fillId="2" borderId="114" xfId="0" applyNumberFormat="1" applyFont="1" applyFill="1" applyBorder="1" applyAlignment="1">
      <alignment horizontal="center" vertical="center"/>
    </xf>
    <xf numFmtId="3" fontId="61" fillId="2" borderId="112" xfId="0" applyNumberFormat="1" applyFont="1" applyFill="1" applyBorder="1" applyAlignment="1">
      <alignment horizontal="center" vertical="center" wrapText="1"/>
    </xf>
    <xf numFmtId="174" fontId="42" fillId="4" borderId="98" xfId="0" applyNumberFormat="1" applyFont="1" applyFill="1" applyBorder="1" applyAlignment="1"/>
    <xf numFmtId="174" fontId="42" fillId="4" borderId="91" xfId="0" applyNumberFormat="1" applyFont="1" applyFill="1" applyBorder="1" applyAlignment="1"/>
    <xf numFmtId="174" fontId="42" fillId="4" borderId="92" xfId="0" applyNumberFormat="1" applyFont="1" applyFill="1" applyBorder="1" applyAlignment="1"/>
    <xf numFmtId="174" fontId="42" fillId="4" borderId="93" xfId="0" applyNumberFormat="1" applyFont="1" applyFill="1" applyBorder="1" applyAlignment="1"/>
    <xf numFmtId="174" fontId="42" fillId="0" borderId="100" xfId="0" applyNumberFormat="1" applyFont="1" applyBorder="1"/>
    <xf numFmtId="174" fontId="35" fillId="0" borderId="104" xfId="0" applyNumberFormat="1" applyFont="1" applyBorder="1"/>
    <xf numFmtId="174" fontId="35" fillId="0" borderId="102" xfId="0" applyNumberFormat="1" applyFont="1" applyBorder="1"/>
    <xf numFmtId="174" fontId="35" fillId="0" borderId="103" xfId="0" applyNumberFormat="1" applyFont="1" applyBorder="1"/>
    <xf numFmtId="174" fontId="42" fillId="0" borderId="111" xfId="0" applyNumberFormat="1" applyFont="1" applyBorder="1"/>
    <xf numFmtId="174" fontId="35" fillId="0" borderId="112" xfId="0" applyNumberFormat="1" applyFont="1" applyBorder="1"/>
    <xf numFmtId="174" fontId="35" fillId="0" borderId="95" xfId="0" applyNumberFormat="1" applyFont="1" applyBorder="1"/>
    <xf numFmtId="174" fontId="35" fillId="0" borderId="96" xfId="0" applyNumberFormat="1" applyFont="1" applyBorder="1"/>
    <xf numFmtId="174" fontId="42" fillId="2" borderId="113" xfId="0" applyNumberFormat="1" applyFont="1" applyFill="1" applyBorder="1" applyAlignment="1"/>
    <xf numFmtId="174" fontId="42" fillId="2" borderId="91" xfId="0" applyNumberFormat="1" applyFont="1" applyFill="1" applyBorder="1" applyAlignment="1"/>
    <xf numFmtId="174" fontId="42" fillId="2" borderId="92" xfId="0" applyNumberFormat="1" applyFont="1" applyFill="1" applyBorder="1" applyAlignment="1"/>
    <xf numFmtId="174" fontId="42" fillId="2" borderId="93" xfId="0" applyNumberFormat="1" applyFont="1" applyFill="1" applyBorder="1" applyAlignment="1"/>
    <xf numFmtId="174" fontId="42" fillId="0" borderId="106" xfId="0" applyNumberFormat="1" applyFont="1" applyBorder="1"/>
    <xf numFmtId="174" fontId="35" fillId="0" borderId="107" xfId="0" applyNumberFormat="1" applyFont="1" applyBorder="1"/>
    <xf numFmtId="174" fontId="35" fillId="0" borderId="108" xfId="0" applyNumberFormat="1" applyFont="1" applyBorder="1"/>
    <xf numFmtId="174" fontId="35" fillId="0" borderId="109" xfId="0" applyNumberFormat="1" applyFont="1" applyBorder="1"/>
    <xf numFmtId="174" fontId="42" fillId="0" borderId="98" xfId="0" applyNumberFormat="1" applyFont="1" applyBorder="1"/>
    <xf numFmtId="174" fontId="35" fillId="0" borderId="114" xfId="0" applyNumberFormat="1" applyFont="1" applyBorder="1"/>
    <xf numFmtId="174" fontId="35" fillId="0" borderId="92" xfId="0" applyNumberFormat="1" applyFont="1" applyBorder="1"/>
    <xf numFmtId="174" fontId="35" fillId="0" borderId="93" xfId="0" applyNumberFormat="1" applyFont="1" applyBorder="1"/>
    <xf numFmtId="174" fontId="35" fillId="0" borderId="101" xfId="0" applyNumberFormat="1" applyFont="1" applyBorder="1"/>
    <xf numFmtId="174" fontId="35" fillId="0" borderId="94" xfId="0" applyNumberFormat="1" applyFont="1" applyBorder="1"/>
    <xf numFmtId="175" fontId="42" fillId="2" borderId="98" xfId="0" applyNumberFormat="1" applyFont="1" applyFill="1" applyBorder="1" applyAlignment="1"/>
    <xf numFmtId="175" fontId="35" fillId="2" borderId="91" xfId="0" applyNumberFormat="1" applyFont="1" applyFill="1" applyBorder="1" applyAlignment="1"/>
    <xf numFmtId="175" fontId="35" fillId="2" borderId="92" xfId="0" applyNumberFormat="1" applyFont="1" applyFill="1" applyBorder="1" applyAlignment="1"/>
    <xf numFmtId="175" fontId="35" fillId="2" borderId="93" xfId="0" applyNumberFormat="1" applyFont="1" applyFill="1" applyBorder="1" applyAlignment="1"/>
    <xf numFmtId="175" fontId="42" fillId="0" borderId="100" xfId="0" applyNumberFormat="1" applyFont="1" applyBorder="1"/>
    <xf numFmtId="175" fontId="35" fillId="0" borderId="101" xfId="0" applyNumberFormat="1" applyFont="1" applyBorder="1"/>
    <xf numFmtId="175" fontId="35" fillId="0" borderId="102" xfId="0" applyNumberFormat="1" applyFont="1" applyBorder="1"/>
    <xf numFmtId="175" fontId="35" fillId="0" borderId="103" xfId="0" applyNumberFormat="1" applyFont="1" applyBorder="1"/>
    <xf numFmtId="175" fontId="35" fillId="0" borderId="104" xfId="0" applyNumberFormat="1" applyFont="1" applyBorder="1"/>
    <xf numFmtId="175" fontId="42" fillId="0" borderId="106" xfId="0" applyNumberFormat="1" applyFont="1" applyBorder="1"/>
    <xf numFmtId="175" fontId="35" fillId="0" borderId="107" xfId="0" applyNumberFormat="1" applyFont="1" applyBorder="1"/>
    <xf numFmtId="175" fontId="35" fillId="0" borderId="108" xfId="0" applyNumberFormat="1" applyFont="1" applyBorder="1"/>
    <xf numFmtId="175" fontId="35" fillId="0" borderId="109" xfId="0" applyNumberFormat="1" applyFont="1" applyBorder="1"/>
    <xf numFmtId="0" fontId="28" fillId="2" borderId="20" xfId="1" applyFill="1" applyBorder="1"/>
    <xf numFmtId="0" fontId="63" fillId="0" borderId="0" xfId="0" applyFont="1" applyAlignment="1">
      <alignment horizontal="left" vertical="center" indent="1"/>
    </xf>
    <xf numFmtId="0" fontId="63" fillId="0" borderId="0" xfId="0" applyFont="1" applyAlignment="1">
      <alignment vertical="center"/>
    </xf>
    <xf numFmtId="0" fontId="0" fillId="0" borderId="0" xfId="0" applyAlignment="1"/>
    <xf numFmtId="0" fontId="42" fillId="3" borderId="29" xfId="0" applyFont="1" applyFill="1" applyBorder="1" applyAlignment="1"/>
    <xf numFmtId="0" fontId="35" fillId="0" borderId="48" xfId="0" applyFont="1" applyBorder="1" applyAlignment="1"/>
    <xf numFmtId="0" fontId="42" fillId="2" borderId="29" xfId="0" applyFont="1" applyFill="1" applyBorder="1" applyAlignment="1"/>
    <xf numFmtId="0" fontId="42" fillId="4" borderId="29" xfId="0" applyFont="1" applyFill="1" applyBorder="1" applyAlignment="1"/>
    <xf numFmtId="0" fontId="44" fillId="0" borderId="2" xfId="0" applyFont="1" applyFill="1" applyBorder="1" applyAlignment="1"/>
    <xf numFmtId="0" fontId="44" fillId="0" borderId="2" xfId="0" applyFont="1" applyBorder="1" applyAlignment="1"/>
    <xf numFmtId="0" fontId="33" fillId="5" borderId="19" xfId="81" applyFont="1" applyFill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0" fontId="34" fillId="2" borderId="52" xfId="81" applyFont="1" applyFill="1" applyBorder="1" applyAlignment="1">
      <alignment horizontal="center"/>
    </xf>
    <xf numFmtId="0" fontId="34" fillId="2" borderId="53" xfId="81" applyFont="1" applyFill="1" applyBorder="1" applyAlignment="1">
      <alignment horizontal="center"/>
    </xf>
    <xf numFmtId="0" fontId="34" fillId="2" borderId="50" xfId="81" applyFont="1" applyFill="1" applyBorder="1" applyAlignment="1">
      <alignment horizontal="center"/>
    </xf>
    <xf numFmtId="0" fontId="34" fillId="2" borderId="84" xfId="81" applyFont="1" applyFill="1" applyBorder="1" applyAlignment="1">
      <alignment horizontal="center"/>
    </xf>
    <xf numFmtId="0" fontId="34" fillId="2" borderId="51" xfId="81" applyFont="1" applyFill="1" applyBorder="1" applyAlignment="1">
      <alignment horizontal="center"/>
    </xf>
    <xf numFmtId="0" fontId="2" fillId="0" borderId="2" xfId="0" applyFont="1" applyFill="1" applyBorder="1" applyAlignment="1"/>
    <xf numFmtId="0" fontId="41" fillId="2" borderId="27" xfId="0" applyFont="1" applyFill="1" applyBorder="1" applyAlignment="1">
      <alignment horizontal="center" vertical="center"/>
    </xf>
    <xf numFmtId="0" fontId="35" fillId="2" borderId="32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35" fillId="2" borderId="12" xfId="0" applyFont="1" applyFill="1" applyBorder="1" applyAlignment="1">
      <alignment horizontal="center" vertical="center"/>
    </xf>
    <xf numFmtId="0" fontId="6" fillId="0" borderId="2" xfId="0" applyFont="1" applyFill="1" applyBorder="1" applyAlignment="1"/>
    <xf numFmtId="0" fontId="35" fillId="2" borderId="10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center" vertical="center"/>
    </xf>
    <xf numFmtId="0" fontId="41" fillId="2" borderId="32" xfId="0" applyFont="1" applyFill="1" applyBorder="1" applyAlignment="1">
      <alignment horizontal="center" vertical="center"/>
    </xf>
    <xf numFmtId="0" fontId="35" fillId="2" borderId="28" xfId="0" applyFont="1" applyFill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 wrapText="1"/>
    </xf>
    <xf numFmtId="0" fontId="35" fillId="2" borderId="26" xfId="0" applyFont="1" applyFill="1" applyBorder="1" applyAlignment="1">
      <alignment horizontal="center" vertical="center" wrapText="1"/>
    </xf>
    <xf numFmtId="0" fontId="39" fillId="2" borderId="11" xfId="0" applyFont="1" applyFill="1" applyBorder="1" applyAlignment="1">
      <alignment horizontal="center" vertical="center" wrapText="1"/>
    </xf>
    <xf numFmtId="0" fontId="39" fillId="2" borderId="12" xfId="0" applyFont="1" applyFill="1" applyBorder="1" applyAlignment="1">
      <alignment horizontal="center" vertical="center" wrapText="1"/>
    </xf>
    <xf numFmtId="0" fontId="35" fillId="2" borderId="25" xfId="0" applyFont="1" applyFill="1" applyBorder="1" applyAlignment="1">
      <alignment horizontal="center" vertical="center" wrapText="1"/>
    </xf>
    <xf numFmtId="0" fontId="2" fillId="0" borderId="2" xfId="14" applyFont="1" applyFill="1" applyBorder="1" applyAlignment="1"/>
    <xf numFmtId="0" fontId="44" fillId="0" borderId="2" xfId="14" applyFont="1" applyFill="1" applyBorder="1" applyAlignment="1"/>
    <xf numFmtId="165" fontId="34" fillId="0" borderId="0" xfId="53" applyNumberFormat="1" applyFont="1" applyFill="1" applyBorder="1" applyAlignment="1">
      <alignment horizontal="center"/>
    </xf>
    <xf numFmtId="165" fontId="32" fillId="0" borderId="0" xfId="79" applyNumberFormat="1" applyFont="1" applyFill="1" applyBorder="1" applyAlignment="1">
      <alignment horizontal="center"/>
    </xf>
    <xf numFmtId="165" fontId="34" fillId="2" borderId="27" xfId="53" applyNumberFormat="1" applyFont="1" applyFill="1" applyBorder="1" applyAlignment="1">
      <alignment horizontal="right"/>
    </xf>
    <xf numFmtId="165" fontId="32" fillId="2" borderId="32" xfId="79" applyNumberFormat="1" applyFont="1" applyFill="1" applyBorder="1" applyAlignment="1">
      <alignment horizontal="right"/>
    </xf>
    <xf numFmtId="165" fontId="45" fillId="0" borderId="2" xfId="14" applyNumberFormat="1" applyFont="1" applyFill="1" applyBorder="1" applyAlignment="1"/>
    <xf numFmtId="0" fontId="6" fillId="0" borderId="2" xfId="14" applyFont="1" applyFill="1" applyBorder="1" applyAlignment="1">
      <alignment wrapText="1"/>
    </xf>
    <xf numFmtId="0" fontId="6" fillId="0" borderId="2" xfId="14" applyFont="1" applyFill="1" applyBorder="1" applyAlignment="1"/>
    <xf numFmtId="3" fontId="31" fillId="2" borderId="69" xfId="78" applyNumberFormat="1" applyFont="1" applyFill="1" applyBorder="1" applyAlignment="1">
      <alignment horizontal="left"/>
    </xf>
    <xf numFmtId="0" fontId="35" fillId="2" borderId="58" xfId="0" applyFont="1" applyFill="1" applyBorder="1" applyAlignment="1"/>
    <xf numFmtId="3" fontId="31" fillId="2" borderId="60" xfId="78" applyNumberFormat="1" applyFont="1" applyFill="1" applyBorder="1" applyAlignment="1"/>
    <xf numFmtId="0" fontId="42" fillId="2" borderId="69" xfId="0" applyFont="1" applyFill="1" applyBorder="1" applyAlignment="1">
      <alignment horizontal="left"/>
    </xf>
    <xf numFmtId="0" fontId="35" fillId="2" borderId="54" xfId="0" applyFont="1" applyFill="1" applyBorder="1" applyAlignment="1">
      <alignment horizontal="left"/>
    </xf>
    <xf numFmtId="0" fontId="35" fillId="2" borderId="58" xfId="0" applyFont="1" applyFill="1" applyBorder="1" applyAlignment="1">
      <alignment horizontal="left"/>
    </xf>
    <xf numFmtId="0" fontId="42" fillId="2" borderId="60" xfId="0" applyFont="1" applyFill="1" applyBorder="1" applyAlignment="1">
      <alignment horizontal="left"/>
    </xf>
    <xf numFmtId="3" fontId="42" fillId="2" borderId="60" xfId="0" applyNumberFormat="1" applyFont="1" applyFill="1" applyBorder="1" applyAlignment="1">
      <alignment horizontal="left"/>
    </xf>
    <xf numFmtId="3" fontId="35" fillId="2" borderId="55" xfId="0" applyNumberFormat="1" applyFont="1" applyFill="1" applyBorder="1" applyAlignment="1">
      <alignment horizontal="left"/>
    </xf>
    <xf numFmtId="0" fontId="3" fillId="2" borderId="32" xfId="80" applyFont="1" applyFill="1" applyBorder="1" applyAlignment="1">
      <alignment horizontal="left"/>
    </xf>
    <xf numFmtId="0" fontId="3" fillId="2" borderId="27" xfId="80" applyFont="1" applyFill="1" applyBorder="1" applyAlignment="1">
      <alignment horizontal="left"/>
    </xf>
    <xf numFmtId="0" fontId="3" fillId="2" borderId="28" xfId="80" applyFont="1" applyFill="1" applyBorder="1" applyAlignment="1">
      <alignment horizontal="left"/>
    </xf>
    <xf numFmtId="0" fontId="3" fillId="2" borderId="61" xfId="80" applyFont="1" applyFill="1" applyBorder="1" applyAlignment="1">
      <alignment horizontal="left"/>
    </xf>
    <xf numFmtId="0" fontId="3" fillId="2" borderId="43" xfId="79" applyFont="1" applyFill="1" applyBorder="1" applyAlignment="1"/>
    <xf numFmtId="0" fontId="5" fillId="2" borderId="43" xfId="79" applyFont="1" applyFill="1" applyBorder="1" applyAlignment="1"/>
    <xf numFmtId="0" fontId="5" fillId="2" borderId="72" xfId="79" applyFont="1" applyFill="1" applyBorder="1" applyAlignment="1"/>
    <xf numFmtId="0" fontId="3" fillId="0" borderId="0" xfId="79" applyFont="1" applyFill="1" applyBorder="1" applyAlignment="1">
      <alignment horizontal="left"/>
    </xf>
    <xf numFmtId="0" fontId="5" fillId="0" borderId="0" xfId="79" applyFont="1" applyFill="1" applyBorder="1" applyAlignment="1"/>
    <xf numFmtId="0" fontId="3" fillId="2" borderId="70" xfId="53" applyFont="1" applyFill="1" applyBorder="1" applyAlignment="1">
      <alignment horizontal="right"/>
    </xf>
    <xf numFmtId="0" fontId="5" fillId="2" borderId="71" xfId="79" applyFont="1" applyFill="1" applyBorder="1" applyAlignment="1"/>
    <xf numFmtId="0" fontId="3" fillId="2" borderId="44" xfId="79" applyFont="1" applyFill="1" applyBorder="1" applyAlignment="1">
      <alignment horizontal="left"/>
    </xf>
    <xf numFmtId="0" fontId="5" fillId="2" borderId="43" xfId="79" applyFont="1" applyFill="1" applyBorder="1" applyAlignment="1">
      <alignment horizontal="left"/>
    </xf>
    <xf numFmtId="0" fontId="3" fillId="2" borderId="43" xfId="79" applyFont="1" applyFill="1" applyBorder="1" applyAlignment="1">
      <alignment horizontal="left"/>
    </xf>
    <xf numFmtId="0" fontId="5" fillId="2" borderId="72" xfId="79" applyFont="1" applyFill="1" applyBorder="1" applyAlignment="1">
      <alignment horizontal="left"/>
    </xf>
    <xf numFmtId="174" fontId="35" fillId="0" borderId="95" xfId="0" applyNumberFormat="1" applyFont="1" applyBorder="1" applyAlignment="1"/>
    <xf numFmtId="0" fontId="2" fillId="0" borderId="2" xfId="26" applyFont="1" applyFill="1" applyBorder="1" applyAlignment="1"/>
    <xf numFmtId="0" fontId="0" fillId="0" borderId="2" xfId="0" applyBorder="1" applyAlignment="1"/>
    <xf numFmtId="167" fontId="42" fillId="2" borderId="90" xfId="0" applyNumberFormat="1" applyFont="1" applyFill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174" fontId="35" fillId="0" borderId="102" xfId="0" applyNumberFormat="1" applyFont="1" applyBorder="1" applyAlignment="1"/>
    <xf numFmtId="174" fontId="42" fillId="4" borderId="92" xfId="0" applyNumberFormat="1" applyFont="1" applyFill="1" applyBorder="1" applyAlignment="1">
      <alignment horizontal="center"/>
    </xf>
    <xf numFmtId="0" fontId="56" fillId="0" borderId="2" xfId="26" applyFont="1" applyFill="1" applyBorder="1" applyAlignment="1"/>
    <xf numFmtId="0" fontId="2" fillId="0" borderId="2" xfId="0" applyFont="1" applyFill="1" applyBorder="1" applyAlignment="1">
      <alignment wrapText="1"/>
    </xf>
    <xf numFmtId="0" fontId="42" fillId="2" borderId="67" xfId="0" applyFont="1" applyFill="1" applyBorder="1" applyAlignment="1">
      <alignment vertical="center"/>
    </xf>
    <xf numFmtId="3" fontId="34" fillId="2" borderId="69" xfId="26" applyNumberFormat="1" applyFont="1" applyFill="1" applyBorder="1" applyAlignment="1">
      <alignment horizontal="center"/>
    </xf>
    <xf numFmtId="3" fontId="34" fillId="2" borderId="54" xfId="26" applyNumberFormat="1" applyFont="1" applyFill="1" applyBorder="1" applyAlignment="1">
      <alignment horizontal="center"/>
    </xf>
    <xf numFmtId="3" fontId="34" fillId="2" borderId="55" xfId="26" applyNumberFormat="1" applyFont="1" applyFill="1" applyBorder="1" applyAlignment="1">
      <alignment horizontal="center"/>
    </xf>
    <xf numFmtId="3" fontId="34" fillId="2" borderId="55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top" wrapText="1"/>
    </xf>
    <xf numFmtId="0" fontId="34" fillId="2" borderId="33" xfId="0" applyFont="1" applyFill="1" applyBorder="1" applyAlignment="1">
      <alignment horizontal="center" vertical="top"/>
    </xf>
    <xf numFmtId="49" fontId="34" fillId="2" borderId="33" xfId="0" applyNumberFormat="1" applyFont="1" applyFill="1" applyBorder="1" applyAlignment="1">
      <alignment horizontal="center" vertical="top"/>
    </xf>
    <xf numFmtId="0" fontId="34" fillId="2" borderId="33" xfId="0" applyFont="1" applyFill="1" applyBorder="1" applyAlignment="1">
      <alignment horizontal="center" vertical="center"/>
    </xf>
    <xf numFmtId="0" fontId="34" fillId="2" borderId="69" xfId="0" quotePrefix="1" applyFont="1" applyFill="1" applyBorder="1" applyAlignment="1">
      <alignment horizontal="center"/>
    </xf>
    <xf numFmtId="0" fontId="34" fillId="2" borderId="55" xfId="0" applyFont="1" applyFill="1" applyBorder="1" applyAlignment="1">
      <alignment horizontal="center"/>
    </xf>
    <xf numFmtId="9" fontId="46" fillId="2" borderId="55" xfId="0" applyNumberFormat="1" applyFont="1" applyFill="1" applyBorder="1" applyAlignment="1">
      <alignment horizontal="center" vertical="top"/>
    </xf>
    <xf numFmtId="0" fontId="34" fillId="2" borderId="69" xfId="0" quotePrefix="1" applyNumberFormat="1" applyFont="1" applyFill="1" applyBorder="1" applyAlignment="1">
      <alignment horizontal="center"/>
    </xf>
    <xf numFmtId="0" fontId="34" fillId="2" borderId="55" xfId="0" applyNumberFormat="1" applyFont="1" applyFill="1" applyBorder="1" applyAlignment="1">
      <alignment horizontal="center"/>
    </xf>
    <xf numFmtId="0" fontId="46" fillId="2" borderId="55" xfId="0" applyNumberFormat="1" applyFont="1" applyFill="1" applyBorder="1" applyAlignment="1">
      <alignment horizontal="center" vertical="top"/>
    </xf>
    <xf numFmtId="3" fontId="34" fillId="5" borderId="18" xfId="26" applyNumberFormat="1" applyFont="1" applyFill="1" applyBorder="1" applyAlignment="1">
      <alignment horizontal="center"/>
    </xf>
    <xf numFmtId="0" fontId="35" fillId="0" borderId="0" xfId="0" applyFont="1" applyBorder="1" applyAlignment="1">
      <alignment horizontal="center"/>
    </xf>
    <xf numFmtId="3" fontId="34" fillId="0" borderId="18" xfId="26" applyNumberFormat="1" applyFont="1" applyBorder="1" applyAlignment="1">
      <alignment horizontal="center"/>
    </xf>
    <xf numFmtId="0" fontId="35" fillId="0" borderId="19" xfId="0" applyFont="1" applyBorder="1" applyAlignment="1">
      <alignment horizontal="center"/>
    </xf>
    <xf numFmtId="168" fontId="32" fillId="5" borderId="18" xfId="26" applyNumberFormat="1" applyFont="1" applyFill="1" applyBorder="1" applyAlignment="1">
      <alignment horizontal="center"/>
    </xf>
    <xf numFmtId="0" fontId="35" fillId="0" borderId="19" xfId="98" applyFont="1" applyBorder="1" applyAlignment="1">
      <alignment horizontal="center"/>
    </xf>
    <xf numFmtId="0" fontId="6" fillId="0" borderId="2" xfId="26" applyFont="1" applyFill="1" applyBorder="1" applyAlignment="1"/>
    <xf numFmtId="3" fontId="34" fillId="2" borderId="33" xfId="26" applyNumberFormat="1" applyFont="1" applyFill="1" applyBorder="1" applyAlignment="1">
      <alignment horizontal="center" vertical="center"/>
    </xf>
    <xf numFmtId="3" fontId="34" fillId="2" borderId="68" xfId="26" applyNumberFormat="1" applyFont="1" applyFill="1" applyBorder="1" applyAlignment="1">
      <alignment horizontal="center" vertical="center"/>
    </xf>
    <xf numFmtId="3" fontId="34" fillId="0" borderId="54" xfId="26" applyNumberFormat="1" applyFont="1" applyFill="1" applyBorder="1" applyAlignment="1">
      <alignment horizontal="right" vertical="top"/>
    </xf>
    <xf numFmtId="3" fontId="34" fillId="4" borderId="69" xfId="26" applyNumberFormat="1" applyFont="1" applyFill="1" applyBorder="1" applyAlignment="1">
      <alignment horizontal="center" vertical="center" wrapText="1"/>
    </xf>
    <xf numFmtId="3" fontId="34" fillId="4" borderId="1" xfId="26" applyNumberFormat="1" applyFont="1" applyFill="1" applyBorder="1" applyAlignment="1">
      <alignment horizontal="center" vertical="center" wrapText="1"/>
    </xf>
    <xf numFmtId="3" fontId="34" fillId="4" borderId="69" xfId="26" applyNumberFormat="1" applyFont="1" applyFill="1" applyBorder="1" applyAlignment="1">
      <alignment horizontal="center"/>
    </xf>
    <xf numFmtId="3" fontId="34" fillId="4" borderId="54" xfId="26" applyNumberFormat="1" applyFont="1" applyFill="1" applyBorder="1" applyAlignment="1">
      <alignment horizontal="center"/>
    </xf>
    <xf numFmtId="3" fontId="34" fillId="4" borderId="55" xfId="26" applyNumberFormat="1" applyFont="1" applyFill="1" applyBorder="1" applyAlignment="1">
      <alignment horizontal="center"/>
    </xf>
    <xf numFmtId="3" fontId="34" fillId="3" borderId="33" xfId="26" applyNumberFormat="1" applyFont="1" applyFill="1" applyBorder="1" applyAlignment="1">
      <alignment horizontal="center" vertical="center" wrapText="1"/>
    </xf>
    <xf numFmtId="3" fontId="34" fillId="3" borderId="68" xfId="26" applyNumberFormat="1" applyFont="1" applyFill="1" applyBorder="1" applyAlignment="1">
      <alignment horizontal="center" vertical="center" wrapText="1"/>
    </xf>
    <xf numFmtId="3" fontId="34" fillId="3" borderId="69" xfId="26" applyNumberFormat="1" applyFont="1" applyFill="1" applyBorder="1" applyAlignment="1">
      <alignment horizontal="center"/>
    </xf>
    <xf numFmtId="3" fontId="34" fillId="3" borderId="54" xfId="26" applyNumberFormat="1" applyFont="1" applyFill="1" applyBorder="1" applyAlignment="1">
      <alignment horizontal="center"/>
    </xf>
    <xf numFmtId="3" fontId="34" fillId="3" borderId="55" xfId="26" applyNumberFormat="1" applyFont="1" applyFill="1" applyBorder="1" applyAlignment="1">
      <alignment horizontal="center"/>
    </xf>
    <xf numFmtId="0" fontId="35" fillId="0" borderId="54" xfId="0" applyFont="1" applyFill="1" applyBorder="1" applyAlignment="1">
      <alignment horizontal="right" vertical="top"/>
    </xf>
    <xf numFmtId="3" fontId="3" fillId="2" borderId="69" xfId="27" applyNumberFormat="1" applyFont="1" applyFill="1" applyBorder="1" applyAlignment="1">
      <alignment horizontal="center"/>
    </xf>
    <xf numFmtId="0" fontId="35" fillId="2" borderId="54" xfId="14" applyFont="1" applyFill="1" applyBorder="1" applyAlignment="1">
      <alignment horizontal="center"/>
    </xf>
    <xf numFmtId="0" fontId="35" fillId="2" borderId="55" xfId="14" applyFont="1" applyFill="1" applyBorder="1" applyAlignment="1">
      <alignment horizontal="center"/>
    </xf>
    <xf numFmtId="3" fontId="3" fillId="2" borderId="69" xfId="24" applyNumberFormat="1" applyFont="1" applyFill="1" applyBorder="1" applyAlignment="1">
      <alignment horizontal="center"/>
    </xf>
    <xf numFmtId="0" fontId="4" fillId="2" borderId="54" xfId="26" applyFont="1" applyFill="1" applyBorder="1" applyAlignment="1">
      <alignment horizontal="center"/>
    </xf>
    <xf numFmtId="169" fontId="3" fillId="2" borderId="33" xfId="26" applyNumberFormat="1" applyFont="1" applyFill="1" applyBorder="1" applyAlignment="1">
      <alignment horizontal="left" vertical="top"/>
    </xf>
    <xf numFmtId="3" fontId="3" fillId="2" borderId="33" xfId="26" applyNumberFormat="1" applyFont="1" applyFill="1" applyBorder="1" applyAlignment="1">
      <alignment horizontal="center" vertical="top"/>
    </xf>
    <xf numFmtId="3" fontId="3" fillId="2" borderId="69" xfId="26" applyNumberFormat="1" applyFont="1" applyFill="1" applyBorder="1" applyAlignment="1">
      <alignment horizontal="center"/>
    </xf>
    <xf numFmtId="3" fontId="3" fillId="2" borderId="55" xfId="26" applyNumberFormat="1" applyFont="1" applyFill="1" applyBorder="1" applyAlignment="1">
      <alignment horizontal="center"/>
    </xf>
    <xf numFmtId="49" fontId="3" fillId="2" borderId="33" xfId="26" applyNumberFormat="1" applyFont="1" applyFill="1" applyBorder="1" applyAlignment="1">
      <alignment horizontal="left" vertical="top"/>
    </xf>
    <xf numFmtId="0" fontId="3" fillId="2" borderId="69" xfId="26" quotePrefix="1" applyNumberFormat="1" applyFont="1" applyFill="1" applyBorder="1" applyAlignment="1">
      <alignment horizontal="center" vertical="top"/>
    </xf>
    <xf numFmtId="0" fontId="3" fillId="2" borderId="54" xfId="26" applyNumberFormat="1" applyFont="1" applyFill="1" applyBorder="1" applyAlignment="1">
      <alignment horizontal="center" vertical="top"/>
    </xf>
    <xf numFmtId="0" fontId="3" fillId="2" borderId="55" xfId="26" applyNumberFormat="1" applyFont="1" applyFill="1" applyBorder="1" applyAlignment="1">
      <alignment horizontal="center" vertical="top"/>
    </xf>
    <xf numFmtId="169" fontId="3" fillId="2" borderId="33" xfId="26" applyNumberFormat="1" applyFont="1" applyFill="1" applyBorder="1" applyAlignment="1">
      <alignment horizontal="left" vertical="top" wrapText="1"/>
    </xf>
    <xf numFmtId="0" fontId="34" fillId="2" borderId="33" xfId="0" applyFont="1" applyFill="1" applyBorder="1" applyAlignment="1">
      <alignment vertical="center" wrapText="1"/>
    </xf>
    <xf numFmtId="0" fontId="45" fillId="0" borderId="2" xfId="26" applyFont="1" applyFill="1" applyBorder="1" applyAlignment="1"/>
    <xf numFmtId="0" fontId="58" fillId="0" borderId="2" xfId="26" applyFont="1" applyFill="1" applyBorder="1" applyAlignment="1"/>
    <xf numFmtId="3" fontId="34" fillId="2" borderId="57" xfId="76" applyNumberFormat="1" applyFont="1" applyFill="1" applyBorder="1" applyAlignment="1">
      <alignment horizontal="center" vertical="center"/>
    </xf>
    <xf numFmtId="3" fontId="34" fillId="2" borderId="59" xfId="76" applyNumberFormat="1" applyFont="1" applyFill="1" applyBorder="1" applyAlignment="1">
      <alignment horizontal="center" vertical="center"/>
    </xf>
    <xf numFmtId="3" fontId="34" fillId="2" borderId="6" xfId="76" applyNumberFormat="1" applyFont="1" applyFill="1" applyBorder="1" applyAlignment="1">
      <alignment horizontal="center"/>
    </xf>
    <xf numFmtId="3" fontId="34" fillId="2" borderId="82" xfId="76" applyNumberFormat="1" applyFont="1" applyFill="1" applyBorder="1" applyAlignment="1">
      <alignment horizontal="center"/>
    </xf>
    <xf numFmtId="3" fontId="34" fillId="2" borderId="8" xfId="76" applyNumberFormat="1" applyFont="1" applyFill="1" applyBorder="1" applyAlignment="1">
      <alignment horizontal="center"/>
    </xf>
    <xf numFmtId="3" fontId="34" fillId="2" borderId="7" xfId="76" applyNumberFormat="1" applyFont="1" applyFill="1" applyBorder="1" applyAlignment="1">
      <alignment horizontal="center"/>
    </xf>
    <xf numFmtId="3" fontId="36" fillId="10" borderId="118" xfId="0" applyNumberFormat="1" applyFont="1" applyFill="1" applyBorder="1" applyAlignment="1">
      <alignment horizontal="right" vertical="top"/>
    </xf>
    <xf numFmtId="3" fontId="36" fillId="10" borderId="119" xfId="0" applyNumberFormat="1" applyFont="1" applyFill="1" applyBorder="1" applyAlignment="1">
      <alignment horizontal="right" vertical="top"/>
    </xf>
    <xf numFmtId="176" fontId="36" fillId="10" borderId="120" xfId="0" applyNumberFormat="1" applyFont="1" applyFill="1" applyBorder="1" applyAlignment="1">
      <alignment horizontal="right" vertical="top"/>
    </xf>
    <xf numFmtId="3" fontId="36" fillId="0" borderId="118" xfId="0" applyNumberFormat="1" applyFont="1" applyBorder="1" applyAlignment="1">
      <alignment horizontal="right" vertical="top"/>
    </xf>
    <xf numFmtId="176" fontId="36" fillId="10" borderId="121" xfId="0" applyNumberFormat="1" applyFont="1" applyFill="1" applyBorder="1" applyAlignment="1">
      <alignment horizontal="right" vertical="top"/>
    </xf>
    <xf numFmtId="3" fontId="38" fillId="10" borderId="123" xfId="0" applyNumberFormat="1" applyFont="1" applyFill="1" applyBorder="1" applyAlignment="1">
      <alignment horizontal="right" vertical="top"/>
    </xf>
    <xf numFmtId="3" fontId="38" fillId="10" borderId="124" xfId="0" applyNumberFormat="1" applyFont="1" applyFill="1" applyBorder="1" applyAlignment="1">
      <alignment horizontal="right" vertical="top"/>
    </xf>
    <xf numFmtId="0" fontId="38" fillId="10" borderId="125" xfId="0" applyFont="1" applyFill="1" applyBorder="1" applyAlignment="1">
      <alignment horizontal="right" vertical="top"/>
    </xf>
    <xf numFmtId="3" fontId="38" fillId="0" borderId="123" xfId="0" applyNumberFormat="1" applyFont="1" applyBorder="1" applyAlignment="1">
      <alignment horizontal="right" vertical="top"/>
    </xf>
    <xf numFmtId="0" fontId="38" fillId="10" borderId="126" xfId="0" applyFont="1" applyFill="1" applyBorder="1" applyAlignment="1">
      <alignment horizontal="right" vertical="top"/>
    </xf>
    <xf numFmtId="0" fontId="36" fillId="10" borderId="120" xfId="0" applyFont="1" applyFill="1" applyBorder="1" applyAlignment="1">
      <alignment horizontal="right" vertical="top"/>
    </xf>
    <xf numFmtId="0" fontId="36" fillId="10" borderId="121" xfId="0" applyFont="1" applyFill="1" applyBorder="1" applyAlignment="1">
      <alignment horizontal="right" vertical="top"/>
    </xf>
    <xf numFmtId="176" fontId="38" fillId="10" borderId="125" xfId="0" applyNumberFormat="1" applyFont="1" applyFill="1" applyBorder="1" applyAlignment="1">
      <alignment horizontal="right" vertical="top"/>
    </xf>
    <xf numFmtId="176" fontId="38" fillId="10" borderId="126" xfId="0" applyNumberFormat="1" applyFont="1" applyFill="1" applyBorder="1" applyAlignment="1">
      <alignment horizontal="right" vertical="top"/>
    </xf>
    <xf numFmtId="3" fontId="38" fillId="0" borderId="127" xfId="0" applyNumberFormat="1" applyFont="1" applyBorder="1" applyAlignment="1">
      <alignment horizontal="right" vertical="top"/>
    </xf>
    <xf numFmtId="3" fontId="38" fillId="0" borderId="128" xfId="0" applyNumberFormat="1" applyFont="1" applyBorder="1" applyAlignment="1">
      <alignment horizontal="right" vertical="top"/>
    </xf>
    <xf numFmtId="0" fontId="38" fillId="0" borderId="129" xfId="0" applyFont="1" applyBorder="1" applyAlignment="1">
      <alignment horizontal="right" vertical="top"/>
    </xf>
    <xf numFmtId="176" fontId="38" fillId="10" borderId="130" xfId="0" applyNumberFormat="1" applyFont="1" applyFill="1" applyBorder="1" applyAlignment="1">
      <alignment horizontal="right" vertical="top"/>
    </xf>
    <xf numFmtId="0" fontId="40" fillId="11" borderId="117" xfId="0" applyFont="1" applyFill="1" applyBorder="1" applyAlignment="1">
      <alignment vertical="top"/>
    </xf>
    <xf numFmtId="0" fontId="40" fillId="11" borderId="117" xfId="0" applyFont="1" applyFill="1" applyBorder="1" applyAlignment="1">
      <alignment vertical="top" indent="2"/>
    </xf>
    <xf numFmtId="0" fontId="40" fillId="11" borderId="117" xfId="0" applyFont="1" applyFill="1" applyBorder="1" applyAlignment="1">
      <alignment vertical="top" indent="4"/>
    </xf>
    <xf numFmtId="0" fontId="41" fillId="11" borderId="122" xfId="0" applyFont="1" applyFill="1" applyBorder="1" applyAlignment="1">
      <alignment vertical="top" indent="6"/>
    </xf>
    <xf numFmtId="0" fontId="40" fillId="11" borderId="117" xfId="0" applyFont="1" applyFill="1" applyBorder="1" applyAlignment="1">
      <alignment vertical="top" indent="8"/>
    </xf>
    <xf numFmtId="0" fontId="41" fillId="11" borderId="122" xfId="0" applyFont="1" applyFill="1" applyBorder="1" applyAlignment="1">
      <alignment vertical="top" indent="2"/>
    </xf>
    <xf numFmtId="0" fontId="40" fillId="11" borderId="117" xfId="0" applyFont="1" applyFill="1" applyBorder="1" applyAlignment="1">
      <alignment vertical="top" indent="6"/>
    </xf>
    <xf numFmtId="0" fontId="41" fillId="11" borderId="122" xfId="0" applyFont="1" applyFill="1" applyBorder="1" applyAlignment="1">
      <alignment vertical="top" indent="4"/>
    </xf>
    <xf numFmtId="0" fontId="41" fillId="11" borderId="122" xfId="0" applyFont="1" applyFill="1" applyBorder="1" applyAlignment="1">
      <alignment vertical="top"/>
    </xf>
    <xf numFmtId="0" fontId="35" fillId="11" borderId="117" xfId="0" applyFont="1" applyFill="1" applyBorder="1"/>
    <xf numFmtId="0" fontId="41" fillId="11" borderId="21" xfId="0" applyFont="1" applyFill="1" applyBorder="1" applyAlignment="1">
      <alignment vertical="top"/>
    </xf>
    <xf numFmtId="0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 applyAlignment="1">
      <alignment horizontal="left"/>
    </xf>
    <xf numFmtId="3" fontId="32" fillId="0" borderId="0" xfId="0" applyNumberFormat="1" applyFont="1" applyFill="1" applyBorder="1"/>
    <xf numFmtId="9" fontId="32" fillId="0" borderId="0" xfId="0" applyNumberFormat="1" applyFont="1" applyFill="1" applyBorder="1"/>
    <xf numFmtId="165" fontId="34" fillId="2" borderId="131" xfId="53" applyNumberFormat="1" applyFont="1" applyFill="1" applyBorder="1" applyAlignment="1">
      <alignment horizontal="left"/>
    </xf>
    <xf numFmtId="165" fontId="34" fillId="2" borderId="132" xfId="53" applyNumberFormat="1" applyFont="1" applyFill="1" applyBorder="1" applyAlignment="1">
      <alignment horizontal="left"/>
    </xf>
    <xf numFmtId="165" fontId="34" fillId="2" borderId="65" xfId="53" applyNumberFormat="1" applyFont="1" applyFill="1" applyBorder="1" applyAlignment="1">
      <alignment horizontal="left"/>
    </xf>
    <xf numFmtId="3" fontId="34" fillId="2" borderId="65" xfId="53" applyNumberFormat="1" applyFont="1" applyFill="1" applyBorder="1" applyAlignment="1">
      <alignment horizontal="left"/>
    </xf>
    <xf numFmtId="3" fontId="34" fillId="2" borderId="73" xfId="53" applyNumberFormat="1" applyFont="1" applyFill="1" applyBorder="1" applyAlignment="1">
      <alignment horizontal="left"/>
    </xf>
    <xf numFmtId="0" fontId="35" fillId="0" borderId="91" xfId="0" applyFont="1" applyFill="1" applyBorder="1"/>
    <xf numFmtId="0" fontId="35" fillId="0" borderId="92" xfId="0" applyFont="1" applyFill="1" applyBorder="1"/>
    <xf numFmtId="165" fontId="35" fillId="0" borderId="92" xfId="0" applyNumberFormat="1" applyFont="1" applyFill="1" applyBorder="1"/>
    <xf numFmtId="165" fontId="35" fillId="0" borderId="92" xfId="0" applyNumberFormat="1" applyFont="1" applyFill="1" applyBorder="1" applyAlignment="1">
      <alignment horizontal="right"/>
    </xf>
    <xf numFmtId="3" fontId="35" fillId="0" borderId="92" xfId="0" applyNumberFormat="1" applyFont="1" applyFill="1" applyBorder="1"/>
    <xf numFmtId="3" fontId="35" fillId="0" borderId="93" xfId="0" applyNumberFormat="1" applyFont="1" applyFill="1" applyBorder="1"/>
    <xf numFmtId="0" fontId="35" fillId="0" borderId="101" xfId="0" applyFont="1" applyFill="1" applyBorder="1"/>
    <xf numFmtId="0" fontId="35" fillId="0" borderId="102" xfId="0" applyFont="1" applyFill="1" applyBorder="1"/>
    <xf numFmtId="165" fontId="35" fillId="0" borderId="102" xfId="0" applyNumberFormat="1" applyFont="1" applyFill="1" applyBorder="1"/>
    <xf numFmtId="165" fontId="35" fillId="0" borderId="102" xfId="0" applyNumberFormat="1" applyFont="1" applyFill="1" applyBorder="1" applyAlignment="1">
      <alignment horizontal="right"/>
    </xf>
    <xf numFmtId="3" fontId="35" fillId="0" borderId="102" xfId="0" applyNumberFormat="1" applyFont="1" applyFill="1" applyBorder="1"/>
    <xf numFmtId="3" fontId="35" fillId="0" borderId="103" xfId="0" applyNumberFormat="1" applyFont="1" applyFill="1" applyBorder="1"/>
    <xf numFmtId="0" fontId="35" fillId="0" borderId="94" xfId="0" applyFont="1" applyFill="1" applyBorder="1"/>
    <xf numFmtId="0" fontId="35" fillId="0" borderId="95" xfId="0" applyFont="1" applyFill="1" applyBorder="1"/>
    <xf numFmtId="165" fontId="35" fillId="0" borderId="95" xfId="0" applyNumberFormat="1" applyFont="1" applyFill="1" applyBorder="1"/>
    <xf numFmtId="165" fontId="35" fillId="0" borderId="95" xfId="0" applyNumberFormat="1" applyFont="1" applyFill="1" applyBorder="1" applyAlignment="1">
      <alignment horizontal="right"/>
    </xf>
    <xf numFmtId="3" fontId="35" fillId="0" borderId="95" xfId="0" applyNumberFormat="1" applyFont="1" applyFill="1" applyBorder="1"/>
    <xf numFmtId="3" fontId="35" fillId="0" borderId="96" xfId="0" applyNumberFormat="1" applyFont="1" applyFill="1" applyBorder="1"/>
    <xf numFmtId="0" fontId="42" fillId="2" borderId="131" xfId="0" applyFont="1" applyFill="1" applyBorder="1"/>
    <xf numFmtId="3" fontId="42" fillId="2" borderId="133" xfId="0" applyNumberFormat="1" applyFont="1" applyFill="1" applyBorder="1"/>
    <xf numFmtId="9" fontId="42" fillId="2" borderId="86" xfId="0" applyNumberFormat="1" applyFont="1" applyFill="1" applyBorder="1"/>
    <xf numFmtId="3" fontId="42" fillId="2" borderId="73" xfId="0" applyNumberFormat="1" applyFont="1" applyFill="1" applyBorder="1"/>
    <xf numFmtId="9" fontId="35" fillId="0" borderId="92" xfId="0" applyNumberFormat="1" applyFont="1" applyFill="1" applyBorder="1"/>
    <xf numFmtId="9" fontId="35" fillId="0" borderId="102" xfId="0" applyNumberFormat="1" applyFont="1" applyFill="1" applyBorder="1"/>
    <xf numFmtId="9" fontId="35" fillId="0" borderId="95" xfId="0" applyNumberFormat="1" applyFont="1" applyFill="1" applyBorder="1"/>
    <xf numFmtId="3" fontId="35" fillId="0" borderId="108" xfId="0" applyNumberFormat="1" applyFont="1" applyFill="1" applyBorder="1"/>
    <xf numFmtId="9" fontId="35" fillId="0" borderId="108" xfId="0" applyNumberFormat="1" applyFont="1" applyFill="1" applyBorder="1"/>
    <xf numFmtId="3" fontId="35" fillId="0" borderId="109" xfId="0" applyNumberFormat="1" applyFont="1" applyFill="1" applyBorder="1"/>
    <xf numFmtId="0" fontId="42" fillId="11" borderId="22" xfId="0" applyFont="1" applyFill="1" applyBorder="1"/>
    <xf numFmtId="3" fontId="42" fillId="11" borderId="30" xfId="0" applyNumberFormat="1" applyFont="1" applyFill="1" applyBorder="1"/>
    <xf numFmtId="9" fontId="42" fillId="11" borderId="30" xfId="0" applyNumberFormat="1" applyFont="1" applyFill="1" applyBorder="1"/>
    <xf numFmtId="3" fontId="42" fillId="11" borderId="23" xfId="0" applyNumberFormat="1" applyFont="1" applyFill="1" applyBorder="1"/>
    <xf numFmtId="0" fontId="42" fillId="0" borderId="91" xfId="0" applyFont="1" applyFill="1" applyBorder="1"/>
    <xf numFmtId="0" fontId="42" fillId="0" borderId="101" xfId="0" applyFont="1" applyFill="1" applyBorder="1"/>
    <xf numFmtId="0" fontId="42" fillId="0" borderId="134" xfId="0" applyFont="1" applyFill="1" applyBorder="1"/>
    <xf numFmtId="0" fontId="35" fillId="5" borderId="12" xfId="0" applyFont="1" applyFill="1" applyBorder="1" applyAlignment="1">
      <alignment wrapText="1"/>
    </xf>
    <xf numFmtId="0" fontId="42" fillId="2" borderId="132" xfId="0" applyFont="1" applyFill="1" applyBorder="1"/>
    <xf numFmtId="3" fontId="42" fillId="2" borderId="0" xfId="0" applyNumberFormat="1" applyFont="1" applyFill="1" applyBorder="1"/>
    <xf numFmtId="3" fontId="42" fillId="2" borderId="19" xfId="0" applyNumberFormat="1" applyFont="1" applyFill="1" applyBorder="1"/>
    <xf numFmtId="0" fontId="3" fillId="2" borderId="131" xfId="79" applyFont="1" applyFill="1" applyBorder="1" applyAlignment="1">
      <alignment horizontal="left"/>
    </xf>
    <xf numFmtId="0" fontId="42" fillId="11" borderId="136" xfId="0" applyFont="1" applyFill="1" applyBorder="1"/>
    <xf numFmtId="0" fontId="42" fillId="11" borderId="137" xfId="0" applyFont="1" applyFill="1" applyBorder="1"/>
    <xf numFmtId="0" fontId="42" fillId="11" borderId="138" xfId="0" applyFont="1" applyFill="1" applyBorder="1"/>
    <xf numFmtId="3" fontId="3" fillId="2" borderId="108" xfId="80" applyNumberFormat="1" applyFont="1" applyFill="1" applyBorder="1"/>
    <xf numFmtId="0" fontId="3" fillId="2" borderId="108" xfId="80" applyFont="1" applyFill="1" applyBorder="1"/>
    <xf numFmtId="3" fontId="35" fillId="0" borderId="91" xfId="0" applyNumberFormat="1" applyFont="1" applyFill="1" applyBorder="1"/>
    <xf numFmtId="0" fontId="35" fillId="0" borderId="11" xfId="0" applyFont="1" applyFill="1" applyBorder="1"/>
    <xf numFmtId="3" fontId="35" fillId="0" borderId="94" xfId="0" applyNumberFormat="1" applyFont="1" applyFill="1" applyBorder="1"/>
    <xf numFmtId="0" fontId="35" fillId="0" borderId="26" xfId="0" applyFont="1" applyFill="1" applyBorder="1"/>
    <xf numFmtId="3" fontId="35" fillId="0" borderId="26" xfId="0" applyNumberFormat="1" applyFont="1" applyFill="1" applyBorder="1"/>
    <xf numFmtId="3" fontId="35" fillId="0" borderId="116" xfId="0" applyNumberFormat="1" applyFont="1" applyFill="1" applyBorder="1"/>
    <xf numFmtId="3" fontId="35" fillId="0" borderId="17" xfId="0" applyNumberFormat="1" applyFont="1" applyFill="1" applyBorder="1"/>
    <xf numFmtId="3" fontId="35" fillId="0" borderId="64" xfId="0" applyNumberFormat="1" applyFont="1" applyFill="1" applyBorder="1"/>
    <xf numFmtId="9" fontId="3" fillId="2" borderId="108" xfId="80" applyNumberFormat="1" applyFont="1" applyFill="1" applyBorder="1"/>
    <xf numFmtId="9" fontId="3" fillId="2" borderId="16" xfId="80" applyNumberFormat="1" applyFont="1" applyFill="1" applyBorder="1"/>
    <xf numFmtId="0" fontId="35" fillId="0" borderId="10" xfId="0" applyFont="1" applyFill="1" applyBorder="1"/>
    <xf numFmtId="9" fontId="35" fillId="0" borderId="93" xfId="0" applyNumberFormat="1" applyFont="1" applyFill="1" applyBorder="1"/>
    <xf numFmtId="9" fontId="35" fillId="0" borderId="11" xfId="0" applyNumberFormat="1" applyFont="1" applyFill="1" applyBorder="1"/>
    <xf numFmtId="9" fontId="35" fillId="0" borderId="26" xfId="0" applyNumberFormat="1" applyFont="1" applyFill="1" applyBorder="1"/>
    <xf numFmtId="9" fontId="35" fillId="0" borderId="25" xfId="0" applyNumberFormat="1" applyFont="1" applyFill="1" applyBorder="1"/>
    <xf numFmtId="0" fontId="35" fillId="0" borderId="136" xfId="0" applyFont="1" applyFill="1" applyBorder="1"/>
    <xf numFmtId="0" fontId="35" fillId="0" borderId="9" xfId="0" applyFont="1" applyFill="1" applyBorder="1"/>
    <xf numFmtId="0" fontId="35" fillId="0" borderId="52" xfId="0" applyFont="1" applyFill="1" applyBorder="1"/>
    <xf numFmtId="3" fontId="35" fillId="0" borderId="114" xfId="0" applyNumberFormat="1" applyFont="1" applyFill="1" applyBorder="1"/>
    <xf numFmtId="3" fontId="35" fillId="0" borderId="13" xfId="0" applyNumberFormat="1" applyFont="1" applyFill="1" applyBorder="1"/>
    <xf numFmtId="3" fontId="35" fillId="0" borderId="35" xfId="0" applyNumberFormat="1" applyFont="1" applyFill="1" applyBorder="1"/>
    <xf numFmtId="0" fontId="3" fillId="2" borderId="139" xfId="79" applyFont="1" applyFill="1" applyBorder="1" applyAlignment="1">
      <alignment horizontal="left"/>
    </xf>
    <xf numFmtId="0" fontId="3" fillId="2" borderId="140" xfId="79" applyFont="1" applyFill="1" applyBorder="1" applyAlignment="1">
      <alignment horizontal="left"/>
    </xf>
    <xf numFmtId="0" fontId="3" fillId="2" borderId="141" xfId="80" applyFont="1" applyFill="1" applyBorder="1" applyAlignment="1">
      <alignment horizontal="left"/>
    </xf>
    <xf numFmtId="0" fontId="3" fillId="2" borderId="141" xfId="79" applyFont="1" applyFill="1" applyBorder="1" applyAlignment="1">
      <alignment horizontal="left"/>
    </xf>
    <xf numFmtId="0" fontId="3" fillId="2" borderId="142" xfId="79" applyFont="1" applyFill="1" applyBorder="1" applyAlignment="1">
      <alignment horizontal="left"/>
    </xf>
    <xf numFmtId="0" fontId="35" fillId="0" borderId="27" xfId="0" applyFont="1" applyFill="1" applyBorder="1"/>
    <xf numFmtId="0" fontId="35" fillId="0" borderId="32" xfId="0" applyFont="1" applyFill="1" applyBorder="1"/>
    <xf numFmtId="0" fontId="35" fillId="0" borderId="32" xfId="0" applyFont="1" applyFill="1" applyBorder="1" applyAlignment="1">
      <alignment horizontal="right"/>
    </xf>
    <xf numFmtId="0" fontId="35" fillId="0" borderId="32" xfId="0" applyFont="1" applyFill="1" applyBorder="1" applyAlignment="1">
      <alignment horizontal="left"/>
    </xf>
    <xf numFmtId="165" fontId="35" fillId="0" borderId="32" xfId="0" applyNumberFormat="1" applyFont="1" applyFill="1" applyBorder="1"/>
    <xf numFmtId="166" fontId="35" fillId="0" borderId="32" xfId="0" applyNumberFormat="1" applyFont="1" applyFill="1" applyBorder="1"/>
    <xf numFmtId="9" fontId="35" fillId="0" borderId="32" xfId="0" applyNumberFormat="1" applyFont="1" applyFill="1" applyBorder="1"/>
    <xf numFmtId="0" fontId="35" fillId="0" borderId="11" xfId="0" applyFont="1" applyFill="1" applyBorder="1" applyAlignment="1">
      <alignment horizontal="right"/>
    </xf>
    <xf numFmtId="0" fontId="35" fillId="0" borderId="11" xfId="0" applyFont="1" applyFill="1" applyBorder="1" applyAlignment="1">
      <alignment horizontal="left"/>
    </xf>
    <xf numFmtId="165" fontId="35" fillId="0" borderId="11" xfId="0" applyNumberFormat="1" applyFont="1" applyFill="1" applyBorder="1"/>
    <xf numFmtId="166" fontId="35" fillId="0" borderId="11" xfId="0" applyNumberFormat="1" applyFont="1" applyFill="1" applyBorder="1"/>
    <xf numFmtId="0" fontId="35" fillId="0" borderId="26" xfId="0" applyFont="1" applyFill="1" applyBorder="1" applyAlignment="1">
      <alignment horizontal="right"/>
    </xf>
    <xf numFmtId="0" fontId="35" fillId="0" borderId="26" xfId="0" applyFont="1" applyFill="1" applyBorder="1" applyAlignment="1">
      <alignment horizontal="left"/>
    </xf>
    <xf numFmtId="165" fontId="35" fillId="0" borderId="26" xfId="0" applyNumberFormat="1" applyFont="1" applyFill="1" applyBorder="1"/>
    <xf numFmtId="166" fontId="35" fillId="0" borderId="26" xfId="0" applyNumberFormat="1" applyFont="1" applyFill="1" applyBorder="1"/>
    <xf numFmtId="0" fontId="42" fillId="2" borderId="57" xfId="0" applyFont="1" applyFill="1" applyBorder="1"/>
    <xf numFmtId="3" fontId="35" fillId="0" borderId="28" xfId="0" applyNumberFormat="1" applyFont="1" applyFill="1" applyBorder="1"/>
    <xf numFmtId="3" fontId="35" fillId="0" borderId="12" xfId="0" applyNumberFormat="1" applyFont="1" applyFill="1" applyBorder="1"/>
    <xf numFmtId="3" fontId="35" fillId="0" borderId="25" xfId="0" applyNumberFormat="1" applyFont="1" applyFill="1" applyBorder="1"/>
    <xf numFmtId="3" fontId="35" fillId="0" borderId="16" xfId="0" applyNumberFormat="1" applyFont="1" applyFill="1" applyBorder="1"/>
    <xf numFmtId="0" fontId="42" fillId="0" borderId="27" xfId="0" applyFont="1" applyFill="1" applyBorder="1"/>
    <xf numFmtId="0" fontId="42" fillId="0" borderId="10" xfId="0" applyFont="1" applyFill="1" applyBorder="1"/>
    <xf numFmtId="0" fontId="42" fillId="0" borderId="14" xfId="0" applyFont="1" applyFill="1" applyBorder="1"/>
    <xf numFmtId="0" fontId="42" fillId="2" borderId="59" xfId="0" applyFont="1" applyFill="1" applyBorder="1"/>
    <xf numFmtId="165" fontId="34" fillId="2" borderId="57" xfId="53" applyNumberFormat="1" applyFont="1" applyFill="1" applyBorder="1" applyAlignment="1">
      <alignment horizontal="left"/>
    </xf>
    <xf numFmtId="165" fontId="34" fillId="2" borderId="59" xfId="53" applyNumberFormat="1" applyFont="1" applyFill="1" applyBorder="1" applyAlignment="1">
      <alignment horizontal="left"/>
    </xf>
    <xf numFmtId="165" fontId="35" fillId="0" borderId="32" xfId="0" applyNumberFormat="1" applyFont="1" applyFill="1" applyBorder="1" applyAlignment="1">
      <alignment horizontal="right"/>
    </xf>
    <xf numFmtId="165" fontId="35" fillId="0" borderId="11" xfId="0" applyNumberFormat="1" applyFont="1" applyFill="1" applyBorder="1" applyAlignment="1">
      <alignment horizontal="right"/>
    </xf>
    <xf numFmtId="165" fontId="35" fillId="0" borderId="26" xfId="0" applyNumberFormat="1" applyFont="1" applyFill="1" applyBorder="1" applyAlignment="1">
      <alignment horizontal="right"/>
    </xf>
    <xf numFmtId="174" fontId="42" fillId="4" borderId="32" xfId="0" applyNumberFormat="1" applyFont="1" applyFill="1" applyBorder="1" applyAlignment="1">
      <alignment horizontal="center"/>
    </xf>
    <xf numFmtId="174" fontId="35" fillId="0" borderId="11" xfId="0" applyNumberFormat="1" applyFont="1" applyBorder="1" applyAlignment="1"/>
    <xf numFmtId="174" fontId="35" fillId="0" borderId="26" xfId="0" applyNumberFormat="1" applyFont="1" applyBorder="1" applyAlignment="1"/>
    <xf numFmtId="0" fontId="35" fillId="2" borderId="73" xfId="0" applyFont="1" applyFill="1" applyBorder="1" applyAlignment="1">
      <alignment vertical="center"/>
    </xf>
    <xf numFmtId="0" fontId="34" fillId="2" borderId="18" xfId="26" applyNumberFormat="1" applyFont="1" applyFill="1" applyBorder="1"/>
    <xf numFmtId="0" fontId="34" fillId="2" borderId="0" xfId="26" applyNumberFormat="1" applyFont="1" applyFill="1" applyBorder="1"/>
    <xf numFmtId="0" fontId="34" fillId="2" borderId="19" xfId="26" applyNumberFormat="1" applyFont="1" applyFill="1" applyBorder="1" applyAlignment="1">
      <alignment horizontal="right"/>
    </xf>
    <xf numFmtId="170" fontId="35" fillId="0" borderId="32" xfId="0" applyNumberFormat="1" applyFont="1" applyFill="1" applyBorder="1"/>
    <xf numFmtId="170" fontId="35" fillId="0" borderId="26" xfId="0" applyNumberFormat="1" applyFont="1" applyFill="1" applyBorder="1"/>
    <xf numFmtId="0" fontId="42" fillId="0" borderId="94" xfId="0" applyFont="1" applyFill="1" applyBorder="1"/>
    <xf numFmtId="0" fontId="64" fillId="0" borderId="0" xfId="0" applyFont="1" applyFill="1"/>
    <xf numFmtId="0" fontId="65" fillId="0" borderId="0" xfId="0" applyFont="1" applyFill="1"/>
    <xf numFmtId="0" fontId="35" fillId="2" borderId="34" xfId="0" applyFont="1" applyFill="1" applyBorder="1" applyAlignment="1">
      <alignment horizontal="center" vertical="top" wrapText="1"/>
    </xf>
    <xf numFmtId="0" fontId="34" fillId="2" borderId="34" xfId="0" applyFont="1" applyFill="1" applyBorder="1" applyAlignment="1">
      <alignment horizontal="center" vertical="top"/>
    </xf>
    <xf numFmtId="49" fontId="34" fillId="2" borderId="34" xfId="0" applyNumberFormat="1" applyFont="1" applyFill="1" applyBorder="1" applyAlignment="1">
      <alignment horizontal="center" vertical="top"/>
    </xf>
    <xf numFmtId="0" fontId="34" fillId="2" borderId="34" xfId="0" applyFont="1" applyFill="1" applyBorder="1" applyAlignment="1">
      <alignment horizontal="center" vertical="center"/>
    </xf>
    <xf numFmtId="3" fontId="34" fillId="2" borderId="18" xfId="0" applyNumberFormat="1" applyFont="1" applyFill="1" applyBorder="1" applyAlignment="1">
      <alignment horizontal="left"/>
    </xf>
    <xf numFmtId="3" fontId="34" fillId="2" borderId="19" xfId="0" applyNumberFormat="1" applyFont="1" applyFill="1" applyBorder="1" applyAlignment="1">
      <alignment horizontal="center"/>
    </xf>
    <xf numFmtId="3" fontId="34" fillId="2" borderId="0" xfId="0" applyNumberFormat="1" applyFont="1" applyFill="1" applyBorder="1" applyAlignment="1">
      <alignment horizontal="center"/>
    </xf>
    <xf numFmtId="9" fontId="46" fillId="2" borderId="19" xfId="0" applyNumberFormat="1" applyFont="1" applyFill="1" applyBorder="1" applyAlignment="1">
      <alignment horizontal="center" vertical="top"/>
    </xf>
    <xf numFmtId="3" fontId="34" fillId="2" borderId="19" xfId="0" applyNumberFormat="1" applyFont="1" applyFill="1" applyBorder="1" applyAlignment="1">
      <alignment horizontal="center" vertical="top"/>
    </xf>
    <xf numFmtId="170" fontId="35" fillId="0" borderId="11" xfId="0" applyNumberFormat="1" applyFont="1" applyFill="1" applyBorder="1"/>
    <xf numFmtId="0" fontId="34" fillId="2" borderId="18" xfId="0" applyNumberFormat="1" applyFont="1" applyFill="1" applyBorder="1" applyAlignment="1">
      <alignment horizontal="left"/>
    </xf>
    <xf numFmtId="0" fontId="34" fillId="2" borderId="19" xfId="0" applyNumberFormat="1" applyFont="1" applyFill="1" applyBorder="1" applyAlignment="1">
      <alignment horizontal="left"/>
    </xf>
    <xf numFmtId="0" fontId="34" fillId="2" borderId="0" xfId="0" applyNumberFormat="1" applyFont="1" applyFill="1" applyBorder="1" applyAlignment="1">
      <alignment horizontal="left"/>
    </xf>
    <xf numFmtId="0" fontId="46" fillId="2" borderId="19" xfId="0" applyNumberFormat="1" applyFont="1" applyFill="1" applyBorder="1" applyAlignment="1">
      <alignment horizontal="center" vertical="top"/>
    </xf>
    <xf numFmtId="3" fontId="12" fillId="0" borderId="135" xfId="0" applyNumberFormat="1" applyFont="1" applyBorder="1" applyAlignment="1">
      <alignment horizontal="right"/>
    </xf>
    <xf numFmtId="167" fontId="12" fillId="0" borderId="135" xfId="0" applyNumberFormat="1" applyFont="1" applyBorder="1" applyAlignment="1">
      <alignment horizontal="right"/>
    </xf>
    <xf numFmtId="167" fontId="12" fillId="0" borderId="106" xfId="0" applyNumberFormat="1" applyFont="1" applyBorder="1" applyAlignment="1">
      <alignment horizontal="right"/>
    </xf>
    <xf numFmtId="3" fontId="5" fillId="0" borderId="135" xfId="0" applyNumberFormat="1" applyFont="1" applyBorder="1" applyAlignment="1">
      <alignment horizontal="right"/>
    </xf>
    <xf numFmtId="167" fontId="5" fillId="0" borderId="135" xfId="0" applyNumberFormat="1" applyFont="1" applyBorder="1" applyAlignment="1">
      <alignment horizontal="right"/>
    </xf>
    <xf numFmtId="167" fontId="11" fillId="0" borderId="106" xfId="0" applyNumberFormat="1" applyFont="1" applyBorder="1" applyAlignment="1">
      <alignment horizontal="right"/>
    </xf>
    <xf numFmtId="177" fontId="5" fillId="0" borderId="135" xfId="0" applyNumberFormat="1" applyFont="1" applyBorder="1" applyAlignment="1">
      <alignment horizontal="right"/>
    </xf>
    <xf numFmtId="4" fontId="5" fillId="0" borderId="135" xfId="0" applyNumberFormat="1" applyFont="1" applyBorder="1" applyAlignment="1">
      <alignment horizontal="right"/>
    </xf>
    <xf numFmtId="3" fontId="5" fillId="0" borderId="135" xfId="0" applyNumberFormat="1" applyFont="1" applyBorder="1"/>
    <xf numFmtId="3" fontId="11" fillId="0" borderId="20" xfId="0" applyNumberFormat="1" applyFont="1" applyBorder="1" applyAlignment="1">
      <alignment horizontal="center"/>
    </xf>
    <xf numFmtId="3" fontId="12" fillId="0" borderId="135" xfId="0" applyNumberFormat="1" applyFont="1" applyBorder="1"/>
    <xf numFmtId="167" fontId="12" fillId="0" borderId="135" xfId="0" applyNumberFormat="1" applyFont="1" applyBorder="1"/>
    <xf numFmtId="167" fontId="12" fillId="0" borderId="106" xfId="0" applyNumberFormat="1" applyFont="1" applyBorder="1"/>
    <xf numFmtId="167" fontId="5" fillId="0" borderId="106" xfId="0" applyNumberFormat="1" applyFont="1" applyBorder="1" applyAlignment="1">
      <alignment horizontal="right"/>
    </xf>
    <xf numFmtId="167" fontId="12" fillId="0" borderId="19" xfId="0" applyNumberFormat="1" applyFont="1" applyBorder="1"/>
    <xf numFmtId="167" fontId="5" fillId="0" borderId="19" xfId="0" applyNumberFormat="1" applyFont="1" applyBorder="1" applyAlignment="1">
      <alignment horizontal="right"/>
    </xf>
    <xf numFmtId="3" fontId="11" fillId="0" borderId="34" xfId="0" applyNumberFormat="1" applyFont="1" applyBorder="1" applyAlignment="1">
      <alignment horizontal="center"/>
    </xf>
    <xf numFmtId="167" fontId="12" fillId="0" borderId="19" xfId="0" applyNumberFormat="1" applyFont="1" applyBorder="1" applyAlignment="1">
      <alignment horizontal="right"/>
    </xf>
    <xf numFmtId="167" fontId="11" fillId="0" borderId="19" xfId="0" applyNumberFormat="1" applyFont="1" applyBorder="1" applyAlignment="1">
      <alignment horizontal="right"/>
    </xf>
    <xf numFmtId="3" fontId="35" fillId="0" borderId="135" xfId="0" applyNumberFormat="1" applyFont="1" applyBorder="1"/>
    <xf numFmtId="167" fontId="35" fillId="0" borderId="135" xfId="0" applyNumberFormat="1" applyFont="1" applyBorder="1"/>
    <xf numFmtId="167" fontId="35" fillId="0" borderId="106" xfId="0" applyNumberFormat="1" applyFont="1" applyBorder="1"/>
    <xf numFmtId="0" fontId="5" fillId="0" borderId="135" xfId="0" applyFont="1" applyBorder="1"/>
    <xf numFmtId="9" fontId="35" fillId="0" borderId="135" xfId="0" applyNumberFormat="1" applyFont="1" applyBorder="1"/>
    <xf numFmtId="3" fontId="35" fillId="0" borderId="135" xfId="0" applyNumberFormat="1" applyFont="1" applyBorder="1" applyAlignment="1">
      <alignment horizontal="right"/>
    </xf>
    <xf numFmtId="167" fontId="35" fillId="0" borderId="19" xfId="0" applyNumberFormat="1" applyFont="1" applyBorder="1"/>
    <xf numFmtId="49" fontId="3" fillId="2" borderId="34" xfId="26" applyNumberFormat="1" applyFont="1" applyFill="1" applyBorder="1" applyAlignment="1">
      <alignment horizontal="left" vertical="top"/>
    </xf>
    <xf numFmtId="169" fontId="3" fillId="2" borderId="18" xfId="26" applyNumberFormat="1" applyFont="1" applyFill="1" applyBorder="1" applyAlignment="1">
      <alignment horizontal="left" vertical="top"/>
    </xf>
    <xf numFmtId="169" fontId="3" fillId="2" borderId="0" xfId="26" applyNumberFormat="1" applyFont="1" applyFill="1" applyBorder="1" applyAlignment="1">
      <alignment horizontal="left" vertical="top"/>
    </xf>
    <xf numFmtId="169" fontId="3" fillId="2" borderId="19" xfId="26" applyNumberFormat="1" applyFont="1" applyFill="1" applyBorder="1" applyAlignment="1">
      <alignment horizontal="left" vertical="top"/>
    </xf>
    <xf numFmtId="169" fontId="3" fillId="2" borderId="34" xfId="26" applyNumberFormat="1" applyFont="1" applyFill="1" applyBorder="1" applyAlignment="1">
      <alignment horizontal="left" vertical="top" wrapText="1"/>
    </xf>
    <xf numFmtId="169" fontId="3" fillId="2" borderId="34" xfId="26" applyNumberFormat="1" applyFont="1" applyFill="1" applyBorder="1" applyAlignment="1">
      <alignment horizontal="left" vertical="top"/>
    </xf>
    <xf numFmtId="169" fontId="3" fillId="2" borderId="34" xfId="26" applyNumberFormat="1" applyFont="1" applyFill="1" applyBorder="1" applyAlignment="1">
      <alignment horizontal="left" vertical="top"/>
    </xf>
    <xf numFmtId="3" fontId="3" fillId="2" borderId="34" xfId="26" applyNumberFormat="1" applyFont="1" applyFill="1" applyBorder="1" applyAlignment="1">
      <alignment horizontal="center" vertical="top"/>
    </xf>
    <xf numFmtId="3" fontId="3" fillId="2" borderId="18" xfId="26" applyNumberFormat="1" applyFont="1" applyFill="1" applyBorder="1" applyAlignment="1">
      <alignment horizontal="left" vertical="center"/>
    </xf>
    <xf numFmtId="3" fontId="3" fillId="2" borderId="19" xfId="26" applyNumberFormat="1" applyFont="1" applyFill="1" applyBorder="1" applyAlignment="1">
      <alignment horizontal="left" vertical="center"/>
    </xf>
    <xf numFmtId="169" fontId="3" fillId="2" borderId="18" xfId="24" applyNumberFormat="1" applyFont="1" applyFill="1" applyBorder="1" applyAlignment="1">
      <alignment horizontal="left" vertical="center" wrapText="1"/>
    </xf>
    <xf numFmtId="169" fontId="3" fillId="2" borderId="0" xfId="24" applyNumberFormat="1" applyFont="1" applyFill="1" applyBorder="1" applyAlignment="1">
      <alignment horizontal="left" vertical="center" wrapText="1"/>
    </xf>
    <xf numFmtId="9" fontId="3" fillId="2" borderId="19" xfId="24" applyNumberFormat="1" applyFont="1" applyFill="1" applyBorder="1" applyAlignment="1">
      <alignment horizontal="left" vertical="center" wrapText="1"/>
    </xf>
    <xf numFmtId="167" fontId="3" fillId="2" borderId="19" xfId="24" applyNumberFormat="1" applyFont="1" applyFill="1" applyBorder="1" applyAlignment="1">
      <alignment horizontal="left" vertical="center" wrapText="1"/>
    </xf>
    <xf numFmtId="3" fontId="35" fillId="0" borderId="54" xfId="0" applyNumberFormat="1" applyFont="1" applyBorder="1"/>
    <xf numFmtId="167" fontId="35" fillId="0" borderId="54" xfId="0" applyNumberFormat="1" applyFont="1" applyBorder="1"/>
    <xf numFmtId="167" fontId="35" fillId="0" borderId="55" xfId="0" applyNumberFormat="1" applyFont="1" applyBorder="1"/>
    <xf numFmtId="3" fontId="12" fillId="0" borderId="54" xfId="0" applyNumberFormat="1" applyFont="1" applyBorder="1" applyAlignment="1">
      <alignment horizontal="right"/>
    </xf>
    <xf numFmtId="167" fontId="12" fillId="0" borderId="54" xfId="0" applyNumberFormat="1" applyFont="1" applyBorder="1" applyAlignment="1">
      <alignment horizontal="right"/>
    </xf>
    <xf numFmtId="167" fontId="12" fillId="0" borderId="55" xfId="0" applyNumberFormat="1" applyFont="1" applyBorder="1" applyAlignment="1">
      <alignment horizontal="right"/>
    </xf>
    <xf numFmtId="3" fontId="5" fillId="0" borderId="54" xfId="0" applyNumberFormat="1" applyFont="1" applyBorder="1" applyAlignment="1">
      <alignment horizontal="right"/>
    </xf>
    <xf numFmtId="167" fontId="5" fillId="0" borderId="54" xfId="0" applyNumberFormat="1" applyFont="1" applyBorder="1" applyAlignment="1">
      <alignment horizontal="right"/>
    </xf>
    <xf numFmtId="167" fontId="11" fillId="0" borderId="55" xfId="0" applyNumberFormat="1" applyFont="1" applyBorder="1" applyAlignment="1">
      <alignment horizontal="right"/>
    </xf>
    <xf numFmtId="177" fontId="5" fillId="0" borderId="54" xfId="0" applyNumberFormat="1" applyFont="1" applyBorder="1" applyAlignment="1">
      <alignment horizontal="right"/>
    </xf>
    <xf numFmtId="4" fontId="5" fillId="0" borderId="54" xfId="0" applyNumberFormat="1" applyFont="1" applyBorder="1" applyAlignment="1">
      <alignment horizontal="right"/>
    </xf>
    <xf numFmtId="0" fontId="5" fillId="0" borderId="54" xfId="0" applyFont="1" applyBorder="1"/>
    <xf numFmtId="3" fontId="5" fillId="0" borderId="54" xfId="0" applyNumberFormat="1" applyFont="1" applyBorder="1"/>
    <xf numFmtId="9" fontId="35" fillId="0" borderId="54" xfId="0" applyNumberFormat="1" applyFont="1" applyBorder="1"/>
    <xf numFmtId="3" fontId="11" fillId="0" borderId="33" xfId="0" applyNumberFormat="1" applyFont="1" applyBorder="1" applyAlignment="1">
      <alignment horizontal="center"/>
    </xf>
    <xf numFmtId="3" fontId="12" fillId="0" borderId="0" xfId="0" applyNumberFormat="1" applyFont="1" applyBorder="1"/>
    <xf numFmtId="167" fontId="12" fillId="0" borderId="0" xfId="0" applyNumberFormat="1" applyFont="1" applyBorder="1"/>
    <xf numFmtId="3" fontId="35" fillId="0" borderId="0" xfId="0" applyNumberFormat="1" applyFont="1" applyBorder="1" applyAlignment="1">
      <alignment horizontal="right"/>
    </xf>
    <xf numFmtId="167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177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0" fontId="5" fillId="0" borderId="0" xfId="0" applyFont="1" applyBorder="1"/>
    <xf numFmtId="3" fontId="5" fillId="0" borderId="0" xfId="0" applyNumberFormat="1" applyFont="1" applyBorder="1"/>
    <xf numFmtId="3" fontId="35" fillId="0" borderId="0" xfId="0" applyNumberFormat="1" applyFont="1" applyBorder="1"/>
    <xf numFmtId="9" fontId="35" fillId="0" borderId="0" xfId="0" applyNumberFormat="1" applyFont="1" applyBorder="1"/>
    <xf numFmtId="167" fontId="35" fillId="0" borderId="0" xfId="0" applyNumberFormat="1" applyFont="1" applyBorder="1"/>
    <xf numFmtId="3" fontId="12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49" fontId="3" fillId="0" borderId="33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3" fillId="0" borderId="110" xfId="0" applyNumberFormat="1" applyFont="1" applyBorder="1" applyAlignment="1">
      <alignment horizontal="center"/>
    </xf>
    <xf numFmtId="3" fontId="12" fillId="0" borderId="49" xfId="0" applyNumberFormat="1" applyFont="1" applyBorder="1"/>
    <xf numFmtId="167" fontId="12" fillId="0" borderId="49" xfId="0" applyNumberFormat="1" applyFont="1" applyBorder="1"/>
    <xf numFmtId="167" fontId="12" fillId="0" borderId="53" xfId="0" applyNumberFormat="1" applyFont="1" applyBorder="1"/>
    <xf numFmtId="3" fontId="35" fillId="0" borderId="49" xfId="0" applyNumberFormat="1" applyFont="1" applyBorder="1" applyAlignment="1">
      <alignment horizontal="right"/>
    </xf>
    <xf numFmtId="167" fontId="5" fillId="0" borderId="49" xfId="0" applyNumberFormat="1" applyFont="1" applyBorder="1" applyAlignment="1">
      <alignment horizontal="right"/>
    </xf>
    <xf numFmtId="167" fontId="5" fillId="0" borderId="53" xfId="0" applyNumberFormat="1" applyFont="1" applyBorder="1" applyAlignment="1">
      <alignment horizontal="right"/>
    </xf>
    <xf numFmtId="3" fontId="5" fillId="0" borderId="49" xfId="0" applyNumberFormat="1" applyFont="1" applyBorder="1" applyAlignment="1">
      <alignment horizontal="right"/>
    </xf>
    <xf numFmtId="177" fontId="5" fillId="0" borderId="49" xfId="0" applyNumberFormat="1" applyFont="1" applyBorder="1" applyAlignment="1">
      <alignment horizontal="right"/>
    </xf>
    <xf numFmtId="4" fontId="5" fillId="0" borderId="49" xfId="0" applyNumberFormat="1" applyFont="1" applyBorder="1" applyAlignment="1">
      <alignment horizontal="right"/>
    </xf>
    <xf numFmtId="0" fontId="5" fillId="0" borderId="49" xfId="0" applyFont="1" applyBorder="1"/>
    <xf numFmtId="3" fontId="5" fillId="0" borderId="49" xfId="0" applyNumberFormat="1" applyFont="1" applyBorder="1"/>
    <xf numFmtId="3" fontId="35" fillId="0" borderId="49" xfId="0" applyNumberFormat="1" applyFont="1" applyBorder="1"/>
    <xf numFmtId="9" fontId="35" fillId="0" borderId="49" xfId="0" applyNumberFormat="1" applyFont="1" applyBorder="1"/>
    <xf numFmtId="3" fontId="11" fillId="0" borderId="110" xfId="0" applyNumberFormat="1" applyFont="1" applyBorder="1" applyAlignment="1">
      <alignment horizontal="center"/>
    </xf>
    <xf numFmtId="0" fontId="32" fillId="2" borderId="34" xfId="0" applyFont="1" applyFill="1" applyBorder="1" applyAlignment="1">
      <alignment vertical="center" wrapText="1"/>
    </xf>
    <xf numFmtId="0" fontId="34" fillId="2" borderId="18" xfId="26" applyNumberFormat="1" applyFont="1" applyFill="1" applyBorder="1" applyAlignment="1">
      <alignment horizontal="right"/>
    </xf>
    <xf numFmtId="0" fontId="34" fillId="2" borderId="0" xfId="26" applyNumberFormat="1" applyFont="1" applyFill="1" applyBorder="1" applyAlignment="1">
      <alignment horizontal="right"/>
    </xf>
    <xf numFmtId="3" fontId="34" fillId="2" borderId="85" xfId="76" applyNumberFormat="1" applyFont="1" applyFill="1" applyBorder="1" applyAlignment="1">
      <alignment horizontal="center" vertical="center"/>
    </xf>
    <xf numFmtId="3" fontId="34" fillId="2" borderId="65" xfId="76" applyNumberFormat="1" applyFont="1" applyFill="1" applyBorder="1" applyAlignment="1">
      <alignment horizontal="center" vertical="center"/>
    </xf>
    <xf numFmtId="0" fontId="32" fillId="0" borderId="27" xfId="76" applyFont="1" applyFill="1" applyBorder="1"/>
    <xf numFmtId="0" fontId="32" fillId="0" borderId="10" xfId="76" applyFont="1" applyFill="1" applyBorder="1"/>
    <xf numFmtId="0" fontId="32" fillId="0" borderId="94" xfId="76" applyFont="1" applyFill="1" applyBorder="1"/>
    <xf numFmtId="0" fontId="32" fillId="0" borderId="62" xfId="76" applyFont="1" applyFill="1" applyBorder="1"/>
    <xf numFmtId="0" fontId="32" fillId="0" borderId="17" xfId="76" applyFont="1" applyFill="1" applyBorder="1"/>
    <xf numFmtId="0" fontId="32" fillId="0" borderId="64" xfId="76" applyFont="1" applyFill="1" applyBorder="1"/>
    <xf numFmtId="0" fontId="34" fillId="2" borderId="108" xfId="76" applyNumberFormat="1" applyFont="1" applyFill="1" applyBorder="1" applyAlignment="1">
      <alignment horizontal="left"/>
    </xf>
    <xf numFmtId="0" fontId="34" fillId="2" borderId="143" xfId="76" applyNumberFormat="1" applyFont="1" applyFill="1" applyBorder="1" applyAlignment="1">
      <alignment horizontal="left"/>
    </xf>
    <xf numFmtId="3" fontId="32" fillId="0" borderId="27" xfId="76" applyNumberFormat="1" applyFont="1" applyFill="1" applyBorder="1"/>
    <xf numFmtId="3" fontId="32" fillId="0" borderId="32" xfId="76" applyNumberFormat="1" applyFont="1" applyFill="1" applyBorder="1"/>
    <xf numFmtId="3" fontId="32" fillId="0" borderId="10" xfId="76" applyNumberFormat="1" applyFont="1" applyFill="1" applyBorder="1"/>
    <xf numFmtId="3" fontId="32" fillId="0" borderId="11" xfId="76" applyNumberFormat="1" applyFont="1" applyFill="1" applyBorder="1"/>
    <xf numFmtId="3" fontId="32" fillId="0" borderId="94" xfId="76" applyNumberFormat="1" applyFont="1" applyFill="1" applyBorder="1"/>
    <xf numFmtId="3" fontId="32" fillId="0" borderId="26" xfId="76" applyNumberFormat="1" applyFont="1" applyFill="1" applyBorder="1"/>
    <xf numFmtId="9" fontId="32" fillId="0" borderId="62" xfId="76" applyNumberFormat="1" applyFont="1" applyFill="1" applyBorder="1"/>
    <xf numFmtId="9" fontId="32" fillId="0" borderId="17" xfId="76" applyNumberFormat="1" applyFont="1" applyFill="1" applyBorder="1"/>
    <xf numFmtId="9" fontId="32" fillId="0" borderId="64" xfId="76" applyNumberFormat="1" applyFont="1" applyFill="1" applyBorder="1"/>
    <xf numFmtId="0" fontId="34" fillId="2" borderId="107" xfId="76" applyNumberFormat="1" applyFont="1" applyFill="1" applyBorder="1" applyAlignment="1">
      <alignment horizontal="left"/>
    </xf>
    <xf numFmtId="170" fontId="32" fillId="0" borderId="27" xfId="76" applyNumberFormat="1" applyFont="1" applyFill="1" applyBorder="1"/>
    <xf numFmtId="170" fontId="32" fillId="0" borderId="32" xfId="76" applyNumberFormat="1" applyFont="1" applyFill="1" applyBorder="1"/>
    <xf numFmtId="170" fontId="32" fillId="0" borderId="10" xfId="76" applyNumberFormat="1" applyFont="1" applyFill="1" applyBorder="1"/>
    <xf numFmtId="170" fontId="32" fillId="0" borderId="11" xfId="76" applyNumberFormat="1" applyFont="1" applyFill="1" applyBorder="1"/>
    <xf numFmtId="170" fontId="32" fillId="0" borderId="94" xfId="76" applyNumberFormat="1" applyFont="1" applyFill="1" applyBorder="1"/>
    <xf numFmtId="170" fontId="32" fillId="0" borderId="26" xfId="76" applyNumberFormat="1" applyFont="1" applyFill="1" applyBorder="1"/>
    <xf numFmtId="0" fontId="34" fillId="2" borderId="16" xfId="76" applyNumberFormat="1" applyFont="1" applyFill="1" applyBorder="1" applyAlignment="1">
      <alignment horizontal="left"/>
    </xf>
    <xf numFmtId="3" fontId="32" fillId="0" borderId="28" xfId="76" applyNumberFormat="1" applyFont="1" applyFill="1" applyBorder="1"/>
    <xf numFmtId="3" fontId="32" fillId="0" borderId="12" xfId="76" applyNumberFormat="1" applyFont="1" applyFill="1" applyBorder="1"/>
    <xf numFmtId="3" fontId="32" fillId="0" borderId="25" xfId="76" applyNumberFormat="1" applyFont="1" applyFill="1" applyBorder="1"/>
  </cellXfs>
  <cellStyles count="99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8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" xfId="83" builtinId="5"/>
    <cellStyle name="Procenta 10" xfId="84"/>
    <cellStyle name="Procenta 11" xfId="85"/>
    <cellStyle name="Procenta 2" xfId="86"/>
    <cellStyle name="Procenta 2 2" xfId="87"/>
    <cellStyle name="Procenta 2 2 2" xfId="88"/>
    <cellStyle name="Procenta 2 3" xfId="89"/>
    <cellStyle name="Procenta 3" xfId="90"/>
    <cellStyle name="Procenta 3 2" xfId="91"/>
    <cellStyle name="Procenta 4" xfId="92"/>
    <cellStyle name="Procenta 5" xfId="93"/>
    <cellStyle name="Procenta 6" xfId="94"/>
    <cellStyle name="Procenta 7" xfId="95"/>
    <cellStyle name="Procenta 8" xfId="96"/>
    <cellStyle name="Procenta 9" xfId="97"/>
  </cellStyles>
  <dxfs count="7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color rgb="FFFF000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b/>
        <i/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ill>
        <patternFill patternType="solid">
          <bgColor theme="5" tint="0.79998168889431442"/>
        </patternFill>
      </fill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2583651458138416E-2"/>
          <c:y val="3.4767428804019819E-2"/>
          <c:w val="0.91156653987202163"/>
          <c:h val="0.86030341628419438"/>
        </c:manualLayout>
      </c:layout>
      <c:lineChart>
        <c:grouping val="standard"/>
        <c:varyColors val="0"/>
        <c:ser>
          <c:idx val="1"/>
          <c:order val="0"/>
          <c:tx>
            <c:strRef>
              <c:f>'HI Graf'!$A$4</c:f>
              <c:strCache>
                <c:ptCount val="1"/>
                <c:pt idx="0">
                  <c:v>Hospodářský index (Výnosy / Náklady)</c:v>
                </c:pt>
              </c:strCache>
            </c:strRef>
          </c:tx>
          <c:dLbls>
            <c:numFmt formatCode="0.000" sourceLinked="0"/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'HI Graf'!$B$3:$M$3</c:f>
              <c:strCache>
                <c:ptCount val="12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</c:strCache>
            </c:strRef>
          </c:cat>
          <c:val>
            <c:numRef>
              <c:f>'HI Graf'!$B$4:$C$4</c:f>
              <c:numCache>
                <c:formatCode>General</c:formatCode>
                <c:ptCount val="2"/>
                <c:pt idx="0">
                  <c:v>1.3739254000439249</c:v>
                </c:pt>
                <c:pt idx="1">
                  <c:v>2.4386068573522173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4590208"/>
        <c:axId val="976028800"/>
      </c:lineChart>
      <c:scatterChart>
        <c:scatterStyle val="smoothMarker"/>
        <c:varyColors val="0"/>
        <c:ser>
          <c:idx val="0"/>
          <c:order val="1"/>
          <c:tx>
            <c:strRef>
              <c:f>'HI Graf'!$B$11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'HI Graf'!$A$12:$A$13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'HI Graf'!$B$12:$B$13</c:f>
              <c:numCache>
                <c:formatCode>General</c:formatCode>
                <c:ptCount val="2"/>
                <c:pt idx="0">
                  <c:v>2.4455778672032191</c:v>
                </c:pt>
                <c:pt idx="1">
                  <c:v>2.4455778672032191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6030336"/>
        <c:axId val="978092416"/>
      </c:scatterChart>
      <c:catAx>
        <c:axId val="96459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976028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60288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64590208"/>
        <c:crosses val="autoZero"/>
        <c:crossBetween val="between"/>
      </c:valAx>
      <c:valAx>
        <c:axId val="9760303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978092416"/>
        <c:crosses val="max"/>
        <c:crossBetween val="midCat"/>
      </c:valAx>
      <c:valAx>
        <c:axId val="978092416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976030336"/>
        <c:crosses val="max"/>
        <c:crossBetween val="midCat"/>
      </c:valAx>
      <c:spPr>
        <a:solidFill>
          <a:schemeClr val="bg1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86982254294491E-3"/>
          <c:y val="5.0152439238661207E-3"/>
          <c:w val="0.98971349332984049"/>
          <c:h val="0.90199495667231877"/>
        </c:manualLayout>
      </c:layout>
      <c:lineChart>
        <c:grouping val="standard"/>
        <c:varyColors val="0"/>
        <c:ser>
          <c:idx val="1"/>
          <c:order val="0"/>
          <c:tx>
            <c:strRef>
              <c:f>ALOS!$E$32</c:f>
              <c:strCache>
                <c:ptCount val="1"/>
                <c:pt idx="0">
                  <c:v>%</c:v>
                </c:pt>
              </c:strCache>
            </c:strRef>
          </c:tx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ALOS!$A$33:$A$45</c:f>
              <c:strCache>
                <c:ptCount val="13"/>
                <c:pt idx="0">
                  <c:v>1-1</c:v>
                </c:pt>
                <c:pt idx="1">
                  <c:v>1-2</c:v>
                </c:pt>
                <c:pt idx="2">
                  <c:v>1-3</c:v>
                </c:pt>
                <c:pt idx="3">
                  <c:v>1-4</c:v>
                </c:pt>
                <c:pt idx="4">
                  <c:v>1-5</c:v>
                </c:pt>
                <c:pt idx="5">
                  <c:v>1-6</c:v>
                </c:pt>
                <c:pt idx="6">
                  <c:v>1-7</c:v>
                </c:pt>
                <c:pt idx="7">
                  <c:v>1-8</c:v>
                </c:pt>
                <c:pt idx="8">
                  <c:v>1-9</c:v>
                </c:pt>
                <c:pt idx="9">
                  <c:v>1-10</c:v>
                </c:pt>
                <c:pt idx="10">
                  <c:v>1-11</c:v>
                </c:pt>
                <c:pt idx="11">
                  <c:v>1-12</c:v>
                </c:pt>
                <c:pt idx="12">
                  <c:v>1-13</c:v>
                </c:pt>
              </c:strCache>
            </c:strRef>
          </c:cat>
          <c:val>
            <c:numRef>
              <c:f>ALOS!$E$33:$E$34</c:f>
              <c:numCache>
                <c:formatCode>0%</c:formatCode>
                <c:ptCount val="2"/>
                <c:pt idx="0">
                  <c:v>0.85443203858048955</c:v>
                </c:pt>
                <c:pt idx="1">
                  <c:v>0.96865485056025535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4183552"/>
        <c:axId val="1004187008"/>
      </c:lineChart>
      <c:scatterChart>
        <c:scatterStyle val="smoothMarker"/>
        <c:varyColors val="0"/>
        <c:ser>
          <c:idx val="0"/>
          <c:order val="1"/>
          <c:tx>
            <c:strRef>
              <c:f>ALOS!$H$32</c:f>
              <c:strCache>
                <c:ptCount val="1"/>
                <c:pt idx="0">
                  <c:v>b</c:v>
                </c:pt>
              </c:strCache>
            </c:strRef>
          </c:tx>
          <c:spPr>
            <a:ln w="12700">
              <a:solidFill>
                <a:srgbClr val="000000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xVal>
            <c:numRef>
              <c:f>ALOS!$G$33:$G$34</c:f>
              <c:numCache>
                <c:formatCode>General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xVal>
          <c:yVal>
            <c:numRef>
              <c:f>ALOS!$H$33:$H$34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05585536"/>
        <c:axId val="1005587840"/>
      </c:scatterChart>
      <c:catAx>
        <c:axId val="1004183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/>
                  <a:t>načítané období aktuálního roku (měsíce)</a:t>
                </a:r>
              </a:p>
            </c:rich>
          </c:tx>
          <c:layout/>
          <c:overlay val="0"/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00418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418700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1004183552"/>
        <c:crosses val="autoZero"/>
        <c:crossBetween val="between"/>
      </c:valAx>
      <c:valAx>
        <c:axId val="1005585536"/>
        <c:scaling>
          <c:orientation val="minMax"/>
          <c:max val="1"/>
          <c:min val="0"/>
        </c:scaling>
        <c:delete val="1"/>
        <c:axPos val="t"/>
        <c:numFmt formatCode="General" sourceLinked="1"/>
        <c:majorTickMark val="out"/>
        <c:minorTickMark val="none"/>
        <c:tickLblPos val="nextTo"/>
        <c:crossAx val="1005587840"/>
        <c:crosses val="max"/>
        <c:crossBetween val="midCat"/>
      </c:valAx>
      <c:valAx>
        <c:axId val="1005587840"/>
        <c:scaling>
          <c:orientation val="minMax"/>
        </c:scaling>
        <c:delete val="1"/>
        <c:axPos val="r"/>
        <c:numFmt formatCode="0%" sourceLinked="1"/>
        <c:majorTickMark val="out"/>
        <c:minorTickMark val="none"/>
        <c:tickLblPos val="nextTo"/>
        <c:crossAx val="1005585536"/>
        <c:crosses val="max"/>
        <c:crossBetween val="midCat"/>
      </c:valAx>
    </c:plotArea>
    <c:plotVisOnly val="1"/>
    <c:dispBlanksAs val="gap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>
      <c:evenHeader>0.3</c:evenHeader>
    </c:headerFooter>
    <c:pageMargins b="0.75" l="0.25" r="0.25" t="0.75" header="0.4921259845" footer="0.4921259845"/>
    <c:pageSetup orientation="portrait" draft="1" useFirstPageNumber="1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2</xdr:row>
      <xdr:rowOff>7620</xdr:rowOff>
    </xdr:from>
    <xdr:to>
      <xdr:col>12</xdr:col>
      <xdr:colOff>601980</xdr:colOff>
      <xdr:row>25</xdr:row>
      <xdr:rowOff>175260</xdr:rowOff>
    </xdr:to>
    <xdr:graphicFrame macro="">
      <xdr:nvGraphicFramePr>
        <xdr:cNvPr id="600161" name="Graf_Index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2</xdr:row>
      <xdr:rowOff>7620</xdr:rowOff>
    </xdr:from>
    <xdr:to>
      <xdr:col>12</xdr:col>
      <xdr:colOff>1333500</xdr:colOff>
      <xdr:row>28</xdr:row>
      <xdr:rowOff>163285</xdr:rowOff>
    </xdr:to>
    <xdr:graphicFrame macro="">
      <xdr:nvGraphicFramePr>
        <xdr:cNvPr id="63803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34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260" bestFit="1" customWidth="1"/>
    <col min="2" max="2" width="98.6640625" style="260" customWidth="1"/>
    <col min="3" max="3" width="16.109375" style="51" hidden="1" customWidth="1"/>
    <col min="4" max="16384" width="8.88671875" style="260"/>
  </cols>
  <sheetData>
    <row r="1" spans="1:3" ht="18.600000000000001" customHeight="1" thickBot="1" x14ac:dyDescent="0.4">
      <c r="A1" s="462" t="s">
        <v>136</v>
      </c>
      <c r="B1" s="462"/>
    </row>
    <row r="2" spans="1:3" ht="14.4" customHeight="1" thickBot="1" x14ac:dyDescent="0.35">
      <c r="A2" s="389" t="s">
        <v>298</v>
      </c>
      <c r="B2" s="50"/>
    </row>
    <row r="3" spans="1:3" ht="14.4" customHeight="1" thickBot="1" x14ac:dyDescent="0.35">
      <c r="A3" s="458" t="s">
        <v>186</v>
      </c>
      <c r="B3" s="459"/>
    </row>
    <row r="4" spans="1:3" ht="14.4" customHeight="1" x14ac:dyDescent="0.3">
      <c r="A4" s="277" t="str">
        <f t="shared" ref="A4:A8" si="0">HYPERLINK("#'"&amp;C4&amp;"'!A1",C4)</f>
        <v>Motivace</v>
      </c>
      <c r="B4" s="182" t="s">
        <v>155</v>
      </c>
      <c r="C4" s="51" t="s">
        <v>156</v>
      </c>
    </row>
    <row r="5" spans="1:3" ht="14.4" customHeight="1" x14ac:dyDescent="0.3">
      <c r="A5" s="278" t="str">
        <f t="shared" si="0"/>
        <v>HI</v>
      </c>
      <c r="B5" s="183" t="s">
        <v>179</v>
      </c>
      <c r="C5" s="51" t="s">
        <v>140</v>
      </c>
    </row>
    <row r="6" spans="1:3" ht="14.4" customHeight="1" x14ac:dyDescent="0.3">
      <c r="A6" s="279" t="str">
        <f t="shared" si="0"/>
        <v>HI Graf</v>
      </c>
      <c r="B6" s="184" t="s">
        <v>132</v>
      </c>
      <c r="C6" s="51" t="s">
        <v>141</v>
      </c>
    </row>
    <row r="7" spans="1:3" ht="14.4" customHeight="1" x14ac:dyDescent="0.3">
      <c r="A7" s="279" t="str">
        <f t="shared" si="0"/>
        <v>Man Tab</v>
      </c>
      <c r="B7" s="184" t="s">
        <v>300</v>
      </c>
      <c r="C7" s="51" t="s">
        <v>142</v>
      </c>
    </row>
    <row r="8" spans="1:3" ht="14.4" customHeight="1" thickBot="1" x14ac:dyDescent="0.35">
      <c r="A8" s="280" t="str">
        <f t="shared" si="0"/>
        <v>HV</v>
      </c>
      <c r="B8" s="185" t="s">
        <v>64</v>
      </c>
      <c r="C8" s="51" t="s">
        <v>69</v>
      </c>
    </row>
    <row r="9" spans="1:3" ht="14.4" customHeight="1" thickBot="1" x14ac:dyDescent="0.35">
      <c r="A9" s="186"/>
      <c r="B9" s="186"/>
    </row>
    <row r="10" spans="1:3" ht="14.4" customHeight="1" thickBot="1" x14ac:dyDescent="0.35">
      <c r="A10" s="460" t="s">
        <v>137</v>
      </c>
      <c r="B10" s="459"/>
    </row>
    <row r="11" spans="1:3" ht="14.4" customHeight="1" x14ac:dyDescent="0.3">
      <c r="A11" s="281" t="str">
        <f t="shared" ref="A11:A22" si="1">HYPERLINK("#'"&amp;C11&amp;"'!A1",C11)</f>
        <v>Léky Žádanky</v>
      </c>
      <c r="B11" s="183" t="s">
        <v>180</v>
      </c>
      <c r="C11" s="51" t="s">
        <v>143</v>
      </c>
    </row>
    <row r="12" spans="1:3" ht="14.4" customHeight="1" x14ac:dyDescent="0.3">
      <c r="A12" s="279" t="str">
        <f t="shared" si="1"/>
        <v>LŽ Detail</v>
      </c>
      <c r="B12" s="184" t="s">
        <v>212</v>
      </c>
      <c r="C12" s="51" t="s">
        <v>144</v>
      </c>
    </row>
    <row r="13" spans="1:3" ht="28.8" customHeight="1" x14ac:dyDescent="0.3">
      <c r="A13" s="279" t="str">
        <f t="shared" si="1"/>
        <v>LŽ PL</v>
      </c>
      <c r="B13" s="660" t="s">
        <v>214</v>
      </c>
      <c r="C13" s="51" t="s">
        <v>191</v>
      </c>
    </row>
    <row r="14" spans="1:3" ht="14.4" customHeight="1" x14ac:dyDescent="0.3">
      <c r="A14" s="279" t="str">
        <f t="shared" si="1"/>
        <v>LŽ PL Detail</v>
      </c>
      <c r="B14" s="184" t="s">
        <v>1911</v>
      </c>
      <c r="C14" s="51" t="s">
        <v>193</v>
      </c>
    </row>
    <row r="15" spans="1:3" ht="14.4" customHeight="1" x14ac:dyDescent="0.3">
      <c r="A15" s="279" t="str">
        <f t="shared" si="1"/>
        <v>Léky Recepty</v>
      </c>
      <c r="B15" s="184" t="s">
        <v>181</v>
      </c>
      <c r="C15" s="51" t="s">
        <v>145</v>
      </c>
    </row>
    <row r="16" spans="1:3" ht="14.4" customHeight="1" x14ac:dyDescent="0.3">
      <c r="A16" s="279" t="str">
        <f t="shared" si="1"/>
        <v>LRp Lékaři</v>
      </c>
      <c r="B16" s="184" t="s">
        <v>196</v>
      </c>
      <c r="C16" s="51" t="s">
        <v>197</v>
      </c>
    </row>
    <row r="17" spans="1:3" ht="14.4" customHeight="1" x14ac:dyDescent="0.3">
      <c r="A17" s="279" t="str">
        <f t="shared" si="1"/>
        <v>LRp Detail</v>
      </c>
      <c r="B17" s="184" t="s">
        <v>2488</v>
      </c>
      <c r="C17" s="51" t="s">
        <v>146</v>
      </c>
    </row>
    <row r="18" spans="1:3" ht="28.8" customHeight="1" x14ac:dyDescent="0.3">
      <c r="A18" s="279" t="str">
        <f t="shared" si="1"/>
        <v>LRp PL</v>
      </c>
      <c r="B18" s="660" t="s">
        <v>2489</v>
      </c>
      <c r="C18" s="51" t="s">
        <v>192</v>
      </c>
    </row>
    <row r="19" spans="1:3" ht="14.4" customHeight="1" x14ac:dyDescent="0.3">
      <c r="A19" s="279" t="str">
        <f>HYPERLINK("#'"&amp;C19&amp;"'!A1",C19)</f>
        <v>LRp PL Detail</v>
      </c>
      <c r="B19" s="184" t="s">
        <v>2526</v>
      </c>
      <c r="C19" s="51" t="s">
        <v>194</v>
      </c>
    </row>
    <row r="20" spans="1:3" ht="14.4" customHeight="1" x14ac:dyDescent="0.3">
      <c r="A20" s="281" t="str">
        <f t="shared" si="1"/>
        <v>Materiál Žádanky</v>
      </c>
      <c r="B20" s="184" t="s">
        <v>182</v>
      </c>
      <c r="C20" s="51" t="s">
        <v>147</v>
      </c>
    </row>
    <row r="21" spans="1:3" ht="14.4" customHeight="1" x14ac:dyDescent="0.3">
      <c r="A21" s="279" t="str">
        <f t="shared" si="1"/>
        <v>MŽ Detail</v>
      </c>
      <c r="B21" s="184" t="s">
        <v>3295</v>
      </c>
      <c r="C21" s="51" t="s">
        <v>148</v>
      </c>
    </row>
    <row r="22" spans="1:3" ht="14.4" customHeight="1" thickBot="1" x14ac:dyDescent="0.35">
      <c r="A22" s="281" t="str">
        <f t="shared" si="1"/>
        <v>Osobní náklady</v>
      </c>
      <c r="B22" s="184" t="s">
        <v>134</v>
      </c>
      <c r="C22" s="51" t="s">
        <v>149</v>
      </c>
    </row>
    <row r="23" spans="1:3" ht="14.4" customHeight="1" thickBot="1" x14ac:dyDescent="0.35">
      <c r="A23" s="187"/>
      <c r="B23" s="187"/>
    </row>
    <row r="24" spans="1:3" ht="14.4" customHeight="1" thickBot="1" x14ac:dyDescent="0.35">
      <c r="A24" s="461" t="s">
        <v>138</v>
      </c>
      <c r="B24" s="459"/>
    </row>
    <row r="25" spans="1:3" ht="14.4" customHeight="1" x14ac:dyDescent="0.3">
      <c r="A25" s="282" t="str">
        <f t="shared" ref="A25:A34" si="2">HYPERLINK("#'"&amp;C25&amp;"'!A1",C25)</f>
        <v>ZV Vykáz.-A</v>
      </c>
      <c r="B25" s="183" t="s">
        <v>3301</v>
      </c>
      <c r="C25" s="51" t="s">
        <v>157</v>
      </c>
    </row>
    <row r="26" spans="1:3" ht="14.4" customHeight="1" x14ac:dyDescent="0.3">
      <c r="A26" s="279" t="str">
        <f t="shared" si="2"/>
        <v>ZV Vykáz.-A Detail</v>
      </c>
      <c r="B26" s="184" t="s">
        <v>3367</v>
      </c>
      <c r="C26" s="51" t="s">
        <v>158</v>
      </c>
    </row>
    <row r="27" spans="1:3" ht="14.4" customHeight="1" x14ac:dyDescent="0.3">
      <c r="A27" s="279" t="str">
        <f t="shared" si="2"/>
        <v>ZV Vykáz.-H</v>
      </c>
      <c r="B27" s="184" t="s">
        <v>161</v>
      </c>
      <c r="C27" s="51" t="s">
        <v>159</v>
      </c>
    </row>
    <row r="28" spans="1:3" ht="14.4" customHeight="1" x14ac:dyDescent="0.3">
      <c r="A28" s="279" t="str">
        <f t="shared" si="2"/>
        <v>ZV Vykáz.-H Detail</v>
      </c>
      <c r="B28" s="184" t="s">
        <v>3914</v>
      </c>
      <c r="C28" s="51" t="s">
        <v>160</v>
      </c>
    </row>
    <row r="29" spans="1:3" ht="14.4" customHeight="1" x14ac:dyDescent="0.3">
      <c r="A29" s="282" t="str">
        <f t="shared" si="2"/>
        <v>CaseMix</v>
      </c>
      <c r="B29" s="184" t="s">
        <v>139</v>
      </c>
      <c r="C29" s="51" t="s">
        <v>150</v>
      </c>
    </row>
    <row r="30" spans="1:3" ht="14.4" customHeight="1" x14ac:dyDescent="0.3">
      <c r="A30" s="279" t="str">
        <f t="shared" si="2"/>
        <v>ALOS</v>
      </c>
      <c r="B30" s="184" t="s">
        <v>118</v>
      </c>
      <c r="C30" s="51" t="s">
        <v>89</v>
      </c>
    </row>
    <row r="31" spans="1:3" ht="14.4" customHeight="1" x14ac:dyDescent="0.3">
      <c r="A31" s="279" t="str">
        <f t="shared" si="2"/>
        <v>Total</v>
      </c>
      <c r="B31" s="184" t="s">
        <v>4002</v>
      </c>
      <c r="C31" s="51" t="s">
        <v>151</v>
      </c>
    </row>
    <row r="32" spans="1:3" ht="14.4" customHeight="1" x14ac:dyDescent="0.3">
      <c r="A32" s="279" t="str">
        <f t="shared" si="2"/>
        <v>ZV Vyžád.</v>
      </c>
      <c r="B32" s="184" t="s">
        <v>162</v>
      </c>
      <c r="C32" s="51" t="s">
        <v>154</v>
      </c>
    </row>
    <row r="33" spans="1:3" ht="14.4" customHeight="1" x14ac:dyDescent="0.3">
      <c r="A33" s="279" t="str">
        <f t="shared" si="2"/>
        <v>ZV Vyžád. Detail</v>
      </c>
      <c r="B33" s="184" t="s">
        <v>4384</v>
      </c>
      <c r="C33" s="51" t="s">
        <v>153</v>
      </c>
    </row>
    <row r="34" spans="1:3" ht="14.4" customHeight="1" thickBot="1" x14ac:dyDescent="0.35">
      <c r="A34" s="280" t="str">
        <f t="shared" si="2"/>
        <v>OD TISS</v>
      </c>
      <c r="B34" s="185" t="s">
        <v>185</v>
      </c>
      <c r="C34" s="51" t="s">
        <v>152</v>
      </c>
    </row>
  </sheetData>
  <mergeCells count="4">
    <mergeCell ref="A3:B3"/>
    <mergeCell ref="A10:B10"/>
    <mergeCell ref="A24:B24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7">
    <tabColor theme="0" tint="-0.249977111117893"/>
    <pageSetUpPr fitToPage="1"/>
  </sheetPr>
  <dimension ref="A1:M121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5.77734375" style="260" bestFit="1" customWidth="1"/>
    <col min="2" max="2" width="8.88671875" style="260" bestFit="1" customWidth="1"/>
    <col min="3" max="3" width="7" style="260" bestFit="1" customWidth="1"/>
    <col min="4" max="4" width="53.44140625" style="260" bestFit="1" customWidth="1"/>
    <col min="5" max="5" width="28.44140625" style="260" bestFit="1" customWidth="1"/>
    <col min="6" max="6" width="6.6640625" style="343" customWidth="1"/>
    <col min="7" max="7" width="10" style="343" customWidth="1"/>
    <col min="8" max="8" width="6.77734375" style="346" bestFit="1" customWidth="1"/>
    <col min="9" max="9" width="6.6640625" style="343" customWidth="1"/>
    <col min="10" max="10" width="10" style="343" customWidth="1"/>
    <col min="11" max="11" width="6.77734375" style="346" bestFit="1" customWidth="1"/>
    <col min="12" max="12" width="6.6640625" style="343" customWidth="1"/>
    <col min="13" max="13" width="10" style="343" customWidth="1"/>
    <col min="14" max="16384" width="8.88671875" style="260"/>
  </cols>
  <sheetData>
    <row r="1" spans="1:13" ht="18.600000000000001" customHeight="1" thickBot="1" x14ac:dyDescent="0.4">
      <c r="A1" s="494" t="s">
        <v>1911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62"/>
      <c r="M1" s="462"/>
    </row>
    <row r="2" spans="1:13" ht="14.4" customHeight="1" thickBot="1" x14ac:dyDescent="0.35">
      <c r="A2" s="389" t="s">
        <v>298</v>
      </c>
      <c r="B2" s="342"/>
      <c r="C2" s="342"/>
      <c r="D2" s="342"/>
      <c r="E2" s="342"/>
      <c r="F2" s="350"/>
      <c r="G2" s="350"/>
      <c r="H2" s="351"/>
      <c r="I2" s="350"/>
      <c r="J2" s="350"/>
      <c r="K2" s="351"/>
      <c r="L2" s="350"/>
    </row>
    <row r="3" spans="1:13" ht="14.4" customHeight="1" thickBot="1" x14ac:dyDescent="0.35">
      <c r="E3" s="104" t="s">
        <v>163</v>
      </c>
      <c r="F3" s="47">
        <f>SUBTOTAL(9,F6:F1048576)</f>
        <v>50</v>
      </c>
      <c r="G3" s="47">
        <f>SUBTOTAL(9,G6:G1048576)</f>
        <v>12719.163333333334</v>
      </c>
      <c r="H3" s="48">
        <f>IF(M3=0,0,G3/M3)</f>
        <v>5.1627883186060833E-2</v>
      </c>
      <c r="I3" s="47">
        <f>SUBTOTAL(9,I6:I1048576)</f>
        <v>1397.6</v>
      </c>
      <c r="J3" s="47">
        <f>SUBTOTAL(9,J6:J1048576)</f>
        <v>233643.12286567583</v>
      </c>
      <c r="K3" s="48">
        <f>IF(M3=0,0,J3/M3)</f>
        <v>0.94837211681393907</v>
      </c>
      <c r="L3" s="47">
        <f>SUBTOTAL(9,L6:L1048576)</f>
        <v>1447.6</v>
      </c>
      <c r="M3" s="49">
        <f>SUBTOTAL(9,M6:M1048576)</f>
        <v>246362.28619900919</v>
      </c>
    </row>
    <row r="4" spans="1:13" ht="14.4" customHeight="1" thickBot="1" x14ac:dyDescent="0.35">
      <c r="A4" s="45"/>
      <c r="B4" s="45"/>
      <c r="C4" s="45"/>
      <c r="D4" s="45"/>
      <c r="E4" s="46"/>
      <c r="F4" s="498" t="s">
        <v>165</v>
      </c>
      <c r="G4" s="499"/>
      <c r="H4" s="500"/>
      <c r="I4" s="501" t="s">
        <v>164</v>
      </c>
      <c r="J4" s="499"/>
      <c r="K4" s="500"/>
      <c r="L4" s="502" t="s">
        <v>6</v>
      </c>
      <c r="M4" s="503"/>
    </row>
    <row r="5" spans="1:13" ht="14.4" customHeight="1" thickBot="1" x14ac:dyDescent="0.35">
      <c r="A5" s="643" t="s">
        <v>166</v>
      </c>
      <c r="B5" s="661" t="s">
        <v>167</v>
      </c>
      <c r="C5" s="661" t="s">
        <v>93</v>
      </c>
      <c r="D5" s="661" t="s">
        <v>168</v>
      </c>
      <c r="E5" s="661" t="s">
        <v>169</v>
      </c>
      <c r="F5" s="662" t="s">
        <v>31</v>
      </c>
      <c r="G5" s="662" t="s">
        <v>17</v>
      </c>
      <c r="H5" s="645" t="s">
        <v>170</v>
      </c>
      <c r="I5" s="644" t="s">
        <v>31</v>
      </c>
      <c r="J5" s="662" t="s">
        <v>17</v>
      </c>
      <c r="K5" s="645" t="s">
        <v>170</v>
      </c>
      <c r="L5" s="644" t="s">
        <v>31</v>
      </c>
      <c r="M5" s="663" t="s">
        <v>17</v>
      </c>
    </row>
    <row r="6" spans="1:13" ht="14.4" customHeight="1" x14ac:dyDescent="0.3">
      <c r="A6" s="625" t="s">
        <v>548</v>
      </c>
      <c r="B6" s="626" t="s">
        <v>1806</v>
      </c>
      <c r="C6" s="626" t="s">
        <v>1205</v>
      </c>
      <c r="D6" s="626" t="s">
        <v>1096</v>
      </c>
      <c r="E6" s="626" t="s">
        <v>1807</v>
      </c>
      <c r="F6" s="629"/>
      <c r="G6" s="629"/>
      <c r="H6" s="647">
        <v>0</v>
      </c>
      <c r="I6" s="629">
        <v>1</v>
      </c>
      <c r="J6" s="629">
        <v>250.82</v>
      </c>
      <c r="K6" s="647">
        <v>1</v>
      </c>
      <c r="L6" s="629">
        <v>1</v>
      </c>
      <c r="M6" s="630">
        <v>250.82</v>
      </c>
    </row>
    <row r="7" spans="1:13" ht="14.4" customHeight="1" x14ac:dyDescent="0.3">
      <c r="A7" s="631" t="s">
        <v>548</v>
      </c>
      <c r="B7" s="632" t="s">
        <v>1806</v>
      </c>
      <c r="C7" s="632" t="s">
        <v>1092</v>
      </c>
      <c r="D7" s="632" t="s">
        <v>1041</v>
      </c>
      <c r="E7" s="632" t="s">
        <v>1808</v>
      </c>
      <c r="F7" s="635"/>
      <c r="G7" s="635"/>
      <c r="H7" s="648">
        <v>0</v>
      </c>
      <c r="I7" s="635">
        <v>2</v>
      </c>
      <c r="J7" s="635">
        <v>73.419999999999987</v>
      </c>
      <c r="K7" s="648">
        <v>1</v>
      </c>
      <c r="L7" s="635">
        <v>2</v>
      </c>
      <c r="M7" s="636">
        <v>73.419999999999987</v>
      </c>
    </row>
    <row r="8" spans="1:13" ht="14.4" customHeight="1" x14ac:dyDescent="0.3">
      <c r="A8" s="631" t="s">
        <v>548</v>
      </c>
      <c r="B8" s="632" t="s">
        <v>1806</v>
      </c>
      <c r="C8" s="632" t="s">
        <v>1040</v>
      </c>
      <c r="D8" s="632" t="s">
        <v>1041</v>
      </c>
      <c r="E8" s="632" t="s">
        <v>1042</v>
      </c>
      <c r="F8" s="635"/>
      <c r="G8" s="635"/>
      <c r="H8" s="648">
        <v>0</v>
      </c>
      <c r="I8" s="635">
        <v>1</v>
      </c>
      <c r="J8" s="635">
        <v>128.01</v>
      </c>
      <c r="K8" s="648">
        <v>1</v>
      </c>
      <c r="L8" s="635">
        <v>1</v>
      </c>
      <c r="M8" s="636">
        <v>128.01</v>
      </c>
    </row>
    <row r="9" spans="1:13" ht="14.4" customHeight="1" x14ac:dyDescent="0.3">
      <c r="A9" s="631" t="s">
        <v>548</v>
      </c>
      <c r="B9" s="632" t="s">
        <v>1806</v>
      </c>
      <c r="C9" s="632" t="s">
        <v>1095</v>
      </c>
      <c r="D9" s="632" t="s">
        <v>1096</v>
      </c>
      <c r="E9" s="632" t="s">
        <v>1809</v>
      </c>
      <c r="F9" s="635"/>
      <c r="G9" s="635"/>
      <c r="H9" s="648">
        <v>0</v>
      </c>
      <c r="I9" s="635">
        <v>17</v>
      </c>
      <c r="J9" s="635">
        <v>1248.7579393404417</v>
      </c>
      <c r="K9" s="648">
        <v>1</v>
      </c>
      <c r="L9" s="635">
        <v>17</v>
      </c>
      <c r="M9" s="636">
        <v>1248.7579393404417</v>
      </c>
    </row>
    <row r="10" spans="1:13" ht="14.4" customHeight="1" x14ac:dyDescent="0.3">
      <c r="A10" s="631" t="s">
        <v>548</v>
      </c>
      <c r="B10" s="632" t="s">
        <v>1806</v>
      </c>
      <c r="C10" s="632" t="s">
        <v>1175</v>
      </c>
      <c r="D10" s="632" t="s">
        <v>1176</v>
      </c>
      <c r="E10" s="632" t="s">
        <v>1177</v>
      </c>
      <c r="F10" s="635"/>
      <c r="G10" s="635"/>
      <c r="H10" s="648">
        <v>0</v>
      </c>
      <c r="I10" s="635">
        <v>6</v>
      </c>
      <c r="J10" s="635">
        <v>425.45999999999992</v>
      </c>
      <c r="K10" s="648">
        <v>1</v>
      </c>
      <c r="L10" s="635">
        <v>6</v>
      </c>
      <c r="M10" s="636">
        <v>425.45999999999992</v>
      </c>
    </row>
    <row r="11" spans="1:13" ht="14.4" customHeight="1" x14ac:dyDescent="0.3">
      <c r="A11" s="631" t="s">
        <v>548</v>
      </c>
      <c r="B11" s="632" t="s">
        <v>1810</v>
      </c>
      <c r="C11" s="632" t="s">
        <v>1062</v>
      </c>
      <c r="D11" s="632" t="s">
        <v>1811</v>
      </c>
      <c r="E11" s="632" t="s">
        <v>1812</v>
      </c>
      <c r="F11" s="635"/>
      <c r="G11" s="635"/>
      <c r="H11" s="648">
        <v>0</v>
      </c>
      <c r="I11" s="635">
        <v>2</v>
      </c>
      <c r="J11" s="635">
        <v>207.26</v>
      </c>
      <c r="K11" s="648">
        <v>1</v>
      </c>
      <c r="L11" s="635">
        <v>2</v>
      </c>
      <c r="M11" s="636">
        <v>207.26</v>
      </c>
    </row>
    <row r="12" spans="1:13" ht="14.4" customHeight="1" x14ac:dyDescent="0.3">
      <c r="A12" s="631" t="s">
        <v>548</v>
      </c>
      <c r="B12" s="632" t="s">
        <v>1810</v>
      </c>
      <c r="C12" s="632" t="s">
        <v>1066</v>
      </c>
      <c r="D12" s="632" t="s">
        <v>1811</v>
      </c>
      <c r="E12" s="632" t="s">
        <v>1813</v>
      </c>
      <c r="F12" s="635"/>
      <c r="G12" s="635"/>
      <c r="H12" s="648">
        <v>0</v>
      </c>
      <c r="I12" s="635">
        <v>2</v>
      </c>
      <c r="J12" s="635">
        <v>354.03999999999996</v>
      </c>
      <c r="K12" s="648">
        <v>1</v>
      </c>
      <c r="L12" s="635">
        <v>2</v>
      </c>
      <c r="M12" s="636">
        <v>354.03999999999996</v>
      </c>
    </row>
    <row r="13" spans="1:13" ht="14.4" customHeight="1" x14ac:dyDescent="0.3">
      <c r="A13" s="631" t="s">
        <v>548</v>
      </c>
      <c r="B13" s="632" t="s">
        <v>1814</v>
      </c>
      <c r="C13" s="632" t="s">
        <v>1167</v>
      </c>
      <c r="D13" s="632" t="s">
        <v>1168</v>
      </c>
      <c r="E13" s="632" t="s">
        <v>1169</v>
      </c>
      <c r="F13" s="635"/>
      <c r="G13" s="635"/>
      <c r="H13" s="648">
        <v>0</v>
      </c>
      <c r="I13" s="635">
        <v>2</v>
      </c>
      <c r="J13" s="635">
        <v>144.91999999999996</v>
      </c>
      <c r="K13" s="648">
        <v>1</v>
      </c>
      <c r="L13" s="635">
        <v>2</v>
      </c>
      <c r="M13" s="636">
        <v>144.91999999999996</v>
      </c>
    </row>
    <row r="14" spans="1:13" ht="14.4" customHeight="1" x14ac:dyDescent="0.3">
      <c r="A14" s="631" t="s">
        <v>548</v>
      </c>
      <c r="B14" s="632" t="s">
        <v>1815</v>
      </c>
      <c r="C14" s="632" t="s">
        <v>1159</v>
      </c>
      <c r="D14" s="632" t="s">
        <v>1160</v>
      </c>
      <c r="E14" s="632" t="s">
        <v>1161</v>
      </c>
      <c r="F14" s="635"/>
      <c r="G14" s="635"/>
      <c r="H14" s="648">
        <v>0</v>
      </c>
      <c r="I14" s="635">
        <v>1</v>
      </c>
      <c r="J14" s="635">
        <v>473.4</v>
      </c>
      <c r="K14" s="648">
        <v>1</v>
      </c>
      <c r="L14" s="635">
        <v>1</v>
      </c>
      <c r="M14" s="636">
        <v>473.4</v>
      </c>
    </row>
    <row r="15" spans="1:13" ht="14.4" customHeight="1" x14ac:dyDescent="0.3">
      <c r="A15" s="631" t="s">
        <v>548</v>
      </c>
      <c r="B15" s="632" t="s">
        <v>1816</v>
      </c>
      <c r="C15" s="632" t="s">
        <v>1077</v>
      </c>
      <c r="D15" s="632" t="s">
        <v>1078</v>
      </c>
      <c r="E15" s="632" t="s">
        <v>1079</v>
      </c>
      <c r="F15" s="635"/>
      <c r="G15" s="635"/>
      <c r="H15" s="648">
        <v>0</v>
      </c>
      <c r="I15" s="635">
        <v>1</v>
      </c>
      <c r="J15" s="635">
        <v>801.73</v>
      </c>
      <c r="K15" s="648">
        <v>1</v>
      </c>
      <c r="L15" s="635">
        <v>1</v>
      </c>
      <c r="M15" s="636">
        <v>801.73</v>
      </c>
    </row>
    <row r="16" spans="1:13" ht="14.4" customHeight="1" x14ac:dyDescent="0.3">
      <c r="A16" s="631" t="s">
        <v>548</v>
      </c>
      <c r="B16" s="632" t="s">
        <v>1817</v>
      </c>
      <c r="C16" s="632" t="s">
        <v>1219</v>
      </c>
      <c r="D16" s="632" t="s">
        <v>1220</v>
      </c>
      <c r="E16" s="632" t="s">
        <v>1221</v>
      </c>
      <c r="F16" s="635">
        <v>1</v>
      </c>
      <c r="G16" s="635">
        <v>104.17</v>
      </c>
      <c r="H16" s="648">
        <v>1</v>
      </c>
      <c r="I16" s="635"/>
      <c r="J16" s="635"/>
      <c r="K16" s="648">
        <v>0</v>
      </c>
      <c r="L16" s="635">
        <v>1</v>
      </c>
      <c r="M16" s="636">
        <v>104.17</v>
      </c>
    </row>
    <row r="17" spans="1:13" ht="14.4" customHeight="1" x14ac:dyDescent="0.3">
      <c r="A17" s="631" t="s">
        <v>548</v>
      </c>
      <c r="B17" s="632" t="s">
        <v>1817</v>
      </c>
      <c r="C17" s="632" t="s">
        <v>1106</v>
      </c>
      <c r="D17" s="632" t="s">
        <v>1107</v>
      </c>
      <c r="E17" s="632" t="s">
        <v>1818</v>
      </c>
      <c r="F17" s="635"/>
      <c r="G17" s="635"/>
      <c r="H17" s="648">
        <v>0</v>
      </c>
      <c r="I17" s="635">
        <v>1</v>
      </c>
      <c r="J17" s="635">
        <v>76.64</v>
      </c>
      <c r="K17" s="648">
        <v>1</v>
      </c>
      <c r="L17" s="635">
        <v>1</v>
      </c>
      <c r="M17" s="636">
        <v>76.64</v>
      </c>
    </row>
    <row r="18" spans="1:13" ht="14.4" customHeight="1" x14ac:dyDescent="0.3">
      <c r="A18" s="631" t="s">
        <v>548</v>
      </c>
      <c r="B18" s="632" t="s">
        <v>1819</v>
      </c>
      <c r="C18" s="632" t="s">
        <v>1147</v>
      </c>
      <c r="D18" s="632" t="s">
        <v>1148</v>
      </c>
      <c r="E18" s="632" t="s">
        <v>1149</v>
      </c>
      <c r="F18" s="635"/>
      <c r="G18" s="635"/>
      <c r="H18" s="648">
        <v>0</v>
      </c>
      <c r="I18" s="635">
        <v>1</v>
      </c>
      <c r="J18" s="635">
        <v>30.589999999999996</v>
      </c>
      <c r="K18" s="648">
        <v>1</v>
      </c>
      <c r="L18" s="635">
        <v>1</v>
      </c>
      <c r="M18" s="636">
        <v>30.589999999999996</v>
      </c>
    </row>
    <row r="19" spans="1:13" ht="14.4" customHeight="1" x14ac:dyDescent="0.3">
      <c r="A19" s="631" t="s">
        <v>548</v>
      </c>
      <c r="B19" s="632" t="s">
        <v>1820</v>
      </c>
      <c r="C19" s="632" t="s">
        <v>1140</v>
      </c>
      <c r="D19" s="632" t="s">
        <v>1821</v>
      </c>
      <c r="E19" s="632" t="s">
        <v>1539</v>
      </c>
      <c r="F19" s="635"/>
      <c r="G19" s="635"/>
      <c r="H19" s="648">
        <v>0</v>
      </c>
      <c r="I19" s="635">
        <v>2</v>
      </c>
      <c r="J19" s="635">
        <v>290.14</v>
      </c>
      <c r="K19" s="648">
        <v>1</v>
      </c>
      <c r="L19" s="635">
        <v>2</v>
      </c>
      <c r="M19" s="636">
        <v>290.14</v>
      </c>
    </row>
    <row r="20" spans="1:13" ht="14.4" customHeight="1" x14ac:dyDescent="0.3">
      <c r="A20" s="631" t="s">
        <v>548</v>
      </c>
      <c r="B20" s="632" t="s">
        <v>1822</v>
      </c>
      <c r="C20" s="632" t="s">
        <v>1199</v>
      </c>
      <c r="D20" s="632" t="s">
        <v>1082</v>
      </c>
      <c r="E20" s="632" t="s">
        <v>1200</v>
      </c>
      <c r="F20" s="635"/>
      <c r="G20" s="635"/>
      <c r="H20" s="648">
        <v>0</v>
      </c>
      <c r="I20" s="635">
        <v>17</v>
      </c>
      <c r="J20" s="635">
        <v>6060.4910163445929</v>
      </c>
      <c r="K20" s="648">
        <v>1</v>
      </c>
      <c r="L20" s="635">
        <v>17</v>
      </c>
      <c r="M20" s="636">
        <v>6060.4910163445929</v>
      </c>
    </row>
    <row r="21" spans="1:13" ht="14.4" customHeight="1" x14ac:dyDescent="0.3">
      <c r="A21" s="631" t="s">
        <v>548</v>
      </c>
      <c r="B21" s="632" t="s">
        <v>1822</v>
      </c>
      <c r="C21" s="632" t="s">
        <v>1202</v>
      </c>
      <c r="D21" s="632" t="s">
        <v>1082</v>
      </c>
      <c r="E21" s="632" t="s">
        <v>1203</v>
      </c>
      <c r="F21" s="635"/>
      <c r="G21" s="635"/>
      <c r="H21" s="648">
        <v>0</v>
      </c>
      <c r="I21" s="635">
        <v>10</v>
      </c>
      <c r="J21" s="635">
        <v>4139.9991150930146</v>
      </c>
      <c r="K21" s="648">
        <v>1</v>
      </c>
      <c r="L21" s="635">
        <v>10</v>
      </c>
      <c r="M21" s="636">
        <v>4139.9991150930146</v>
      </c>
    </row>
    <row r="22" spans="1:13" ht="14.4" customHeight="1" x14ac:dyDescent="0.3">
      <c r="A22" s="631" t="s">
        <v>548</v>
      </c>
      <c r="B22" s="632" t="s">
        <v>1822</v>
      </c>
      <c r="C22" s="632" t="s">
        <v>1081</v>
      </c>
      <c r="D22" s="632" t="s">
        <v>1082</v>
      </c>
      <c r="E22" s="632" t="s">
        <v>1083</v>
      </c>
      <c r="F22" s="635"/>
      <c r="G22" s="635"/>
      <c r="H22" s="648">
        <v>0</v>
      </c>
      <c r="I22" s="635">
        <v>6</v>
      </c>
      <c r="J22" s="635">
        <v>2953.1961004130517</v>
      </c>
      <c r="K22" s="648">
        <v>1</v>
      </c>
      <c r="L22" s="635">
        <v>6</v>
      </c>
      <c r="M22" s="636">
        <v>2953.1961004130517</v>
      </c>
    </row>
    <row r="23" spans="1:13" ht="14.4" customHeight="1" x14ac:dyDescent="0.3">
      <c r="A23" s="631" t="s">
        <v>548</v>
      </c>
      <c r="B23" s="632" t="s">
        <v>1822</v>
      </c>
      <c r="C23" s="632" t="s">
        <v>1085</v>
      </c>
      <c r="D23" s="632" t="s">
        <v>1082</v>
      </c>
      <c r="E23" s="632" t="s">
        <v>1086</v>
      </c>
      <c r="F23" s="635"/>
      <c r="G23" s="635"/>
      <c r="H23" s="648">
        <v>0</v>
      </c>
      <c r="I23" s="635">
        <v>3</v>
      </c>
      <c r="J23" s="635">
        <v>2828.9979843785327</v>
      </c>
      <c r="K23" s="648">
        <v>1</v>
      </c>
      <c r="L23" s="635">
        <v>3</v>
      </c>
      <c r="M23" s="636">
        <v>2828.9979843785327</v>
      </c>
    </row>
    <row r="24" spans="1:13" ht="14.4" customHeight="1" x14ac:dyDescent="0.3">
      <c r="A24" s="631" t="s">
        <v>548</v>
      </c>
      <c r="B24" s="632" t="s">
        <v>1822</v>
      </c>
      <c r="C24" s="632" t="s">
        <v>1118</v>
      </c>
      <c r="D24" s="632" t="s">
        <v>1119</v>
      </c>
      <c r="E24" s="632" t="s">
        <v>1083</v>
      </c>
      <c r="F24" s="635"/>
      <c r="G24" s="635"/>
      <c r="H24" s="648">
        <v>0</v>
      </c>
      <c r="I24" s="635">
        <v>10</v>
      </c>
      <c r="J24" s="635">
        <v>14448.438659673626</v>
      </c>
      <c r="K24" s="648">
        <v>1</v>
      </c>
      <c r="L24" s="635">
        <v>10</v>
      </c>
      <c r="M24" s="636">
        <v>14448.438659673626</v>
      </c>
    </row>
    <row r="25" spans="1:13" ht="14.4" customHeight="1" x14ac:dyDescent="0.3">
      <c r="A25" s="631" t="s">
        <v>548</v>
      </c>
      <c r="B25" s="632" t="s">
        <v>1822</v>
      </c>
      <c r="C25" s="632" t="s">
        <v>1122</v>
      </c>
      <c r="D25" s="632" t="s">
        <v>1119</v>
      </c>
      <c r="E25" s="632" t="s">
        <v>1086</v>
      </c>
      <c r="F25" s="635"/>
      <c r="G25" s="635"/>
      <c r="H25" s="648">
        <v>0</v>
      </c>
      <c r="I25" s="635">
        <v>4</v>
      </c>
      <c r="J25" s="635">
        <v>7855.9999999999991</v>
      </c>
      <c r="K25" s="648">
        <v>1</v>
      </c>
      <c r="L25" s="635">
        <v>4</v>
      </c>
      <c r="M25" s="636">
        <v>7855.9999999999991</v>
      </c>
    </row>
    <row r="26" spans="1:13" ht="14.4" customHeight="1" x14ac:dyDescent="0.3">
      <c r="A26" s="631" t="s">
        <v>548</v>
      </c>
      <c r="B26" s="632" t="s">
        <v>1822</v>
      </c>
      <c r="C26" s="632" t="s">
        <v>1125</v>
      </c>
      <c r="D26" s="632" t="s">
        <v>1119</v>
      </c>
      <c r="E26" s="632" t="s">
        <v>1823</v>
      </c>
      <c r="F26" s="635"/>
      <c r="G26" s="635"/>
      <c r="H26" s="648">
        <v>0</v>
      </c>
      <c r="I26" s="635">
        <v>2</v>
      </c>
      <c r="J26" s="635">
        <v>4910.8967646615902</v>
      </c>
      <c r="K26" s="648">
        <v>1</v>
      </c>
      <c r="L26" s="635">
        <v>2</v>
      </c>
      <c r="M26" s="636">
        <v>4910.8967646615902</v>
      </c>
    </row>
    <row r="27" spans="1:13" ht="14.4" customHeight="1" x14ac:dyDescent="0.3">
      <c r="A27" s="631" t="s">
        <v>548</v>
      </c>
      <c r="B27" s="632" t="s">
        <v>1824</v>
      </c>
      <c r="C27" s="632" t="s">
        <v>878</v>
      </c>
      <c r="D27" s="632" t="s">
        <v>879</v>
      </c>
      <c r="E27" s="632" t="s">
        <v>880</v>
      </c>
      <c r="F27" s="635"/>
      <c r="G27" s="635"/>
      <c r="H27" s="648">
        <v>0</v>
      </c>
      <c r="I27" s="635">
        <v>6</v>
      </c>
      <c r="J27" s="635">
        <v>605.46978437338953</v>
      </c>
      <c r="K27" s="648">
        <v>1</v>
      </c>
      <c r="L27" s="635">
        <v>6</v>
      </c>
      <c r="M27" s="636">
        <v>605.46978437338953</v>
      </c>
    </row>
    <row r="28" spans="1:13" ht="14.4" customHeight="1" x14ac:dyDescent="0.3">
      <c r="A28" s="631" t="s">
        <v>548</v>
      </c>
      <c r="B28" s="632" t="s">
        <v>1825</v>
      </c>
      <c r="C28" s="632" t="s">
        <v>1073</v>
      </c>
      <c r="D28" s="632" t="s">
        <v>1826</v>
      </c>
      <c r="E28" s="632" t="s">
        <v>1075</v>
      </c>
      <c r="F28" s="635"/>
      <c r="G28" s="635"/>
      <c r="H28" s="648">
        <v>0</v>
      </c>
      <c r="I28" s="635">
        <v>1</v>
      </c>
      <c r="J28" s="635">
        <v>1242.3196203943664</v>
      </c>
      <c r="K28" s="648">
        <v>1</v>
      </c>
      <c r="L28" s="635">
        <v>1</v>
      </c>
      <c r="M28" s="636">
        <v>1242.3196203943664</v>
      </c>
    </row>
    <row r="29" spans="1:13" ht="14.4" customHeight="1" x14ac:dyDescent="0.3">
      <c r="A29" s="631" t="s">
        <v>548</v>
      </c>
      <c r="B29" s="632" t="s">
        <v>1827</v>
      </c>
      <c r="C29" s="632" t="s">
        <v>1144</v>
      </c>
      <c r="D29" s="632" t="s">
        <v>1052</v>
      </c>
      <c r="E29" s="632" t="s">
        <v>1145</v>
      </c>
      <c r="F29" s="635"/>
      <c r="G29" s="635"/>
      <c r="H29" s="648">
        <v>0</v>
      </c>
      <c r="I29" s="635">
        <v>40</v>
      </c>
      <c r="J29" s="635">
        <v>5417.2407953456723</v>
      </c>
      <c r="K29" s="648">
        <v>1</v>
      </c>
      <c r="L29" s="635">
        <v>40</v>
      </c>
      <c r="M29" s="636">
        <v>5417.2407953456723</v>
      </c>
    </row>
    <row r="30" spans="1:13" ht="14.4" customHeight="1" x14ac:dyDescent="0.3">
      <c r="A30" s="631" t="s">
        <v>548</v>
      </c>
      <c r="B30" s="632" t="s">
        <v>1827</v>
      </c>
      <c r="C30" s="632" t="s">
        <v>1051</v>
      </c>
      <c r="D30" s="632" t="s">
        <v>1052</v>
      </c>
      <c r="E30" s="632" t="s">
        <v>1828</v>
      </c>
      <c r="F30" s="635"/>
      <c r="G30" s="635"/>
      <c r="H30" s="648">
        <v>0</v>
      </c>
      <c r="I30" s="635">
        <v>7</v>
      </c>
      <c r="J30" s="635">
        <v>331.03985397661751</v>
      </c>
      <c r="K30" s="648">
        <v>1</v>
      </c>
      <c r="L30" s="635">
        <v>7</v>
      </c>
      <c r="M30" s="636">
        <v>331.03985397661751</v>
      </c>
    </row>
    <row r="31" spans="1:13" ht="14.4" customHeight="1" x14ac:dyDescent="0.3">
      <c r="A31" s="631" t="s">
        <v>548</v>
      </c>
      <c r="B31" s="632" t="s">
        <v>1827</v>
      </c>
      <c r="C31" s="632" t="s">
        <v>1055</v>
      </c>
      <c r="D31" s="632" t="s">
        <v>1052</v>
      </c>
      <c r="E31" s="632" t="s">
        <v>1829</v>
      </c>
      <c r="F31" s="635"/>
      <c r="G31" s="635"/>
      <c r="H31" s="648">
        <v>0</v>
      </c>
      <c r="I31" s="635">
        <v>4</v>
      </c>
      <c r="J31" s="635">
        <v>378.3005443002138</v>
      </c>
      <c r="K31" s="648">
        <v>1</v>
      </c>
      <c r="L31" s="635">
        <v>4</v>
      </c>
      <c r="M31" s="636">
        <v>378.3005443002138</v>
      </c>
    </row>
    <row r="32" spans="1:13" ht="14.4" customHeight="1" x14ac:dyDescent="0.3">
      <c r="A32" s="631" t="s">
        <v>548</v>
      </c>
      <c r="B32" s="632" t="s">
        <v>1830</v>
      </c>
      <c r="C32" s="632" t="s">
        <v>851</v>
      </c>
      <c r="D32" s="632" t="s">
        <v>852</v>
      </c>
      <c r="E32" s="632" t="s">
        <v>853</v>
      </c>
      <c r="F32" s="635"/>
      <c r="G32" s="635"/>
      <c r="H32" s="648">
        <v>0</v>
      </c>
      <c r="I32" s="635">
        <v>1</v>
      </c>
      <c r="J32" s="635">
        <v>115.08999999999999</v>
      </c>
      <c r="K32" s="648">
        <v>1</v>
      </c>
      <c r="L32" s="635">
        <v>1</v>
      </c>
      <c r="M32" s="636">
        <v>115.08999999999999</v>
      </c>
    </row>
    <row r="33" spans="1:13" ht="14.4" customHeight="1" x14ac:dyDescent="0.3">
      <c r="A33" s="631" t="s">
        <v>548</v>
      </c>
      <c r="B33" s="632" t="s">
        <v>1831</v>
      </c>
      <c r="C33" s="632" t="s">
        <v>1099</v>
      </c>
      <c r="D33" s="632" t="s">
        <v>1100</v>
      </c>
      <c r="E33" s="632" t="s">
        <v>1101</v>
      </c>
      <c r="F33" s="635"/>
      <c r="G33" s="635"/>
      <c r="H33" s="648">
        <v>0</v>
      </c>
      <c r="I33" s="635">
        <v>2</v>
      </c>
      <c r="J33" s="635">
        <v>159.66</v>
      </c>
      <c r="K33" s="648">
        <v>1</v>
      </c>
      <c r="L33" s="635">
        <v>2</v>
      </c>
      <c r="M33" s="636">
        <v>159.66</v>
      </c>
    </row>
    <row r="34" spans="1:13" ht="14.4" customHeight="1" x14ac:dyDescent="0.3">
      <c r="A34" s="631" t="s">
        <v>548</v>
      </c>
      <c r="B34" s="632" t="s">
        <v>1831</v>
      </c>
      <c r="C34" s="632" t="s">
        <v>1103</v>
      </c>
      <c r="D34" s="632" t="s">
        <v>1100</v>
      </c>
      <c r="E34" s="632" t="s">
        <v>1104</v>
      </c>
      <c r="F34" s="635"/>
      <c r="G34" s="635"/>
      <c r="H34" s="648">
        <v>0</v>
      </c>
      <c r="I34" s="635">
        <v>1</v>
      </c>
      <c r="J34" s="635">
        <v>279.42</v>
      </c>
      <c r="K34" s="648">
        <v>1</v>
      </c>
      <c r="L34" s="635">
        <v>1</v>
      </c>
      <c r="M34" s="636">
        <v>279.42</v>
      </c>
    </row>
    <row r="35" spans="1:13" ht="14.4" customHeight="1" x14ac:dyDescent="0.3">
      <c r="A35" s="631" t="s">
        <v>548</v>
      </c>
      <c r="B35" s="632" t="s">
        <v>1832</v>
      </c>
      <c r="C35" s="632" t="s">
        <v>1088</v>
      </c>
      <c r="D35" s="632" t="s">
        <v>1089</v>
      </c>
      <c r="E35" s="632" t="s">
        <v>1090</v>
      </c>
      <c r="F35" s="635"/>
      <c r="G35" s="635"/>
      <c r="H35" s="648">
        <v>0</v>
      </c>
      <c r="I35" s="635">
        <v>11</v>
      </c>
      <c r="J35" s="635">
        <v>501.86</v>
      </c>
      <c r="K35" s="648">
        <v>1</v>
      </c>
      <c r="L35" s="635">
        <v>11</v>
      </c>
      <c r="M35" s="636">
        <v>501.86</v>
      </c>
    </row>
    <row r="36" spans="1:13" ht="14.4" customHeight="1" x14ac:dyDescent="0.3">
      <c r="A36" s="631" t="s">
        <v>548</v>
      </c>
      <c r="B36" s="632" t="s">
        <v>1833</v>
      </c>
      <c r="C36" s="632" t="s">
        <v>1151</v>
      </c>
      <c r="D36" s="632" t="s">
        <v>1152</v>
      </c>
      <c r="E36" s="632" t="s">
        <v>1153</v>
      </c>
      <c r="F36" s="635"/>
      <c r="G36" s="635"/>
      <c r="H36" s="648">
        <v>0</v>
      </c>
      <c r="I36" s="635">
        <v>3</v>
      </c>
      <c r="J36" s="635">
        <v>108.96043967617238</v>
      </c>
      <c r="K36" s="648">
        <v>1</v>
      </c>
      <c r="L36" s="635">
        <v>3</v>
      </c>
      <c r="M36" s="636">
        <v>108.96043967617238</v>
      </c>
    </row>
    <row r="37" spans="1:13" ht="14.4" customHeight="1" x14ac:dyDescent="0.3">
      <c r="A37" s="631" t="s">
        <v>548</v>
      </c>
      <c r="B37" s="632" t="s">
        <v>1834</v>
      </c>
      <c r="C37" s="632" t="s">
        <v>1191</v>
      </c>
      <c r="D37" s="632" t="s">
        <v>1192</v>
      </c>
      <c r="E37" s="632" t="s">
        <v>1193</v>
      </c>
      <c r="F37" s="635"/>
      <c r="G37" s="635"/>
      <c r="H37" s="648">
        <v>0</v>
      </c>
      <c r="I37" s="635">
        <v>2</v>
      </c>
      <c r="J37" s="635">
        <v>83.200258940203497</v>
      </c>
      <c r="K37" s="648">
        <v>1</v>
      </c>
      <c r="L37" s="635">
        <v>2</v>
      </c>
      <c r="M37" s="636">
        <v>83.200258940203497</v>
      </c>
    </row>
    <row r="38" spans="1:13" ht="14.4" customHeight="1" x14ac:dyDescent="0.3">
      <c r="A38" s="631" t="s">
        <v>548</v>
      </c>
      <c r="B38" s="632" t="s">
        <v>1835</v>
      </c>
      <c r="C38" s="632" t="s">
        <v>956</v>
      </c>
      <c r="D38" s="632" t="s">
        <v>957</v>
      </c>
      <c r="E38" s="632" t="s">
        <v>1836</v>
      </c>
      <c r="F38" s="635"/>
      <c r="G38" s="635"/>
      <c r="H38" s="648">
        <v>0</v>
      </c>
      <c r="I38" s="635">
        <v>2</v>
      </c>
      <c r="J38" s="635">
        <v>164.52</v>
      </c>
      <c r="K38" s="648">
        <v>1</v>
      </c>
      <c r="L38" s="635">
        <v>2</v>
      </c>
      <c r="M38" s="636">
        <v>164.52</v>
      </c>
    </row>
    <row r="39" spans="1:13" ht="14.4" customHeight="1" x14ac:dyDescent="0.3">
      <c r="A39" s="631" t="s">
        <v>548</v>
      </c>
      <c r="B39" s="632" t="s">
        <v>1837</v>
      </c>
      <c r="C39" s="632" t="s">
        <v>1058</v>
      </c>
      <c r="D39" s="632" t="s">
        <v>1838</v>
      </c>
      <c r="E39" s="632" t="s">
        <v>1060</v>
      </c>
      <c r="F39" s="635"/>
      <c r="G39" s="635"/>
      <c r="H39" s="648">
        <v>0</v>
      </c>
      <c r="I39" s="635">
        <v>2</v>
      </c>
      <c r="J39" s="635">
        <v>202.13919201948357</v>
      </c>
      <c r="K39" s="648">
        <v>1</v>
      </c>
      <c r="L39" s="635">
        <v>2</v>
      </c>
      <c r="M39" s="636">
        <v>202.13919201948357</v>
      </c>
    </row>
    <row r="40" spans="1:13" ht="14.4" customHeight="1" x14ac:dyDescent="0.3">
      <c r="A40" s="631" t="s">
        <v>548</v>
      </c>
      <c r="B40" s="632" t="s">
        <v>1837</v>
      </c>
      <c r="C40" s="632" t="s">
        <v>1043</v>
      </c>
      <c r="D40" s="632" t="s">
        <v>1044</v>
      </c>
      <c r="E40" s="632" t="s">
        <v>1045</v>
      </c>
      <c r="F40" s="635"/>
      <c r="G40" s="635"/>
      <c r="H40" s="648">
        <v>0</v>
      </c>
      <c r="I40" s="635">
        <v>4</v>
      </c>
      <c r="J40" s="635">
        <v>97.56</v>
      </c>
      <c r="K40" s="648">
        <v>1</v>
      </c>
      <c r="L40" s="635">
        <v>4</v>
      </c>
      <c r="M40" s="636">
        <v>97.56</v>
      </c>
    </row>
    <row r="41" spans="1:13" ht="14.4" customHeight="1" x14ac:dyDescent="0.3">
      <c r="A41" s="631" t="s">
        <v>548</v>
      </c>
      <c r="B41" s="632" t="s">
        <v>1837</v>
      </c>
      <c r="C41" s="632" t="s">
        <v>1110</v>
      </c>
      <c r="D41" s="632" t="s">
        <v>1839</v>
      </c>
      <c r="E41" s="632" t="s">
        <v>1153</v>
      </c>
      <c r="F41" s="635"/>
      <c r="G41" s="635"/>
      <c r="H41" s="648">
        <v>0</v>
      </c>
      <c r="I41" s="635">
        <v>5</v>
      </c>
      <c r="J41" s="635">
        <v>253.15063029531268</v>
      </c>
      <c r="K41" s="648">
        <v>1</v>
      </c>
      <c r="L41" s="635">
        <v>5</v>
      </c>
      <c r="M41" s="636">
        <v>253.15063029531268</v>
      </c>
    </row>
    <row r="42" spans="1:13" ht="14.4" customHeight="1" x14ac:dyDescent="0.3">
      <c r="A42" s="631" t="s">
        <v>548</v>
      </c>
      <c r="B42" s="632" t="s">
        <v>1840</v>
      </c>
      <c r="C42" s="632" t="s">
        <v>1216</v>
      </c>
      <c r="D42" s="632" t="s">
        <v>1217</v>
      </c>
      <c r="E42" s="632" t="s">
        <v>1218</v>
      </c>
      <c r="F42" s="635"/>
      <c r="G42" s="635"/>
      <c r="H42" s="648">
        <v>0</v>
      </c>
      <c r="I42" s="635">
        <v>2</v>
      </c>
      <c r="J42" s="635">
        <v>203.67999999999992</v>
      </c>
      <c r="K42" s="648">
        <v>1</v>
      </c>
      <c r="L42" s="635">
        <v>2</v>
      </c>
      <c r="M42" s="636">
        <v>203.67999999999992</v>
      </c>
    </row>
    <row r="43" spans="1:13" ht="14.4" customHeight="1" x14ac:dyDescent="0.3">
      <c r="A43" s="631" t="s">
        <v>548</v>
      </c>
      <c r="B43" s="632" t="s">
        <v>1840</v>
      </c>
      <c r="C43" s="632" t="s">
        <v>559</v>
      </c>
      <c r="D43" s="632" t="s">
        <v>560</v>
      </c>
      <c r="E43" s="632" t="s">
        <v>1218</v>
      </c>
      <c r="F43" s="635">
        <v>1</v>
      </c>
      <c r="G43" s="635">
        <v>99.96</v>
      </c>
      <c r="H43" s="648">
        <v>1</v>
      </c>
      <c r="I43" s="635"/>
      <c r="J43" s="635"/>
      <c r="K43" s="648">
        <v>0</v>
      </c>
      <c r="L43" s="635">
        <v>1</v>
      </c>
      <c r="M43" s="636">
        <v>99.96</v>
      </c>
    </row>
    <row r="44" spans="1:13" ht="14.4" customHeight="1" x14ac:dyDescent="0.3">
      <c r="A44" s="631" t="s">
        <v>548</v>
      </c>
      <c r="B44" s="632" t="s">
        <v>1841</v>
      </c>
      <c r="C44" s="632" t="s">
        <v>1132</v>
      </c>
      <c r="D44" s="632" t="s">
        <v>1137</v>
      </c>
      <c r="E44" s="632" t="s">
        <v>1842</v>
      </c>
      <c r="F44" s="635"/>
      <c r="G44" s="635"/>
      <c r="H44" s="648">
        <v>0</v>
      </c>
      <c r="I44" s="635">
        <v>6</v>
      </c>
      <c r="J44" s="635">
        <v>588.41999999999996</v>
      </c>
      <c r="K44" s="648">
        <v>1</v>
      </c>
      <c r="L44" s="635">
        <v>6</v>
      </c>
      <c r="M44" s="636">
        <v>588.41999999999996</v>
      </c>
    </row>
    <row r="45" spans="1:13" ht="14.4" customHeight="1" x14ac:dyDescent="0.3">
      <c r="A45" s="631" t="s">
        <v>548</v>
      </c>
      <c r="B45" s="632" t="s">
        <v>1841</v>
      </c>
      <c r="C45" s="632" t="s">
        <v>1136</v>
      </c>
      <c r="D45" s="632" t="s">
        <v>1137</v>
      </c>
      <c r="E45" s="632" t="s">
        <v>1843</v>
      </c>
      <c r="F45" s="635"/>
      <c r="G45" s="635"/>
      <c r="H45" s="648">
        <v>0</v>
      </c>
      <c r="I45" s="635">
        <v>3</v>
      </c>
      <c r="J45" s="635">
        <v>993.04</v>
      </c>
      <c r="K45" s="648">
        <v>1</v>
      </c>
      <c r="L45" s="635">
        <v>3</v>
      </c>
      <c r="M45" s="636">
        <v>993.04</v>
      </c>
    </row>
    <row r="46" spans="1:13" ht="14.4" customHeight="1" x14ac:dyDescent="0.3">
      <c r="A46" s="631" t="s">
        <v>548</v>
      </c>
      <c r="B46" s="632" t="s">
        <v>1841</v>
      </c>
      <c r="C46" s="632" t="s">
        <v>1179</v>
      </c>
      <c r="D46" s="632" t="s">
        <v>1184</v>
      </c>
      <c r="E46" s="632" t="s">
        <v>1844</v>
      </c>
      <c r="F46" s="635"/>
      <c r="G46" s="635"/>
      <c r="H46" s="648">
        <v>0</v>
      </c>
      <c r="I46" s="635">
        <v>4</v>
      </c>
      <c r="J46" s="635">
        <v>606.25229247655807</v>
      </c>
      <c r="K46" s="648">
        <v>1</v>
      </c>
      <c r="L46" s="635">
        <v>4</v>
      </c>
      <c r="M46" s="636">
        <v>606.25229247655807</v>
      </c>
    </row>
    <row r="47" spans="1:13" ht="14.4" customHeight="1" x14ac:dyDescent="0.3">
      <c r="A47" s="631" t="s">
        <v>548</v>
      </c>
      <c r="B47" s="632" t="s">
        <v>1841</v>
      </c>
      <c r="C47" s="632" t="s">
        <v>1183</v>
      </c>
      <c r="D47" s="632" t="s">
        <v>1184</v>
      </c>
      <c r="E47" s="632" t="s">
        <v>1845</v>
      </c>
      <c r="F47" s="635"/>
      <c r="G47" s="635"/>
      <c r="H47" s="648">
        <v>0</v>
      </c>
      <c r="I47" s="635">
        <v>2</v>
      </c>
      <c r="J47" s="635">
        <v>1037.989747904488</v>
      </c>
      <c r="K47" s="648">
        <v>1</v>
      </c>
      <c r="L47" s="635">
        <v>2</v>
      </c>
      <c r="M47" s="636">
        <v>1037.989747904488</v>
      </c>
    </row>
    <row r="48" spans="1:13" ht="14.4" customHeight="1" x14ac:dyDescent="0.3">
      <c r="A48" s="631" t="s">
        <v>548</v>
      </c>
      <c r="B48" s="632" t="s">
        <v>1846</v>
      </c>
      <c r="C48" s="632" t="s">
        <v>1187</v>
      </c>
      <c r="D48" s="632" t="s">
        <v>1188</v>
      </c>
      <c r="E48" s="632" t="s">
        <v>1189</v>
      </c>
      <c r="F48" s="635"/>
      <c r="G48" s="635"/>
      <c r="H48" s="648">
        <v>0</v>
      </c>
      <c r="I48" s="635">
        <v>2</v>
      </c>
      <c r="J48" s="635">
        <v>1502.0198345409767</v>
      </c>
      <c r="K48" s="648">
        <v>1</v>
      </c>
      <c r="L48" s="635">
        <v>2</v>
      </c>
      <c r="M48" s="636">
        <v>1502.0198345409767</v>
      </c>
    </row>
    <row r="49" spans="1:13" ht="14.4" customHeight="1" x14ac:dyDescent="0.3">
      <c r="A49" s="631" t="s">
        <v>548</v>
      </c>
      <c r="B49" s="632" t="s">
        <v>1847</v>
      </c>
      <c r="C49" s="632" t="s">
        <v>1171</v>
      </c>
      <c r="D49" s="632" t="s">
        <v>1172</v>
      </c>
      <c r="E49" s="632" t="s">
        <v>1173</v>
      </c>
      <c r="F49" s="635"/>
      <c r="G49" s="635"/>
      <c r="H49" s="648">
        <v>0</v>
      </c>
      <c r="I49" s="635">
        <v>1</v>
      </c>
      <c r="J49" s="635">
        <v>376.42874875683401</v>
      </c>
      <c r="K49" s="648">
        <v>1</v>
      </c>
      <c r="L49" s="635">
        <v>1</v>
      </c>
      <c r="M49" s="636">
        <v>376.42874875683401</v>
      </c>
    </row>
    <row r="50" spans="1:13" ht="14.4" customHeight="1" x14ac:dyDescent="0.3">
      <c r="A50" s="631" t="s">
        <v>548</v>
      </c>
      <c r="B50" s="632" t="s">
        <v>1848</v>
      </c>
      <c r="C50" s="632" t="s">
        <v>1047</v>
      </c>
      <c r="D50" s="632" t="s">
        <v>1849</v>
      </c>
      <c r="E50" s="632" t="s">
        <v>1850</v>
      </c>
      <c r="F50" s="635"/>
      <c r="G50" s="635"/>
      <c r="H50" s="648">
        <v>0</v>
      </c>
      <c r="I50" s="635">
        <v>12</v>
      </c>
      <c r="J50" s="635">
        <v>435.95980981613206</v>
      </c>
      <c r="K50" s="648">
        <v>1</v>
      </c>
      <c r="L50" s="635">
        <v>12</v>
      </c>
      <c r="M50" s="636">
        <v>435.95980981613206</v>
      </c>
    </row>
    <row r="51" spans="1:13" ht="14.4" customHeight="1" x14ac:dyDescent="0.3">
      <c r="A51" s="631" t="s">
        <v>548</v>
      </c>
      <c r="B51" s="632" t="s">
        <v>1851</v>
      </c>
      <c r="C51" s="632" t="s">
        <v>1264</v>
      </c>
      <c r="D51" s="632" t="s">
        <v>1245</v>
      </c>
      <c r="E51" s="632" t="s">
        <v>1265</v>
      </c>
      <c r="F51" s="635"/>
      <c r="G51" s="635"/>
      <c r="H51" s="648">
        <v>0</v>
      </c>
      <c r="I51" s="635">
        <v>181</v>
      </c>
      <c r="J51" s="635">
        <v>8298.1631589313856</v>
      </c>
      <c r="K51" s="648">
        <v>1</v>
      </c>
      <c r="L51" s="635">
        <v>181</v>
      </c>
      <c r="M51" s="636">
        <v>8298.1631589313856</v>
      </c>
    </row>
    <row r="52" spans="1:13" ht="14.4" customHeight="1" x14ac:dyDescent="0.3">
      <c r="A52" s="631" t="s">
        <v>548</v>
      </c>
      <c r="B52" s="632" t="s">
        <v>1852</v>
      </c>
      <c r="C52" s="632" t="s">
        <v>1256</v>
      </c>
      <c r="D52" s="632" t="s">
        <v>1853</v>
      </c>
      <c r="E52" s="632" t="s">
        <v>1854</v>
      </c>
      <c r="F52" s="635"/>
      <c r="G52" s="635"/>
      <c r="H52" s="648">
        <v>0</v>
      </c>
      <c r="I52" s="635">
        <v>9</v>
      </c>
      <c r="J52" s="635">
        <v>1525.7799999999997</v>
      </c>
      <c r="K52" s="648">
        <v>1</v>
      </c>
      <c r="L52" s="635">
        <v>9</v>
      </c>
      <c r="M52" s="636">
        <v>1525.7799999999997</v>
      </c>
    </row>
    <row r="53" spans="1:13" ht="14.4" customHeight="1" x14ac:dyDescent="0.3">
      <c r="A53" s="631" t="s">
        <v>548</v>
      </c>
      <c r="B53" s="632" t="s">
        <v>1852</v>
      </c>
      <c r="C53" s="632" t="s">
        <v>1282</v>
      </c>
      <c r="D53" s="632" t="s">
        <v>1855</v>
      </c>
      <c r="E53" s="632" t="s">
        <v>1856</v>
      </c>
      <c r="F53" s="635"/>
      <c r="G53" s="635"/>
      <c r="H53" s="648">
        <v>0</v>
      </c>
      <c r="I53" s="635">
        <v>20</v>
      </c>
      <c r="J53" s="635">
        <v>2382.3595565867013</v>
      </c>
      <c r="K53" s="648">
        <v>1</v>
      </c>
      <c r="L53" s="635">
        <v>20</v>
      </c>
      <c r="M53" s="636">
        <v>2382.3595565867013</v>
      </c>
    </row>
    <row r="54" spans="1:13" ht="14.4" customHeight="1" x14ac:dyDescent="0.3">
      <c r="A54" s="631" t="s">
        <v>548</v>
      </c>
      <c r="B54" s="632" t="s">
        <v>1857</v>
      </c>
      <c r="C54" s="632" t="s">
        <v>1278</v>
      </c>
      <c r="D54" s="632" t="s">
        <v>1279</v>
      </c>
      <c r="E54" s="632" t="s">
        <v>1858</v>
      </c>
      <c r="F54" s="635"/>
      <c r="G54" s="635"/>
      <c r="H54" s="648">
        <v>0</v>
      </c>
      <c r="I54" s="635">
        <v>16.799999999999997</v>
      </c>
      <c r="J54" s="635">
        <v>3598.0826441329737</v>
      </c>
      <c r="K54" s="648">
        <v>1</v>
      </c>
      <c r="L54" s="635">
        <v>16.799999999999997</v>
      </c>
      <c r="M54" s="636">
        <v>3598.0826441329737</v>
      </c>
    </row>
    <row r="55" spans="1:13" ht="14.4" customHeight="1" x14ac:dyDescent="0.3">
      <c r="A55" s="631" t="s">
        <v>548</v>
      </c>
      <c r="B55" s="632" t="s">
        <v>1859</v>
      </c>
      <c r="C55" s="632" t="s">
        <v>1267</v>
      </c>
      <c r="D55" s="632" t="s">
        <v>1268</v>
      </c>
      <c r="E55" s="632" t="s">
        <v>1860</v>
      </c>
      <c r="F55" s="635"/>
      <c r="G55" s="635"/>
      <c r="H55" s="648">
        <v>0</v>
      </c>
      <c r="I55" s="635">
        <v>1</v>
      </c>
      <c r="J55" s="635">
        <v>138.08931894664963</v>
      </c>
      <c r="K55" s="648">
        <v>1</v>
      </c>
      <c r="L55" s="635">
        <v>1</v>
      </c>
      <c r="M55" s="636">
        <v>138.08931894664963</v>
      </c>
    </row>
    <row r="56" spans="1:13" ht="14.4" customHeight="1" x14ac:dyDescent="0.3">
      <c r="A56" s="631" t="s">
        <v>548</v>
      </c>
      <c r="B56" s="632" t="s">
        <v>1861</v>
      </c>
      <c r="C56" s="632" t="s">
        <v>1285</v>
      </c>
      <c r="D56" s="632" t="s">
        <v>1286</v>
      </c>
      <c r="E56" s="632" t="s">
        <v>1287</v>
      </c>
      <c r="F56" s="635"/>
      <c r="G56" s="635"/>
      <c r="H56" s="648">
        <v>0</v>
      </c>
      <c r="I56" s="635">
        <v>2</v>
      </c>
      <c r="J56" s="635">
        <v>2990</v>
      </c>
      <c r="K56" s="648">
        <v>1</v>
      </c>
      <c r="L56" s="635">
        <v>2</v>
      </c>
      <c r="M56" s="636">
        <v>2990</v>
      </c>
    </row>
    <row r="57" spans="1:13" ht="14.4" customHeight="1" x14ac:dyDescent="0.3">
      <c r="A57" s="631" t="s">
        <v>548</v>
      </c>
      <c r="B57" s="632" t="s">
        <v>1862</v>
      </c>
      <c r="C57" s="632" t="s">
        <v>1260</v>
      </c>
      <c r="D57" s="632" t="s">
        <v>1863</v>
      </c>
      <c r="E57" s="632" t="s">
        <v>1864</v>
      </c>
      <c r="F57" s="635"/>
      <c r="G57" s="635"/>
      <c r="H57" s="648">
        <v>0</v>
      </c>
      <c r="I57" s="635">
        <v>45</v>
      </c>
      <c r="J57" s="635">
        <v>3987.0015970048967</v>
      </c>
      <c r="K57" s="648">
        <v>1</v>
      </c>
      <c r="L57" s="635">
        <v>45</v>
      </c>
      <c r="M57" s="636">
        <v>3987.0015970048967</v>
      </c>
    </row>
    <row r="58" spans="1:13" ht="14.4" customHeight="1" x14ac:dyDescent="0.3">
      <c r="A58" s="631" t="s">
        <v>548</v>
      </c>
      <c r="B58" s="632" t="s">
        <v>1865</v>
      </c>
      <c r="C58" s="632" t="s">
        <v>1271</v>
      </c>
      <c r="D58" s="632" t="s">
        <v>1272</v>
      </c>
      <c r="E58" s="632" t="s">
        <v>1860</v>
      </c>
      <c r="F58" s="635"/>
      <c r="G58" s="635"/>
      <c r="H58" s="648">
        <v>0</v>
      </c>
      <c r="I58" s="635">
        <v>3</v>
      </c>
      <c r="J58" s="635">
        <v>172.10967426036947</v>
      </c>
      <c r="K58" s="648">
        <v>1</v>
      </c>
      <c r="L58" s="635">
        <v>3</v>
      </c>
      <c r="M58" s="636">
        <v>172.10967426036947</v>
      </c>
    </row>
    <row r="59" spans="1:13" ht="14.4" customHeight="1" x14ac:dyDescent="0.3">
      <c r="A59" s="631" t="s">
        <v>548</v>
      </c>
      <c r="B59" s="632" t="s">
        <v>1865</v>
      </c>
      <c r="C59" s="632" t="s">
        <v>1274</v>
      </c>
      <c r="D59" s="632" t="s">
        <v>1866</v>
      </c>
      <c r="E59" s="632" t="s">
        <v>1867</v>
      </c>
      <c r="F59" s="635"/>
      <c r="G59" s="635"/>
      <c r="H59" s="648">
        <v>0</v>
      </c>
      <c r="I59" s="635">
        <v>24</v>
      </c>
      <c r="J59" s="635">
        <v>1792.8015910623672</v>
      </c>
      <c r="K59" s="648">
        <v>1</v>
      </c>
      <c r="L59" s="635">
        <v>24</v>
      </c>
      <c r="M59" s="636">
        <v>1792.8015910623672</v>
      </c>
    </row>
    <row r="60" spans="1:13" ht="14.4" customHeight="1" x14ac:dyDescent="0.3">
      <c r="A60" s="631" t="s">
        <v>548</v>
      </c>
      <c r="B60" s="632" t="s">
        <v>1868</v>
      </c>
      <c r="C60" s="632" t="s">
        <v>1293</v>
      </c>
      <c r="D60" s="632" t="s">
        <v>1869</v>
      </c>
      <c r="E60" s="632" t="s">
        <v>1870</v>
      </c>
      <c r="F60" s="635"/>
      <c r="G60" s="635"/>
      <c r="H60" s="648">
        <v>0</v>
      </c>
      <c r="I60" s="635">
        <v>10</v>
      </c>
      <c r="J60" s="635">
        <v>315.89999999999998</v>
      </c>
      <c r="K60" s="648">
        <v>1</v>
      </c>
      <c r="L60" s="635">
        <v>10</v>
      </c>
      <c r="M60" s="636">
        <v>315.89999999999998</v>
      </c>
    </row>
    <row r="61" spans="1:13" ht="14.4" customHeight="1" x14ac:dyDescent="0.3">
      <c r="A61" s="631" t="s">
        <v>548</v>
      </c>
      <c r="B61" s="632" t="s">
        <v>1871</v>
      </c>
      <c r="C61" s="632" t="s">
        <v>1195</v>
      </c>
      <c r="D61" s="632" t="s">
        <v>1196</v>
      </c>
      <c r="E61" s="632" t="s">
        <v>1197</v>
      </c>
      <c r="F61" s="635"/>
      <c r="G61" s="635"/>
      <c r="H61" s="648">
        <v>0</v>
      </c>
      <c r="I61" s="635">
        <v>8</v>
      </c>
      <c r="J61" s="635">
        <v>2130.8000000000002</v>
      </c>
      <c r="K61" s="648">
        <v>1</v>
      </c>
      <c r="L61" s="635">
        <v>8</v>
      </c>
      <c r="M61" s="636">
        <v>2130.8000000000002</v>
      </c>
    </row>
    <row r="62" spans="1:13" ht="14.4" customHeight="1" x14ac:dyDescent="0.3">
      <c r="A62" s="631" t="s">
        <v>548</v>
      </c>
      <c r="B62" s="632" t="s">
        <v>1872</v>
      </c>
      <c r="C62" s="632" t="s">
        <v>1128</v>
      </c>
      <c r="D62" s="632" t="s">
        <v>1873</v>
      </c>
      <c r="E62" s="632" t="s">
        <v>1874</v>
      </c>
      <c r="F62" s="635"/>
      <c r="G62" s="635"/>
      <c r="H62" s="648">
        <v>0</v>
      </c>
      <c r="I62" s="635">
        <v>6</v>
      </c>
      <c r="J62" s="635">
        <v>283.80122031471399</v>
      </c>
      <c r="K62" s="648">
        <v>1</v>
      </c>
      <c r="L62" s="635">
        <v>6</v>
      </c>
      <c r="M62" s="636">
        <v>283.80122031471399</v>
      </c>
    </row>
    <row r="63" spans="1:13" ht="14.4" customHeight="1" x14ac:dyDescent="0.3">
      <c r="A63" s="631" t="s">
        <v>548</v>
      </c>
      <c r="B63" s="632" t="s">
        <v>1875</v>
      </c>
      <c r="C63" s="632" t="s">
        <v>1212</v>
      </c>
      <c r="D63" s="632" t="s">
        <v>1213</v>
      </c>
      <c r="E63" s="632" t="s">
        <v>1876</v>
      </c>
      <c r="F63" s="635"/>
      <c r="G63" s="635"/>
      <c r="H63" s="648">
        <v>0</v>
      </c>
      <c r="I63" s="635">
        <v>1</v>
      </c>
      <c r="J63" s="635">
        <v>82.72</v>
      </c>
      <c r="K63" s="648">
        <v>1</v>
      </c>
      <c r="L63" s="635">
        <v>1</v>
      </c>
      <c r="M63" s="636">
        <v>82.72</v>
      </c>
    </row>
    <row r="64" spans="1:13" ht="14.4" customHeight="1" x14ac:dyDescent="0.3">
      <c r="A64" s="631" t="s">
        <v>548</v>
      </c>
      <c r="B64" s="632" t="s">
        <v>1875</v>
      </c>
      <c r="C64" s="632" t="s">
        <v>1069</v>
      </c>
      <c r="D64" s="632" t="s">
        <v>1070</v>
      </c>
      <c r="E64" s="632" t="s">
        <v>1071</v>
      </c>
      <c r="F64" s="635"/>
      <c r="G64" s="635"/>
      <c r="H64" s="648">
        <v>0</v>
      </c>
      <c r="I64" s="635">
        <v>9</v>
      </c>
      <c r="J64" s="635">
        <v>1300.77</v>
      </c>
      <c r="K64" s="648">
        <v>1</v>
      </c>
      <c r="L64" s="635">
        <v>9</v>
      </c>
      <c r="M64" s="636">
        <v>1300.77</v>
      </c>
    </row>
    <row r="65" spans="1:13" ht="14.4" customHeight="1" x14ac:dyDescent="0.3">
      <c r="A65" s="631" t="s">
        <v>548</v>
      </c>
      <c r="B65" s="632" t="s">
        <v>1877</v>
      </c>
      <c r="C65" s="632" t="s">
        <v>1155</v>
      </c>
      <c r="D65" s="632" t="s">
        <v>1156</v>
      </c>
      <c r="E65" s="632" t="s">
        <v>1878</v>
      </c>
      <c r="F65" s="635"/>
      <c r="G65" s="635"/>
      <c r="H65" s="648">
        <v>0</v>
      </c>
      <c r="I65" s="635">
        <v>5</v>
      </c>
      <c r="J65" s="635">
        <v>608.15936830835096</v>
      </c>
      <c r="K65" s="648">
        <v>1</v>
      </c>
      <c r="L65" s="635">
        <v>5</v>
      </c>
      <c r="M65" s="636">
        <v>608.15936830835096</v>
      </c>
    </row>
    <row r="66" spans="1:13" ht="14.4" customHeight="1" x14ac:dyDescent="0.3">
      <c r="A66" s="631" t="s">
        <v>548</v>
      </c>
      <c r="B66" s="632" t="s">
        <v>1879</v>
      </c>
      <c r="C66" s="632" t="s">
        <v>1208</v>
      </c>
      <c r="D66" s="632" t="s">
        <v>1880</v>
      </c>
      <c r="E66" s="632" t="s">
        <v>1881</v>
      </c>
      <c r="F66" s="635"/>
      <c r="G66" s="635"/>
      <c r="H66" s="648">
        <v>0</v>
      </c>
      <c r="I66" s="635">
        <v>1</v>
      </c>
      <c r="J66" s="635">
        <v>151.24999999999994</v>
      </c>
      <c r="K66" s="648">
        <v>1</v>
      </c>
      <c r="L66" s="635">
        <v>1</v>
      </c>
      <c r="M66" s="636">
        <v>151.24999999999994</v>
      </c>
    </row>
    <row r="67" spans="1:13" ht="14.4" customHeight="1" x14ac:dyDescent="0.3">
      <c r="A67" s="631" t="s">
        <v>548</v>
      </c>
      <c r="B67" s="632" t="s">
        <v>1882</v>
      </c>
      <c r="C67" s="632" t="s">
        <v>1163</v>
      </c>
      <c r="D67" s="632" t="s">
        <v>1164</v>
      </c>
      <c r="E67" s="632" t="s">
        <v>1883</v>
      </c>
      <c r="F67" s="635"/>
      <c r="G67" s="635"/>
      <c r="H67" s="648">
        <v>0</v>
      </c>
      <c r="I67" s="635">
        <v>4</v>
      </c>
      <c r="J67" s="635">
        <v>211.23957782278546</v>
      </c>
      <c r="K67" s="648">
        <v>1</v>
      </c>
      <c r="L67" s="635">
        <v>4</v>
      </c>
      <c r="M67" s="636">
        <v>211.23957782278546</v>
      </c>
    </row>
    <row r="68" spans="1:13" ht="14.4" customHeight="1" x14ac:dyDescent="0.3">
      <c r="A68" s="631" t="s">
        <v>548</v>
      </c>
      <c r="B68" s="632" t="s">
        <v>1882</v>
      </c>
      <c r="C68" s="632" t="s">
        <v>1114</v>
      </c>
      <c r="D68" s="632" t="s">
        <v>1115</v>
      </c>
      <c r="E68" s="632" t="s">
        <v>1116</v>
      </c>
      <c r="F68" s="635"/>
      <c r="G68" s="635"/>
      <c r="H68" s="648">
        <v>0</v>
      </c>
      <c r="I68" s="635">
        <v>4</v>
      </c>
      <c r="J68" s="635">
        <v>341.92</v>
      </c>
      <c r="K68" s="648">
        <v>1</v>
      </c>
      <c r="L68" s="635">
        <v>4</v>
      </c>
      <c r="M68" s="636">
        <v>341.92</v>
      </c>
    </row>
    <row r="69" spans="1:13" ht="14.4" customHeight="1" x14ac:dyDescent="0.3">
      <c r="A69" s="631" t="s">
        <v>548</v>
      </c>
      <c r="B69" s="632" t="s">
        <v>1884</v>
      </c>
      <c r="C69" s="632" t="s">
        <v>1233</v>
      </c>
      <c r="D69" s="632" t="s">
        <v>1234</v>
      </c>
      <c r="E69" s="632" t="s">
        <v>1235</v>
      </c>
      <c r="F69" s="635"/>
      <c r="G69" s="635"/>
      <c r="H69" s="648">
        <v>0</v>
      </c>
      <c r="I69" s="635">
        <v>4</v>
      </c>
      <c r="J69" s="635">
        <v>717.48000000000013</v>
      </c>
      <c r="K69" s="648">
        <v>1</v>
      </c>
      <c r="L69" s="635">
        <v>4</v>
      </c>
      <c r="M69" s="636">
        <v>717.48000000000013</v>
      </c>
    </row>
    <row r="70" spans="1:13" ht="14.4" customHeight="1" x14ac:dyDescent="0.3">
      <c r="A70" s="631" t="s">
        <v>548</v>
      </c>
      <c r="B70" s="632" t="s">
        <v>1884</v>
      </c>
      <c r="C70" s="632" t="s">
        <v>1229</v>
      </c>
      <c r="D70" s="632" t="s">
        <v>1230</v>
      </c>
      <c r="E70" s="632" t="s">
        <v>1231</v>
      </c>
      <c r="F70" s="635"/>
      <c r="G70" s="635"/>
      <c r="H70" s="648">
        <v>0</v>
      </c>
      <c r="I70" s="635">
        <v>15</v>
      </c>
      <c r="J70" s="635">
        <v>641.40000000000009</v>
      </c>
      <c r="K70" s="648">
        <v>1</v>
      </c>
      <c r="L70" s="635">
        <v>15</v>
      </c>
      <c r="M70" s="636">
        <v>641.40000000000009</v>
      </c>
    </row>
    <row r="71" spans="1:13" ht="14.4" customHeight="1" x14ac:dyDescent="0.3">
      <c r="A71" s="631" t="s">
        <v>552</v>
      </c>
      <c r="B71" s="632" t="s">
        <v>1875</v>
      </c>
      <c r="C71" s="632" t="s">
        <v>1069</v>
      </c>
      <c r="D71" s="632" t="s">
        <v>1070</v>
      </c>
      <c r="E71" s="632" t="s">
        <v>1071</v>
      </c>
      <c r="F71" s="635"/>
      <c r="G71" s="635"/>
      <c r="H71" s="648">
        <v>0</v>
      </c>
      <c r="I71" s="635">
        <v>2</v>
      </c>
      <c r="J71" s="635">
        <v>289.05999940531001</v>
      </c>
      <c r="K71" s="648">
        <v>1</v>
      </c>
      <c r="L71" s="635">
        <v>2</v>
      </c>
      <c r="M71" s="636">
        <v>289.05999940531001</v>
      </c>
    </row>
    <row r="72" spans="1:13" ht="14.4" customHeight="1" x14ac:dyDescent="0.3">
      <c r="A72" s="631" t="s">
        <v>554</v>
      </c>
      <c r="B72" s="632" t="s">
        <v>1806</v>
      </c>
      <c r="C72" s="632" t="s">
        <v>1175</v>
      </c>
      <c r="D72" s="632" t="s">
        <v>1176</v>
      </c>
      <c r="E72" s="632" t="s">
        <v>1177</v>
      </c>
      <c r="F72" s="635"/>
      <c r="G72" s="635"/>
      <c r="H72" s="648">
        <v>0</v>
      </c>
      <c r="I72" s="635">
        <v>145</v>
      </c>
      <c r="J72" s="635">
        <v>10293.134348555814</v>
      </c>
      <c r="K72" s="648">
        <v>1</v>
      </c>
      <c r="L72" s="635">
        <v>145</v>
      </c>
      <c r="M72" s="636">
        <v>10293.134348555814</v>
      </c>
    </row>
    <row r="73" spans="1:13" ht="14.4" customHeight="1" x14ac:dyDescent="0.3">
      <c r="A73" s="631" t="s">
        <v>554</v>
      </c>
      <c r="B73" s="632" t="s">
        <v>1885</v>
      </c>
      <c r="C73" s="632" t="s">
        <v>1567</v>
      </c>
      <c r="D73" s="632" t="s">
        <v>1568</v>
      </c>
      <c r="E73" s="632" t="s">
        <v>1569</v>
      </c>
      <c r="F73" s="635"/>
      <c r="G73" s="635"/>
      <c r="H73" s="648">
        <v>0</v>
      </c>
      <c r="I73" s="635">
        <v>5</v>
      </c>
      <c r="J73" s="635">
        <v>1905.56</v>
      </c>
      <c r="K73" s="648">
        <v>1</v>
      </c>
      <c r="L73" s="635">
        <v>5</v>
      </c>
      <c r="M73" s="636">
        <v>1905.56</v>
      </c>
    </row>
    <row r="74" spans="1:13" ht="14.4" customHeight="1" x14ac:dyDescent="0.3">
      <c r="A74" s="631" t="s">
        <v>554</v>
      </c>
      <c r="B74" s="632" t="s">
        <v>1814</v>
      </c>
      <c r="C74" s="632" t="s">
        <v>1535</v>
      </c>
      <c r="D74" s="632" t="s">
        <v>1168</v>
      </c>
      <c r="E74" s="632" t="s">
        <v>1536</v>
      </c>
      <c r="F74" s="635"/>
      <c r="G74" s="635"/>
      <c r="H74" s="648">
        <v>0</v>
      </c>
      <c r="I74" s="635">
        <v>1</v>
      </c>
      <c r="J74" s="635">
        <v>122.72</v>
      </c>
      <c r="K74" s="648">
        <v>1</v>
      </c>
      <c r="L74" s="635">
        <v>1</v>
      </c>
      <c r="M74" s="636">
        <v>122.72</v>
      </c>
    </row>
    <row r="75" spans="1:13" ht="14.4" customHeight="1" x14ac:dyDescent="0.3">
      <c r="A75" s="631" t="s">
        <v>554</v>
      </c>
      <c r="B75" s="632" t="s">
        <v>1886</v>
      </c>
      <c r="C75" s="632" t="s">
        <v>1373</v>
      </c>
      <c r="D75" s="632" t="s">
        <v>1887</v>
      </c>
      <c r="E75" s="632" t="s">
        <v>1888</v>
      </c>
      <c r="F75" s="635"/>
      <c r="G75" s="635"/>
      <c r="H75" s="648">
        <v>0</v>
      </c>
      <c r="I75" s="635">
        <v>4</v>
      </c>
      <c r="J75" s="635">
        <v>1557.16</v>
      </c>
      <c r="K75" s="648">
        <v>1</v>
      </c>
      <c r="L75" s="635">
        <v>4</v>
      </c>
      <c r="M75" s="636">
        <v>1557.16</v>
      </c>
    </row>
    <row r="76" spans="1:13" ht="14.4" customHeight="1" x14ac:dyDescent="0.3">
      <c r="A76" s="631" t="s">
        <v>554</v>
      </c>
      <c r="B76" s="632" t="s">
        <v>1822</v>
      </c>
      <c r="C76" s="632" t="s">
        <v>1199</v>
      </c>
      <c r="D76" s="632" t="s">
        <v>1082</v>
      </c>
      <c r="E76" s="632" t="s">
        <v>1200</v>
      </c>
      <c r="F76" s="635"/>
      <c r="G76" s="635"/>
      <c r="H76" s="648">
        <v>0</v>
      </c>
      <c r="I76" s="635">
        <v>36</v>
      </c>
      <c r="J76" s="635">
        <v>12833.975375180546</v>
      </c>
      <c r="K76" s="648">
        <v>1</v>
      </c>
      <c r="L76" s="635">
        <v>36</v>
      </c>
      <c r="M76" s="636">
        <v>12833.975375180546</v>
      </c>
    </row>
    <row r="77" spans="1:13" ht="14.4" customHeight="1" x14ac:dyDescent="0.3">
      <c r="A77" s="631" t="s">
        <v>554</v>
      </c>
      <c r="B77" s="632" t="s">
        <v>1822</v>
      </c>
      <c r="C77" s="632" t="s">
        <v>1202</v>
      </c>
      <c r="D77" s="632" t="s">
        <v>1082</v>
      </c>
      <c r="E77" s="632" t="s">
        <v>1203</v>
      </c>
      <c r="F77" s="635"/>
      <c r="G77" s="635"/>
      <c r="H77" s="648">
        <v>0</v>
      </c>
      <c r="I77" s="635">
        <v>7</v>
      </c>
      <c r="J77" s="635">
        <v>2897.9999999999991</v>
      </c>
      <c r="K77" s="648">
        <v>1</v>
      </c>
      <c r="L77" s="635">
        <v>7</v>
      </c>
      <c r="M77" s="636">
        <v>2897.9999999999991</v>
      </c>
    </row>
    <row r="78" spans="1:13" ht="14.4" customHeight="1" x14ac:dyDescent="0.3">
      <c r="A78" s="631" t="s">
        <v>554</v>
      </c>
      <c r="B78" s="632" t="s">
        <v>1824</v>
      </c>
      <c r="C78" s="632" t="s">
        <v>878</v>
      </c>
      <c r="D78" s="632" t="s">
        <v>879</v>
      </c>
      <c r="E78" s="632" t="s">
        <v>880</v>
      </c>
      <c r="F78" s="635"/>
      <c r="G78" s="635"/>
      <c r="H78" s="648">
        <v>0</v>
      </c>
      <c r="I78" s="635">
        <v>2</v>
      </c>
      <c r="J78" s="635">
        <v>201.95</v>
      </c>
      <c r="K78" s="648">
        <v>1</v>
      </c>
      <c r="L78" s="635">
        <v>2</v>
      </c>
      <c r="M78" s="636">
        <v>201.95</v>
      </c>
    </row>
    <row r="79" spans="1:13" ht="14.4" customHeight="1" x14ac:dyDescent="0.3">
      <c r="A79" s="631" t="s">
        <v>554</v>
      </c>
      <c r="B79" s="632" t="s">
        <v>1827</v>
      </c>
      <c r="C79" s="632" t="s">
        <v>1144</v>
      </c>
      <c r="D79" s="632" t="s">
        <v>1052</v>
      </c>
      <c r="E79" s="632" t="s">
        <v>1145</v>
      </c>
      <c r="F79" s="635"/>
      <c r="G79" s="635"/>
      <c r="H79" s="648">
        <v>0</v>
      </c>
      <c r="I79" s="635">
        <v>70</v>
      </c>
      <c r="J79" s="635">
        <v>9480.3020080485858</v>
      </c>
      <c r="K79" s="648">
        <v>1</v>
      </c>
      <c r="L79" s="635">
        <v>70</v>
      </c>
      <c r="M79" s="636">
        <v>9480.3020080485858</v>
      </c>
    </row>
    <row r="80" spans="1:13" ht="14.4" customHeight="1" x14ac:dyDescent="0.3">
      <c r="A80" s="631" t="s">
        <v>554</v>
      </c>
      <c r="B80" s="632" t="s">
        <v>1889</v>
      </c>
      <c r="C80" s="632" t="s">
        <v>1547</v>
      </c>
      <c r="D80" s="632" t="s">
        <v>1548</v>
      </c>
      <c r="E80" s="632" t="s">
        <v>1549</v>
      </c>
      <c r="F80" s="635"/>
      <c r="G80" s="635"/>
      <c r="H80" s="648">
        <v>0</v>
      </c>
      <c r="I80" s="635">
        <v>1</v>
      </c>
      <c r="J80" s="635">
        <v>26.11</v>
      </c>
      <c r="K80" s="648">
        <v>1</v>
      </c>
      <c r="L80" s="635">
        <v>1</v>
      </c>
      <c r="M80" s="636">
        <v>26.11</v>
      </c>
    </row>
    <row r="81" spans="1:13" ht="14.4" customHeight="1" x14ac:dyDescent="0.3">
      <c r="A81" s="631" t="s">
        <v>554</v>
      </c>
      <c r="B81" s="632" t="s">
        <v>1889</v>
      </c>
      <c r="C81" s="632" t="s">
        <v>1551</v>
      </c>
      <c r="D81" s="632" t="s">
        <v>1552</v>
      </c>
      <c r="E81" s="632" t="s">
        <v>1553</v>
      </c>
      <c r="F81" s="635"/>
      <c r="G81" s="635"/>
      <c r="H81" s="648">
        <v>0</v>
      </c>
      <c r="I81" s="635">
        <v>1</v>
      </c>
      <c r="J81" s="635">
        <v>46.129783020758403</v>
      </c>
      <c r="K81" s="648">
        <v>1</v>
      </c>
      <c r="L81" s="635">
        <v>1</v>
      </c>
      <c r="M81" s="636">
        <v>46.129783020758403</v>
      </c>
    </row>
    <row r="82" spans="1:13" ht="14.4" customHeight="1" x14ac:dyDescent="0.3">
      <c r="A82" s="631" t="s">
        <v>554</v>
      </c>
      <c r="B82" s="632" t="s">
        <v>1833</v>
      </c>
      <c r="C82" s="632" t="s">
        <v>1545</v>
      </c>
      <c r="D82" s="632" t="s">
        <v>1542</v>
      </c>
      <c r="E82" s="632" t="s">
        <v>1060</v>
      </c>
      <c r="F82" s="635"/>
      <c r="G82" s="635"/>
      <c r="H82" s="648">
        <v>0</v>
      </c>
      <c r="I82" s="635">
        <v>3</v>
      </c>
      <c r="J82" s="635">
        <v>193.61966455998839</v>
      </c>
      <c r="K82" s="648">
        <v>1</v>
      </c>
      <c r="L82" s="635">
        <v>3</v>
      </c>
      <c r="M82" s="636">
        <v>193.61966455998839</v>
      </c>
    </row>
    <row r="83" spans="1:13" ht="14.4" customHeight="1" x14ac:dyDescent="0.3">
      <c r="A83" s="631" t="s">
        <v>554</v>
      </c>
      <c r="B83" s="632" t="s">
        <v>1833</v>
      </c>
      <c r="C83" s="632" t="s">
        <v>1541</v>
      </c>
      <c r="D83" s="632" t="s">
        <v>1542</v>
      </c>
      <c r="E83" s="632" t="s">
        <v>1543</v>
      </c>
      <c r="F83" s="635"/>
      <c r="G83" s="635"/>
      <c r="H83" s="648">
        <v>0</v>
      </c>
      <c r="I83" s="635">
        <v>1</v>
      </c>
      <c r="J83" s="635">
        <v>218.08999999999997</v>
      </c>
      <c r="K83" s="648">
        <v>1</v>
      </c>
      <c r="L83" s="635">
        <v>1</v>
      </c>
      <c r="M83" s="636">
        <v>218.08999999999997</v>
      </c>
    </row>
    <row r="84" spans="1:13" ht="14.4" customHeight="1" x14ac:dyDescent="0.3">
      <c r="A84" s="631" t="s">
        <v>554</v>
      </c>
      <c r="B84" s="632" t="s">
        <v>1833</v>
      </c>
      <c r="C84" s="632" t="s">
        <v>1538</v>
      </c>
      <c r="D84" s="632" t="s">
        <v>1152</v>
      </c>
      <c r="E84" s="632" t="s">
        <v>1539</v>
      </c>
      <c r="F84" s="635"/>
      <c r="G84" s="635"/>
      <c r="H84" s="648">
        <v>0</v>
      </c>
      <c r="I84" s="635">
        <v>1</v>
      </c>
      <c r="J84" s="635">
        <v>150.82999999999996</v>
      </c>
      <c r="K84" s="648">
        <v>1</v>
      </c>
      <c r="L84" s="635">
        <v>1</v>
      </c>
      <c r="M84" s="636">
        <v>150.82999999999996</v>
      </c>
    </row>
    <row r="85" spans="1:13" ht="14.4" customHeight="1" x14ac:dyDescent="0.3">
      <c r="A85" s="631" t="s">
        <v>554</v>
      </c>
      <c r="B85" s="632" t="s">
        <v>1835</v>
      </c>
      <c r="C85" s="632" t="s">
        <v>956</v>
      </c>
      <c r="D85" s="632" t="s">
        <v>957</v>
      </c>
      <c r="E85" s="632" t="s">
        <v>1836</v>
      </c>
      <c r="F85" s="635"/>
      <c r="G85" s="635"/>
      <c r="H85" s="648">
        <v>0</v>
      </c>
      <c r="I85" s="635">
        <v>1</v>
      </c>
      <c r="J85" s="635">
        <v>79.939051580502564</v>
      </c>
      <c r="K85" s="648">
        <v>1</v>
      </c>
      <c r="L85" s="635">
        <v>1</v>
      </c>
      <c r="M85" s="636">
        <v>79.939051580502564</v>
      </c>
    </row>
    <row r="86" spans="1:13" ht="14.4" customHeight="1" x14ac:dyDescent="0.3">
      <c r="A86" s="631" t="s">
        <v>554</v>
      </c>
      <c r="B86" s="632" t="s">
        <v>1890</v>
      </c>
      <c r="C86" s="632" t="s">
        <v>1571</v>
      </c>
      <c r="D86" s="632" t="s">
        <v>1572</v>
      </c>
      <c r="E86" s="632" t="s">
        <v>993</v>
      </c>
      <c r="F86" s="635"/>
      <c r="G86" s="635"/>
      <c r="H86" s="648">
        <v>0</v>
      </c>
      <c r="I86" s="635">
        <v>1</v>
      </c>
      <c r="J86" s="635">
        <v>661.41</v>
      </c>
      <c r="K86" s="648">
        <v>1</v>
      </c>
      <c r="L86" s="635">
        <v>1</v>
      </c>
      <c r="M86" s="636">
        <v>661.41</v>
      </c>
    </row>
    <row r="87" spans="1:13" ht="14.4" customHeight="1" x14ac:dyDescent="0.3">
      <c r="A87" s="631" t="s">
        <v>554</v>
      </c>
      <c r="B87" s="632" t="s">
        <v>1848</v>
      </c>
      <c r="C87" s="632" t="s">
        <v>1564</v>
      </c>
      <c r="D87" s="632" t="s">
        <v>1891</v>
      </c>
      <c r="E87" s="632" t="s">
        <v>1892</v>
      </c>
      <c r="F87" s="635"/>
      <c r="G87" s="635"/>
      <c r="H87" s="648">
        <v>0</v>
      </c>
      <c r="I87" s="635">
        <v>1</v>
      </c>
      <c r="J87" s="635">
        <v>130.80000000000001</v>
      </c>
      <c r="K87" s="648">
        <v>1</v>
      </c>
      <c r="L87" s="635">
        <v>1</v>
      </c>
      <c r="M87" s="636">
        <v>130.80000000000001</v>
      </c>
    </row>
    <row r="88" spans="1:13" ht="14.4" customHeight="1" x14ac:dyDescent="0.3">
      <c r="A88" s="631" t="s">
        <v>554</v>
      </c>
      <c r="B88" s="632" t="s">
        <v>1848</v>
      </c>
      <c r="C88" s="632" t="s">
        <v>1047</v>
      </c>
      <c r="D88" s="632" t="s">
        <v>1849</v>
      </c>
      <c r="E88" s="632" t="s">
        <v>1850</v>
      </c>
      <c r="F88" s="635"/>
      <c r="G88" s="635"/>
      <c r="H88" s="648">
        <v>0</v>
      </c>
      <c r="I88" s="635">
        <v>2</v>
      </c>
      <c r="J88" s="635">
        <v>72.659795906496612</v>
      </c>
      <c r="K88" s="648">
        <v>1</v>
      </c>
      <c r="L88" s="635">
        <v>2</v>
      </c>
      <c r="M88" s="636">
        <v>72.659795906496612</v>
      </c>
    </row>
    <row r="89" spans="1:13" ht="14.4" customHeight="1" x14ac:dyDescent="0.3">
      <c r="A89" s="631" t="s">
        <v>554</v>
      </c>
      <c r="B89" s="632" t="s">
        <v>1848</v>
      </c>
      <c r="C89" s="632" t="s">
        <v>1574</v>
      </c>
      <c r="D89" s="632" t="s">
        <v>1891</v>
      </c>
      <c r="E89" s="632" t="s">
        <v>1893</v>
      </c>
      <c r="F89" s="635"/>
      <c r="G89" s="635"/>
      <c r="H89" s="648">
        <v>0</v>
      </c>
      <c r="I89" s="635">
        <v>2</v>
      </c>
      <c r="J89" s="635">
        <v>134.30000000000001</v>
      </c>
      <c r="K89" s="648">
        <v>1</v>
      </c>
      <c r="L89" s="635">
        <v>2</v>
      </c>
      <c r="M89" s="636">
        <v>134.30000000000001</v>
      </c>
    </row>
    <row r="90" spans="1:13" ht="14.4" customHeight="1" x14ac:dyDescent="0.3">
      <c r="A90" s="631" t="s">
        <v>554</v>
      </c>
      <c r="B90" s="632" t="s">
        <v>1848</v>
      </c>
      <c r="C90" s="632" t="s">
        <v>1561</v>
      </c>
      <c r="D90" s="632" t="s">
        <v>1891</v>
      </c>
      <c r="E90" s="632" t="s">
        <v>1894</v>
      </c>
      <c r="F90" s="635"/>
      <c r="G90" s="635"/>
      <c r="H90" s="648">
        <v>0</v>
      </c>
      <c r="I90" s="635">
        <v>2</v>
      </c>
      <c r="J90" s="635">
        <v>448.91799510188201</v>
      </c>
      <c r="K90" s="648">
        <v>1</v>
      </c>
      <c r="L90" s="635">
        <v>2</v>
      </c>
      <c r="M90" s="636">
        <v>448.91799510188201</v>
      </c>
    </row>
    <row r="91" spans="1:13" ht="14.4" customHeight="1" x14ac:dyDescent="0.3">
      <c r="A91" s="631" t="s">
        <v>554</v>
      </c>
      <c r="B91" s="632" t="s">
        <v>1848</v>
      </c>
      <c r="C91" s="632" t="s">
        <v>1577</v>
      </c>
      <c r="D91" s="632" t="s">
        <v>1891</v>
      </c>
      <c r="E91" s="632" t="s">
        <v>1895</v>
      </c>
      <c r="F91" s="635"/>
      <c r="G91" s="635"/>
      <c r="H91" s="648">
        <v>0</v>
      </c>
      <c r="I91" s="635">
        <v>13</v>
      </c>
      <c r="J91" s="635">
        <v>4838.99</v>
      </c>
      <c r="K91" s="648">
        <v>1</v>
      </c>
      <c r="L91" s="635">
        <v>13</v>
      </c>
      <c r="M91" s="636">
        <v>4838.99</v>
      </c>
    </row>
    <row r="92" spans="1:13" ht="14.4" customHeight="1" x14ac:dyDescent="0.3">
      <c r="A92" s="631" t="s">
        <v>554</v>
      </c>
      <c r="B92" s="632" t="s">
        <v>1896</v>
      </c>
      <c r="C92" s="632" t="s">
        <v>1531</v>
      </c>
      <c r="D92" s="632" t="s">
        <v>1532</v>
      </c>
      <c r="E92" s="632" t="s">
        <v>1897</v>
      </c>
      <c r="F92" s="635"/>
      <c r="G92" s="635"/>
      <c r="H92" s="648">
        <v>0</v>
      </c>
      <c r="I92" s="635">
        <v>1</v>
      </c>
      <c r="J92" s="635">
        <v>64.73</v>
      </c>
      <c r="K92" s="648">
        <v>1</v>
      </c>
      <c r="L92" s="635">
        <v>1</v>
      </c>
      <c r="M92" s="636">
        <v>64.73</v>
      </c>
    </row>
    <row r="93" spans="1:13" ht="14.4" customHeight="1" x14ac:dyDescent="0.3">
      <c r="A93" s="631" t="s">
        <v>554</v>
      </c>
      <c r="B93" s="632" t="s">
        <v>1851</v>
      </c>
      <c r="C93" s="632" t="s">
        <v>1264</v>
      </c>
      <c r="D93" s="632" t="s">
        <v>1245</v>
      </c>
      <c r="E93" s="632" t="s">
        <v>1265</v>
      </c>
      <c r="F93" s="635"/>
      <c r="G93" s="635"/>
      <c r="H93" s="648">
        <v>0</v>
      </c>
      <c r="I93" s="635">
        <v>164</v>
      </c>
      <c r="J93" s="635">
        <v>7519.4058845850141</v>
      </c>
      <c r="K93" s="648">
        <v>1</v>
      </c>
      <c r="L93" s="635">
        <v>164</v>
      </c>
      <c r="M93" s="636">
        <v>7519.4058845850141</v>
      </c>
    </row>
    <row r="94" spans="1:13" ht="14.4" customHeight="1" x14ac:dyDescent="0.3">
      <c r="A94" s="631" t="s">
        <v>554</v>
      </c>
      <c r="B94" s="632" t="s">
        <v>1852</v>
      </c>
      <c r="C94" s="632" t="s">
        <v>1256</v>
      </c>
      <c r="D94" s="632" t="s">
        <v>1853</v>
      </c>
      <c r="E94" s="632" t="s">
        <v>1854</v>
      </c>
      <c r="F94" s="635"/>
      <c r="G94" s="635"/>
      <c r="H94" s="648">
        <v>0</v>
      </c>
      <c r="I94" s="635">
        <v>1</v>
      </c>
      <c r="J94" s="635">
        <v>169.62798748562233</v>
      </c>
      <c r="K94" s="648">
        <v>1</v>
      </c>
      <c r="L94" s="635">
        <v>1</v>
      </c>
      <c r="M94" s="636">
        <v>169.62798748562233</v>
      </c>
    </row>
    <row r="95" spans="1:13" ht="14.4" customHeight="1" x14ac:dyDescent="0.3">
      <c r="A95" s="631" t="s">
        <v>554</v>
      </c>
      <c r="B95" s="632" t="s">
        <v>1852</v>
      </c>
      <c r="C95" s="632" t="s">
        <v>1282</v>
      </c>
      <c r="D95" s="632" t="s">
        <v>1855</v>
      </c>
      <c r="E95" s="632" t="s">
        <v>1856</v>
      </c>
      <c r="F95" s="635"/>
      <c r="G95" s="635"/>
      <c r="H95" s="648">
        <v>0</v>
      </c>
      <c r="I95" s="635">
        <v>8</v>
      </c>
      <c r="J95" s="635">
        <v>1007.1800000000001</v>
      </c>
      <c r="K95" s="648">
        <v>1</v>
      </c>
      <c r="L95" s="635">
        <v>8</v>
      </c>
      <c r="M95" s="636">
        <v>1007.1800000000001</v>
      </c>
    </row>
    <row r="96" spans="1:13" ht="14.4" customHeight="1" x14ac:dyDescent="0.3">
      <c r="A96" s="631" t="s">
        <v>554</v>
      </c>
      <c r="B96" s="632" t="s">
        <v>1857</v>
      </c>
      <c r="C96" s="632" t="s">
        <v>1278</v>
      </c>
      <c r="D96" s="632" t="s">
        <v>1279</v>
      </c>
      <c r="E96" s="632" t="s">
        <v>1858</v>
      </c>
      <c r="F96" s="635"/>
      <c r="G96" s="635"/>
      <c r="H96" s="648">
        <v>0</v>
      </c>
      <c r="I96" s="635">
        <v>14.799999999999997</v>
      </c>
      <c r="J96" s="635">
        <v>3244.3221075723882</v>
      </c>
      <c r="K96" s="648">
        <v>1</v>
      </c>
      <c r="L96" s="635">
        <v>14.799999999999997</v>
      </c>
      <c r="M96" s="636">
        <v>3244.3221075723882</v>
      </c>
    </row>
    <row r="97" spans="1:13" ht="14.4" customHeight="1" x14ac:dyDescent="0.3">
      <c r="A97" s="631" t="s">
        <v>554</v>
      </c>
      <c r="B97" s="632" t="s">
        <v>1859</v>
      </c>
      <c r="C97" s="632" t="s">
        <v>1652</v>
      </c>
      <c r="D97" s="632" t="s">
        <v>1898</v>
      </c>
      <c r="E97" s="632" t="s">
        <v>1265</v>
      </c>
      <c r="F97" s="635"/>
      <c r="G97" s="635"/>
      <c r="H97" s="648">
        <v>0</v>
      </c>
      <c r="I97" s="635">
        <v>12</v>
      </c>
      <c r="J97" s="635">
        <v>902.6400000000001</v>
      </c>
      <c r="K97" s="648">
        <v>1</v>
      </c>
      <c r="L97" s="635">
        <v>12</v>
      </c>
      <c r="M97" s="636">
        <v>902.6400000000001</v>
      </c>
    </row>
    <row r="98" spans="1:13" ht="14.4" customHeight="1" x14ac:dyDescent="0.3">
      <c r="A98" s="631" t="s">
        <v>554</v>
      </c>
      <c r="B98" s="632" t="s">
        <v>1899</v>
      </c>
      <c r="C98" s="632" t="s">
        <v>1648</v>
      </c>
      <c r="D98" s="632" t="s">
        <v>1649</v>
      </c>
      <c r="E98" s="632" t="s">
        <v>1900</v>
      </c>
      <c r="F98" s="635"/>
      <c r="G98" s="635"/>
      <c r="H98" s="648">
        <v>0</v>
      </c>
      <c r="I98" s="635">
        <v>12</v>
      </c>
      <c r="J98" s="635">
        <v>3132.6</v>
      </c>
      <c r="K98" s="648">
        <v>1</v>
      </c>
      <c r="L98" s="635">
        <v>12</v>
      </c>
      <c r="M98" s="636">
        <v>3132.6</v>
      </c>
    </row>
    <row r="99" spans="1:13" ht="14.4" customHeight="1" x14ac:dyDescent="0.3">
      <c r="A99" s="631" t="s">
        <v>554</v>
      </c>
      <c r="B99" s="632" t="s">
        <v>1901</v>
      </c>
      <c r="C99" s="632" t="s">
        <v>1656</v>
      </c>
      <c r="D99" s="632" t="s">
        <v>1657</v>
      </c>
      <c r="E99" s="632" t="s">
        <v>1658</v>
      </c>
      <c r="F99" s="635"/>
      <c r="G99" s="635"/>
      <c r="H99" s="648">
        <v>0</v>
      </c>
      <c r="I99" s="635">
        <v>5</v>
      </c>
      <c r="J99" s="635">
        <v>299.70999999999998</v>
      </c>
      <c r="K99" s="648">
        <v>1</v>
      </c>
      <c r="L99" s="635">
        <v>5</v>
      </c>
      <c r="M99" s="636">
        <v>299.70999999999998</v>
      </c>
    </row>
    <row r="100" spans="1:13" ht="14.4" customHeight="1" x14ac:dyDescent="0.3">
      <c r="A100" s="631" t="s">
        <v>554</v>
      </c>
      <c r="B100" s="632" t="s">
        <v>1862</v>
      </c>
      <c r="C100" s="632" t="s">
        <v>1260</v>
      </c>
      <c r="D100" s="632" t="s">
        <v>1863</v>
      </c>
      <c r="E100" s="632" t="s">
        <v>1864</v>
      </c>
      <c r="F100" s="635"/>
      <c r="G100" s="635"/>
      <c r="H100" s="648">
        <v>0</v>
      </c>
      <c r="I100" s="635">
        <v>12</v>
      </c>
      <c r="J100" s="635">
        <v>1063.2</v>
      </c>
      <c r="K100" s="648">
        <v>1</v>
      </c>
      <c r="L100" s="635">
        <v>12</v>
      </c>
      <c r="M100" s="636">
        <v>1063.2</v>
      </c>
    </row>
    <row r="101" spans="1:13" ht="14.4" customHeight="1" x14ac:dyDescent="0.3">
      <c r="A101" s="631" t="s">
        <v>554</v>
      </c>
      <c r="B101" s="632" t="s">
        <v>1868</v>
      </c>
      <c r="C101" s="632" t="s">
        <v>1293</v>
      </c>
      <c r="D101" s="632" t="s">
        <v>1869</v>
      </c>
      <c r="E101" s="632" t="s">
        <v>1870</v>
      </c>
      <c r="F101" s="635"/>
      <c r="G101" s="635"/>
      <c r="H101" s="648">
        <v>0</v>
      </c>
      <c r="I101" s="635">
        <v>89</v>
      </c>
      <c r="J101" s="635">
        <v>7140.2084357472668</v>
      </c>
      <c r="K101" s="648">
        <v>1</v>
      </c>
      <c r="L101" s="635">
        <v>89</v>
      </c>
      <c r="M101" s="636">
        <v>7140.2084357472668</v>
      </c>
    </row>
    <row r="102" spans="1:13" ht="14.4" customHeight="1" x14ac:dyDescent="0.3">
      <c r="A102" s="631" t="s">
        <v>554</v>
      </c>
      <c r="B102" s="632" t="s">
        <v>1902</v>
      </c>
      <c r="C102" s="632" t="s">
        <v>1580</v>
      </c>
      <c r="D102" s="632" t="s">
        <v>1581</v>
      </c>
      <c r="E102" s="632" t="s">
        <v>1903</v>
      </c>
      <c r="F102" s="635"/>
      <c r="G102" s="635"/>
      <c r="H102" s="648">
        <v>0</v>
      </c>
      <c r="I102" s="635">
        <v>6</v>
      </c>
      <c r="J102" s="635">
        <v>2022.622729880421</v>
      </c>
      <c r="K102" s="648">
        <v>1</v>
      </c>
      <c r="L102" s="635">
        <v>6</v>
      </c>
      <c r="M102" s="636">
        <v>2022.622729880421</v>
      </c>
    </row>
    <row r="103" spans="1:13" ht="14.4" customHeight="1" x14ac:dyDescent="0.3">
      <c r="A103" s="631" t="s">
        <v>554</v>
      </c>
      <c r="B103" s="632" t="s">
        <v>1904</v>
      </c>
      <c r="C103" s="632" t="s">
        <v>1300</v>
      </c>
      <c r="D103" s="632" t="s">
        <v>1905</v>
      </c>
      <c r="E103" s="632" t="s">
        <v>1906</v>
      </c>
      <c r="F103" s="635">
        <v>40</v>
      </c>
      <c r="G103" s="635">
        <v>10429.200000000001</v>
      </c>
      <c r="H103" s="648">
        <v>1</v>
      </c>
      <c r="I103" s="635"/>
      <c r="J103" s="635"/>
      <c r="K103" s="648">
        <v>0</v>
      </c>
      <c r="L103" s="635">
        <v>40</v>
      </c>
      <c r="M103" s="636">
        <v>10429.200000000001</v>
      </c>
    </row>
    <row r="104" spans="1:13" ht="14.4" customHeight="1" x14ac:dyDescent="0.3">
      <c r="A104" s="631" t="s">
        <v>554</v>
      </c>
      <c r="B104" s="632" t="s">
        <v>1871</v>
      </c>
      <c r="C104" s="632" t="s">
        <v>1555</v>
      </c>
      <c r="D104" s="632" t="s">
        <v>1196</v>
      </c>
      <c r="E104" s="632" t="s">
        <v>1556</v>
      </c>
      <c r="F104" s="635"/>
      <c r="G104" s="635"/>
      <c r="H104" s="648">
        <v>0</v>
      </c>
      <c r="I104" s="635">
        <v>10</v>
      </c>
      <c r="J104" s="635">
        <v>8900.9999502376868</v>
      </c>
      <c r="K104" s="648">
        <v>1</v>
      </c>
      <c r="L104" s="635">
        <v>10</v>
      </c>
      <c r="M104" s="636">
        <v>8900.9999502376868</v>
      </c>
    </row>
    <row r="105" spans="1:13" ht="14.4" customHeight="1" x14ac:dyDescent="0.3">
      <c r="A105" s="631" t="s">
        <v>554</v>
      </c>
      <c r="B105" s="632" t="s">
        <v>1875</v>
      </c>
      <c r="C105" s="632" t="s">
        <v>1069</v>
      </c>
      <c r="D105" s="632" t="s">
        <v>1070</v>
      </c>
      <c r="E105" s="632" t="s">
        <v>1071</v>
      </c>
      <c r="F105" s="635"/>
      <c r="G105" s="635"/>
      <c r="H105" s="648">
        <v>0</v>
      </c>
      <c r="I105" s="635">
        <v>16</v>
      </c>
      <c r="J105" s="635">
        <v>2312.4794907192909</v>
      </c>
      <c r="K105" s="648">
        <v>1</v>
      </c>
      <c r="L105" s="635">
        <v>16</v>
      </c>
      <c r="M105" s="636">
        <v>2312.4794907192909</v>
      </c>
    </row>
    <row r="106" spans="1:13" ht="14.4" customHeight="1" x14ac:dyDescent="0.3">
      <c r="A106" s="631" t="s">
        <v>554</v>
      </c>
      <c r="B106" s="632" t="s">
        <v>1875</v>
      </c>
      <c r="C106" s="632" t="s">
        <v>1558</v>
      </c>
      <c r="D106" s="632" t="s">
        <v>1070</v>
      </c>
      <c r="E106" s="632" t="s">
        <v>1559</v>
      </c>
      <c r="F106" s="635"/>
      <c r="G106" s="635"/>
      <c r="H106" s="648">
        <v>0</v>
      </c>
      <c r="I106" s="635">
        <v>41</v>
      </c>
      <c r="J106" s="635">
        <v>6044.6274942433347</v>
      </c>
      <c r="K106" s="648">
        <v>1</v>
      </c>
      <c r="L106" s="635">
        <v>41</v>
      </c>
      <c r="M106" s="636">
        <v>6044.6274942433347</v>
      </c>
    </row>
    <row r="107" spans="1:13" ht="14.4" customHeight="1" x14ac:dyDescent="0.3">
      <c r="A107" s="631" t="s">
        <v>554</v>
      </c>
      <c r="B107" s="632" t="s">
        <v>1882</v>
      </c>
      <c r="C107" s="632" t="s">
        <v>1163</v>
      </c>
      <c r="D107" s="632" t="s">
        <v>1164</v>
      </c>
      <c r="E107" s="632" t="s">
        <v>1883</v>
      </c>
      <c r="F107" s="635"/>
      <c r="G107" s="635"/>
      <c r="H107" s="648">
        <v>0</v>
      </c>
      <c r="I107" s="635">
        <v>1</v>
      </c>
      <c r="J107" s="635">
        <v>52.81</v>
      </c>
      <c r="K107" s="648">
        <v>1</v>
      </c>
      <c r="L107" s="635">
        <v>1</v>
      </c>
      <c r="M107" s="636">
        <v>52.81</v>
      </c>
    </row>
    <row r="108" spans="1:13" ht="14.4" customHeight="1" x14ac:dyDescent="0.3">
      <c r="A108" s="631" t="s">
        <v>554</v>
      </c>
      <c r="B108" s="632" t="s">
        <v>1882</v>
      </c>
      <c r="C108" s="632" t="s">
        <v>1114</v>
      </c>
      <c r="D108" s="632" t="s">
        <v>1115</v>
      </c>
      <c r="E108" s="632" t="s">
        <v>1116</v>
      </c>
      <c r="F108" s="635"/>
      <c r="G108" s="635"/>
      <c r="H108" s="648">
        <v>0</v>
      </c>
      <c r="I108" s="635">
        <v>11</v>
      </c>
      <c r="J108" s="635">
        <v>940.28</v>
      </c>
      <c r="K108" s="648">
        <v>1</v>
      </c>
      <c r="L108" s="635">
        <v>11</v>
      </c>
      <c r="M108" s="636">
        <v>940.28</v>
      </c>
    </row>
    <row r="109" spans="1:13" ht="14.4" customHeight="1" x14ac:dyDescent="0.3">
      <c r="A109" s="631" t="s">
        <v>554</v>
      </c>
      <c r="B109" s="632" t="s">
        <v>1884</v>
      </c>
      <c r="C109" s="632" t="s">
        <v>1616</v>
      </c>
      <c r="D109" s="632" t="s">
        <v>1907</v>
      </c>
      <c r="E109" s="632" t="s">
        <v>1231</v>
      </c>
      <c r="F109" s="635"/>
      <c r="G109" s="635"/>
      <c r="H109" s="648">
        <v>0</v>
      </c>
      <c r="I109" s="635">
        <v>2</v>
      </c>
      <c r="J109" s="635">
        <v>89.559988914044226</v>
      </c>
      <c r="K109" s="648">
        <v>1</v>
      </c>
      <c r="L109" s="635">
        <v>2</v>
      </c>
      <c r="M109" s="636">
        <v>89.559988914044226</v>
      </c>
    </row>
    <row r="110" spans="1:13" ht="14.4" customHeight="1" x14ac:dyDescent="0.3">
      <c r="A110" s="631" t="s">
        <v>554</v>
      </c>
      <c r="B110" s="632" t="s">
        <v>1884</v>
      </c>
      <c r="C110" s="632" t="s">
        <v>1598</v>
      </c>
      <c r="D110" s="632" t="s">
        <v>1908</v>
      </c>
      <c r="E110" s="632" t="s">
        <v>1231</v>
      </c>
      <c r="F110" s="635"/>
      <c r="G110" s="635"/>
      <c r="H110" s="648">
        <v>0</v>
      </c>
      <c r="I110" s="635">
        <v>2</v>
      </c>
      <c r="J110" s="635">
        <v>85.95999999999998</v>
      </c>
      <c r="K110" s="648">
        <v>1</v>
      </c>
      <c r="L110" s="635">
        <v>2</v>
      </c>
      <c r="M110" s="636">
        <v>85.95999999999998</v>
      </c>
    </row>
    <row r="111" spans="1:13" ht="14.4" customHeight="1" x14ac:dyDescent="0.3">
      <c r="A111" s="631" t="s">
        <v>554</v>
      </c>
      <c r="B111" s="632" t="s">
        <v>1884</v>
      </c>
      <c r="C111" s="632" t="s">
        <v>1601</v>
      </c>
      <c r="D111" s="632" t="s">
        <v>1602</v>
      </c>
      <c r="E111" s="632" t="s">
        <v>1603</v>
      </c>
      <c r="F111" s="635"/>
      <c r="G111" s="635"/>
      <c r="H111" s="648">
        <v>0</v>
      </c>
      <c r="I111" s="635">
        <v>2</v>
      </c>
      <c r="J111" s="635">
        <v>405.72</v>
      </c>
      <c r="K111" s="648">
        <v>1</v>
      </c>
      <c r="L111" s="635">
        <v>2</v>
      </c>
      <c r="M111" s="636">
        <v>405.72</v>
      </c>
    </row>
    <row r="112" spans="1:13" ht="14.4" customHeight="1" x14ac:dyDescent="0.3">
      <c r="A112" s="631" t="s">
        <v>554</v>
      </c>
      <c r="B112" s="632" t="s">
        <v>1884</v>
      </c>
      <c r="C112" s="632" t="s">
        <v>1612</v>
      </c>
      <c r="D112" s="632" t="s">
        <v>1909</v>
      </c>
      <c r="E112" s="632" t="s">
        <v>1610</v>
      </c>
      <c r="F112" s="635"/>
      <c r="G112" s="635"/>
      <c r="H112" s="648">
        <v>0</v>
      </c>
      <c r="I112" s="635">
        <v>16</v>
      </c>
      <c r="J112" s="635">
        <v>3479.9995136140319</v>
      </c>
      <c r="K112" s="648">
        <v>1</v>
      </c>
      <c r="L112" s="635">
        <v>16</v>
      </c>
      <c r="M112" s="636">
        <v>3479.9995136140319</v>
      </c>
    </row>
    <row r="113" spans="1:13" ht="14.4" customHeight="1" x14ac:dyDescent="0.3">
      <c r="A113" s="631" t="s">
        <v>554</v>
      </c>
      <c r="B113" s="632" t="s">
        <v>1884</v>
      </c>
      <c r="C113" s="632" t="s">
        <v>1608</v>
      </c>
      <c r="D113" s="632" t="s">
        <v>1609</v>
      </c>
      <c r="E113" s="632" t="s">
        <v>1610</v>
      </c>
      <c r="F113" s="635"/>
      <c r="G113" s="635"/>
      <c r="H113" s="648">
        <v>0</v>
      </c>
      <c r="I113" s="635">
        <v>22</v>
      </c>
      <c r="J113" s="635">
        <v>9349.5566737237768</v>
      </c>
      <c r="K113" s="648">
        <v>1</v>
      </c>
      <c r="L113" s="635">
        <v>22</v>
      </c>
      <c r="M113" s="636">
        <v>9349.5566737237768</v>
      </c>
    </row>
    <row r="114" spans="1:13" ht="14.4" customHeight="1" x14ac:dyDescent="0.3">
      <c r="A114" s="631" t="s">
        <v>554</v>
      </c>
      <c r="B114" s="632" t="s">
        <v>1884</v>
      </c>
      <c r="C114" s="632" t="s">
        <v>1605</v>
      </c>
      <c r="D114" s="632" t="s">
        <v>1606</v>
      </c>
      <c r="E114" s="632" t="s">
        <v>1610</v>
      </c>
      <c r="F114" s="635"/>
      <c r="G114" s="635"/>
      <c r="H114" s="648">
        <v>0</v>
      </c>
      <c r="I114" s="635">
        <v>8</v>
      </c>
      <c r="J114" s="635">
        <v>1655.9991787326403</v>
      </c>
      <c r="K114" s="648">
        <v>1</v>
      </c>
      <c r="L114" s="635">
        <v>8</v>
      </c>
      <c r="M114" s="636">
        <v>1655.9991787326403</v>
      </c>
    </row>
    <row r="115" spans="1:13" ht="14.4" customHeight="1" x14ac:dyDescent="0.3">
      <c r="A115" s="631" t="s">
        <v>556</v>
      </c>
      <c r="B115" s="632" t="s">
        <v>1848</v>
      </c>
      <c r="C115" s="632" t="s">
        <v>1561</v>
      </c>
      <c r="D115" s="632" t="s">
        <v>1891</v>
      </c>
      <c r="E115" s="632" t="s">
        <v>1894</v>
      </c>
      <c r="F115" s="635"/>
      <c r="G115" s="635"/>
      <c r="H115" s="648">
        <v>0</v>
      </c>
      <c r="I115" s="635">
        <v>2</v>
      </c>
      <c r="J115" s="635">
        <v>449.78</v>
      </c>
      <c r="K115" s="648">
        <v>1</v>
      </c>
      <c r="L115" s="635">
        <v>2</v>
      </c>
      <c r="M115" s="636">
        <v>449.78</v>
      </c>
    </row>
    <row r="116" spans="1:13" ht="14.4" customHeight="1" x14ac:dyDescent="0.3">
      <c r="A116" s="631" t="s">
        <v>556</v>
      </c>
      <c r="B116" s="632" t="s">
        <v>1910</v>
      </c>
      <c r="C116" s="632" t="s">
        <v>1750</v>
      </c>
      <c r="D116" s="632" t="s">
        <v>1751</v>
      </c>
      <c r="E116" s="632" t="s">
        <v>1752</v>
      </c>
      <c r="F116" s="635"/>
      <c r="G116" s="635"/>
      <c r="H116" s="648">
        <v>0</v>
      </c>
      <c r="I116" s="635">
        <v>3</v>
      </c>
      <c r="J116" s="635">
        <v>8797.5</v>
      </c>
      <c r="K116" s="648">
        <v>1</v>
      </c>
      <c r="L116" s="635">
        <v>3</v>
      </c>
      <c r="M116" s="636">
        <v>8797.5</v>
      </c>
    </row>
    <row r="117" spans="1:13" ht="14.4" customHeight="1" x14ac:dyDescent="0.3">
      <c r="A117" s="631" t="s">
        <v>556</v>
      </c>
      <c r="B117" s="632" t="s">
        <v>1904</v>
      </c>
      <c r="C117" s="632" t="s">
        <v>1747</v>
      </c>
      <c r="D117" s="632" t="s">
        <v>1748</v>
      </c>
      <c r="E117" s="632" t="s">
        <v>1749</v>
      </c>
      <c r="F117" s="635"/>
      <c r="G117" s="635"/>
      <c r="H117" s="648">
        <v>0</v>
      </c>
      <c r="I117" s="635">
        <v>26</v>
      </c>
      <c r="J117" s="635">
        <v>18794.858315892321</v>
      </c>
      <c r="K117" s="648">
        <v>1</v>
      </c>
      <c r="L117" s="635">
        <v>26</v>
      </c>
      <c r="M117" s="636">
        <v>18794.858315892321</v>
      </c>
    </row>
    <row r="118" spans="1:13" ht="14.4" customHeight="1" x14ac:dyDescent="0.3">
      <c r="A118" s="631" t="s">
        <v>556</v>
      </c>
      <c r="B118" s="632" t="s">
        <v>1904</v>
      </c>
      <c r="C118" s="632" t="s">
        <v>1300</v>
      </c>
      <c r="D118" s="632" t="s">
        <v>1905</v>
      </c>
      <c r="E118" s="632" t="s">
        <v>1906</v>
      </c>
      <c r="F118" s="635">
        <v>8</v>
      </c>
      <c r="G118" s="635">
        <v>2085.8333333333335</v>
      </c>
      <c r="H118" s="648">
        <v>1</v>
      </c>
      <c r="I118" s="635"/>
      <c r="J118" s="635"/>
      <c r="K118" s="648">
        <v>0</v>
      </c>
      <c r="L118" s="635">
        <v>8</v>
      </c>
      <c r="M118" s="636">
        <v>2085.8333333333335</v>
      </c>
    </row>
    <row r="119" spans="1:13" ht="14.4" customHeight="1" x14ac:dyDescent="0.3">
      <c r="A119" s="631" t="s">
        <v>556</v>
      </c>
      <c r="B119" s="632" t="s">
        <v>1871</v>
      </c>
      <c r="C119" s="632" t="s">
        <v>1195</v>
      </c>
      <c r="D119" s="632" t="s">
        <v>1196</v>
      </c>
      <c r="E119" s="632" t="s">
        <v>1197</v>
      </c>
      <c r="F119" s="635"/>
      <c r="G119" s="635"/>
      <c r="H119" s="648">
        <v>0</v>
      </c>
      <c r="I119" s="635">
        <v>1</v>
      </c>
      <c r="J119" s="635">
        <v>266.35000000000002</v>
      </c>
      <c r="K119" s="648">
        <v>1</v>
      </c>
      <c r="L119" s="635">
        <v>1</v>
      </c>
      <c r="M119" s="636">
        <v>266.35000000000002</v>
      </c>
    </row>
    <row r="120" spans="1:13" ht="14.4" customHeight="1" x14ac:dyDescent="0.3">
      <c r="A120" s="631" t="s">
        <v>556</v>
      </c>
      <c r="B120" s="632" t="s">
        <v>1875</v>
      </c>
      <c r="C120" s="632" t="s">
        <v>1069</v>
      </c>
      <c r="D120" s="632" t="s">
        <v>1070</v>
      </c>
      <c r="E120" s="632" t="s">
        <v>1071</v>
      </c>
      <c r="F120" s="635"/>
      <c r="G120" s="635"/>
      <c r="H120" s="648">
        <v>0</v>
      </c>
      <c r="I120" s="635">
        <v>8</v>
      </c>
      <c r="J120" s="635">
        <v>1156.2398532326463</v>
      </c>
      <c r="K120" s="648">
        <v>1</v>
      </c>
      <c r="L120" s="635">
        <v>8</v>
      </c>
      <c r="M120" s="636">
        <v>1156.2398532326463</v>
      </c>
    </row>
    <row r="121" spans="1:13" ht="14.4" customHeight="1" thickBot="1" x14ac:dyDescent="0.35">
      <c r="A121" s="637" t="s">
        <v>556</v>
      </c>
      <c r="B121" s="638" t="s">
        <v>1875</v>
      </c>
      <c r="C121" s="638" t="s">
        <v>1558</v>
      </c>
      <c r="D121" s="638" t="s">
        <v>1070</v>
      </c>
      <c r="E121" s="638" t="s">
        <v>1559</v>
      </c>
      <c r="F121" s="641"/>
      <c r="G121" s="641"/>
      <c r="H121" s="649">
        <v>0</v>
      </c>
      <c r="I121" s="641">
        <v>18</v>
      </c>
      <c r="J121" s="641">
        <v>2653.7403996431026</v>
      </c>
      <c r="K121" s="649">
        <v>1</v>
      </c>
      <c r="L121" s="641">
        <v>18</v>
      </c>
      <c r="M121" s="642">
        <v>2653.7403996431026</v>
      </c>
    </row>
  </sheetData>
  <autoFilter ref="A5:M374"/>
  <mergeCells count="4">
    <mergeCell ref="F4:H4"/>
    <mergeCell ref="I4:K4"/>
    <mergeCell ref="L4:M4"/>
    <mergeCell ref="A1:M1"/>
  </mergeCells>
  <conditionalFormatting sqref="H3 H6:H1048576">
    <cfRule type="cellIs" dxfId="49" priority="4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theme="0" tint="-0.249977111117893"/>
    <pageSetUpPr fitToPage="1"/>
  </sheetPr>
  <dimension ref="A1:N18"/>
  <sheetViews>
    <sheetView showGridLines="0" showRowColHeaders="0" workbookViewId="0">
      <pane ySplit="4" topLeftCell="A5" activePane="bottomLeft" state="frozen"/>
      <selection activeCell="N30" sqref="N30"/>
      <selection pane="bottomLeft" sqref="A1:L1"/>
    </sheetView>
  </sheetViews>
  <sheetFormatPr defaultRowHeight="14.4" customHeight="1" x14ac:dyDescent="0.3"/>
  <cols>
    <col min="1" max="1" width="9.33203125" style="260" customWidth="1"/>
    <col min="2" max="2" width="34.21875" style="260" customWidth="1"/>
    <col min="3" max="3" width="11.109375" style="260" bestFit="1" customWidth="1"/>
    <col min="4" max="4" width="7.33203125" style="260" bestFit="1" customWidth="1"/>
    <col min="5" max="5" width="11.109375" style="260" bestFit="1" customWidth="1"/>
    <col min="6" max="6" width="5.33203125" style="260" customWidth="1"/>
    <col min="7" max="7" width="7.33203125" style="260" bestFit="1" customWidth="1"/>
    <col min="8" max="8" width="5.33203125" style="260" customWidth="1"/>
    <col min="9" max="9" width="11.109375" style="260" customWidth="1"/>
    <col min="10" max="10" width="5.33203125" style="260" customWidth="1"/>
    <col min="11" max="11" width="7.33203125" style="260" customWidth="1"/>
    <col min="12" max="12" width="5.33203125" style="260" customWidth="1"/>
    <col min="13" max="13" width="0" style="260" hidden="1" customWidth="1"/>
    <col min="14" max="16384" width="8.88671875" style="260"/>
  </cols>
  <sheetData>
    <row r="1" spans="1:14" ht="18.600000000000001" customHeight="1" thickBot="1" x14ac:dyDescent="0.4">
      <c r="A1" s="494" t="s">
        <v>181</v>
      </c>
      <c r="B1" s="494"/>
      <c r="C1" s="494"/>
      <c r="D1" s="494"/>
      <c r="E1" s="494"/>
      <c r="F1" s="494"/>
      <c r="G1" s="494"/>
      <c r="H1" s="494"/>
      <c r="I1" s="463"/>
      <c r="J1" s="463"/>
      <c r="K1" s="463"/>
      <c r="L1" s="463"/>
    </row>
    <row r="2" spans="1:14" ht="14.4" customHeight="1" thickBot="1" x14ac:dyDescent="0.35">
      <c r="A2" s="389" t="s">
        <v>298</v>
      </c>
      <c r="B2" s="342"/>
      <c r="C2" s="342"/>
      <c r="D2" s="342"/>
      <c r="E2" s="342"/>
      <c r="F2" s="342"/>
      <c r="G2" s="342"/>
      <c r="H2" s="342"/>
    </row>
    <row r="3" spans="1:14" ht="14.4" customHeight="1" thickBot="1" x14ac:dyDescent="0.35">
      <c r="A3" s="275"/>
      <c r="B3" s="275"/>
      <c r="C3" s="505" t="s">
        <v>18</v>
      </c>
      <c r="D3" s="504"/>
      <c r="E3" s="504" t="s">
        <v>19</v>
      </c>
      <c r="F3" s="504"/>
      <c r="G3" s="504"/>
      <c r="H3" s="504"/>
      <c r="I3" s="504" t="s">
        <v>195</v>
      </c>
      <c r="J3" s="504"/>
      <c r="K3" s="504"/>
      <c r="L3" s="506"/>
    </row>
    <row r="4" spans="1:14" ht="14.4" customHeight="1" thickBot="1" x14ac:dyDescent="0.35">
      <c r="A4" s="106" t="s">
        <v>20</v>
      </c>
      <c r="B4" s="107" t="s">
        <v>21</v>
      </c>
      <c r="C4" s="108" t="s">
        <v>22</v>
      </c>
      <c r="D4" s="108" t="s">
        <v>23</v>
      </c>
      <c r="E4" s="108" t="s">
        <v>22</v>
      </c>
      <c r="F4" s="108" t="s">
        <v>5</v>
      </c>
      <c r="G4" s="108" t="s">
        <v>23</v>
      </c>
      <c r="H4" s="108" t="s">
        <v>5</v>
      </c>
      <c r="I4" s="108" t="s">
        <v>22</v>
      </c>
      <c r="J4" s="108" t="s">
        <v>5</v>
      </c>
      <c r="K4" s="108" t="s">
        <v>23</v>
      </c>
      <c r="L4" s="109" t="s">
        <v>5</v>
      </c>
    </row>
    <row r="5" spans="1:14" ht="14.4" customHeight="1" x14ac:dyDescent="0.3">
      <c r="A5" s="616">
        <v>50</v>
      </c>
      <c r="B5" s="617" t="s">
        <v>536</v>
      </c>
      <c r="C5" s="618">
        <v>190251.83000000007</v>
      </c>
      <c r="D5" s="618">
        <v>446.5</v>
      </c>
      <c r="E5" s="618">
        <v>94634.420000000027</v>
      </c>
      <c r="F5" s="619">
        <v>0.49741660829228285</v>
      </c>
      <c r="G5" s="618">
        <v>199.5</v>
      </c>
      <c r="H5" s="619">
        <v>0.44680851063829785</v>
      </c>
      <c r="I5" s="618">
        <v>95617.410000000033</v>
      </c>
      <c r="J5" s="619">
        <v>0.50258339170771704</v>
      </c>
      <c r="K5" s="618">
        <v>247</v>
      </c>
      <c r="L5" s="619">
        <v>0.55319148936170215</v>
      </c>
      <c r="M5" s="618" t="s">
        <v>77</v>
      </c>
      <c r="N5" s="283"/>
    </row>
    <row r="6" spans="1:14" ht="14.4" customHeight="1" x14ac:dyDescent="0.3">
      <c r="A6" s="616">
        <v>50</v>
      </c>
      <c r="B6" s="617" t="s">
        <v>1912</v>
      </c>
      <c r="C6" s="618">
        <v>163662.59000000005</v>
      </c>
      <c r="D6" s="618">
        <v>339</v>
      </c>
      <c r="E6" s="618">
        <v>70934.580000000016</v>
      </c>
      <c r="F6" s="619">
        <v>0.43341963487196428</v>
      </c>
      <c r="G6" s="618">
        <v>101</v>
      </c>
      <c r="H6" s="619">
        <v>0.29793510324483774</v>
      </c>
      <c r="I6" s="618">
        <v>92728.010000000038</v>
      </c>
      <c r="J6" s="619">
        <v>0.56658036512803567</v>
      </c>
      <c r="K6" s="618">
        <v>238</v>
      </c>
      <c r="L6" s="619">
        <v>0.70206489675516226</v>
      </c>
      <c r="M6" s="618" t="s">
        <v>2</v>
      </c>
      <c r="N6" s="283"/>
    </row>
    <row r="7" spans="1:14" ht="14.4" customHeight="1" x14ac:dyDescent="0.3">
      <c r="A7" s="616">
        <v>50</v>
      </c>
      <c r="B7" s="617" t="s">
        <v>1913</v>
      </c>
      <c r="C7" s="618">
        <v>26589.240000000009</v>
      </c>
      <c r="D7" s="618">
        <v>107.5</v>
      </c>
      <c r="E7" s="618">
        <v>23699.840000000007</v>
      </c>
      <c r="F7" s="619">
        <v>0.89133198241093015</v>
      </c>
      <c r="G7" s="618">
        <v>98.5</v>
      </c>
      <c r="H7" s="619">
        <v>0.91627906976744189</v>
      </c>
      <c r="I7" s="618">
        <v>2889.4</v>
      </c>
      <c r="J7" s="619">
        <v>0.10866801758906983</v>
      </c>
      <c r="K7" s="618">
        <v>9</v>
      </c>
      <c r="L7" s="619">
        <v>8.3720930232558138E-2</v>
      </c>
      <c r="M7" s="618" t="s">
        <v>2</v>
      </c>
      <c r="N7" s="283"/>
    </row>
    <row r="8" spans="1:14" ht="14.4" customHeight="1" x14ac:dyDescent="0.3">
      <c r="A8" s="616" t="s">
        <v>534</v>
      </c>
      <c r="B8" s="617" t="s">
        <v>6</v>
      </c>
      <c r="C8" s="618">
        <v>190251.83000000007</v>
      </c>
      <c r="D8" s="618">
        <v>446.5</v>
      </c>
      <c r="E8" s="618">
        <v>94634.420000000027</v>
      </c>
      <c r="F8" s="619">
        <v>0.49741660829228285</v>
      </c>
      <c r="G8" s="618">
        <v>199.5</v>
      </c>
      <c r="H8" s="619">
        <v>0.44680851063829785</v>
      </c>
      <c r="I8" s="618">
        <v>95617.410000000033</v>
      </c>
      <c r="J8" s="619">
        <v>0.50258339170771704</v>
      </c>
      <c r="K8" s="618">
        <v>247</v>
      </c>
      <c r="L8" s="619">
        <v>0.55319148936170215</v>
      </c>
      <c r="M8" s="618" t="s">
        <v>547</v>
      </c>
      <c r="N8" s="283"/>
    </row>
    <row r="10" spans="1:14" ht="14.4" customHeight="1" x14ac:dyDescent="0.3">
      <c r="A10" s="616">
        <v>50</v>
      </c>
      <c r="B10" s="617" t="s">
        <v>536</v>
      </c>
      <c r="C10" s="618" t="s">
        <v>535</v>
      </c>
      <c r="D10" s="618" t="s">
        <v>535</v>
      </c>
      <c r="E10" s="618" t="s">
        <v>535</v>
      </c>
      <c r="F10" s="619" t="s">
        <v>535</v>
      </c>
      <c r="G10" s="618" t="s">
        <v>535</v>
      </c>
      <c r="H10" s="619" t="s">
        <v>535</v>
      </c>
      <c r="I10" s="618" t="s">
        <v>535</v>
      </c>
      <c r="J10" s="619" t="s">
        <v>535</v>
      </c>
      <c r="K10" s="618" t="s">
        <v>535</v>
      </c>
      <c r="L10" s="619" t="s">
        <v>535</v>
      </c>
      <c r="M10" s="618" t="s">
        <v>77</v>
      </c>
      <c r="N10" s="283"/>
    </row>
    <row r="11" spans="1:14" ht="14.4" customHeight="1" x14ac:dyDescent="0.3">
      <c r="A11" s="616">
        <v>89301501</v>
      </c>
      <c r="B11" s="617" t="s">
        <v>1912</v>
      </c>
      <c r="C11" s="618">
        <v>37279.109999999993</v>
      </c>
      <c r="D11" s="618">
        <v>163</v>
      </c>
      <c r="E11" s="618">
        <v>7463.5200000000013</v>
      </c>
      <c r="F11" s="619">
        <v>0.20020649634607701</v>
      </c>
      <c r="G11" s="618">
        <v>30</v>
      </c>
      <c r="H11" s="619">
        <v>0.18404907975460122</v>
      </c>
      <c r="I11" s="618">
        <v>29815.589999999989</v>
      </c>
      <c r="J11" s="619">
        <v>0.79979350365392288</v>
      </c>
      <c r="K11" s="618">
        <v>133</v>
      </c>
      <c r="L11" s="619">
        <v>0.81595092024539873</v>
      </c>
      <c r="M11" s="618" t="s">
        <v>2</v>
      </c>
      <c r="N11" s="283"/>
    </row>
    <row r="12" spans="1:14" ht="14.4" customHeight="1" x14ac:dyDescent="0.3">
      <c r="A12" s="616" t="s">
        <v>1914</v>
      </c>
      <c r="B12" s="617" t="s">
        <v>1915</v>
      </c>
      <c r="C12" s="618">
        <v>37279.109999999993</v>
      </c>
      <c r="D12" s="618">
        <v>163</v>
      </c>
      <c r="E12" s="618">
        <v>7463.5200000000013</v>
      </c>
      <c r="F12" s="619">
        <v>0.20020649634607701</v>
      </c>
      <c r="G12" s="618">
        <v>30</v>
      </c>
      <c r="H12" s="619">
        <v>0.18404907975460122</v>
      </c>
      <c r="I12" s="618">
        <v>29815.589999999989</v>
      </c>
      <c r="J12" s="619">
        <v>0.79979350365392288</v>
      </c>
      <c r="K12" s="618">
        <v>133</v>
      </c>
      <c r="L12" s="619">
        <v>0.81595092024539873</v>
      </c>
      <c r="M12" s="618" t="s">
        <v>550</v>
      </c>
      <c r="N12" s="283"/>
    </row>
    <row r="13" spans="1:14" ht="14.4" customHeight="1" x14ac:dyDescent="0.3">
      <c r="A13" s="616" t="s">
        <v>535</v>
      </c>
      <c r="B13" s="617" t="s">
        <v>535</v>
      </c>
      <c r="C13" s="618" t="s">
        <v>535</v>
      </c>
      <c r="D13" s="618" t="s">
        <v>535</v>
      </c>
      <c r="E13" s="618" t="s">
        <v>535</v>
      </c>
      <c r="F13" s="619" t="s">
        <v>535</v>
      </c>
      <c r="G13" s="618" t="s">
        <v>535</v>
      </c>
      <c r="H13" s="619" t="s">
        <v>535</v>
      </c>
      <c r="I13" s="618" t="s">
        <v>535</v>
      </c>
      <c r="J13" s="619" t="s">
        <v>535</v>
      </c>
      <c r="K13" s="618" t="s">
        <v>535</v>
      </c>
      <c r="L13" s="619" t="s">
        <v>535</v>
      </c>
      <c r="M13" s="618" t="s">
        <v>551</v>
      </c>
      <c r="N13" s="283"/>
    </row>
    <row r="14" spans="1:14" ht="14.4" customHeight="1" x14ac:dyDescent="0.3">
      <c r="A14" s="616">
        <v>89301502</v>
      </c>
      <c r="B14" s="617" t="s">
        <v>1912</v>
      </c>
      <c r="C14" s="618">
        <v>126383.47999999998</v>
      </c>
      <c r="D14" s="618">
        <v>176</v>
      </c>
      <c r="E14" s="618">
        <v>63471.06</v>
      </c>
      <c r="F14" s="619">
        <v>0.50221009897812596</v>
      </c>
      <c r="G14" s="618">
        <v>71</v>
      </c>
      <c r="H14" s="619">
        <v>0.40340909090909088</v>
      </c>
      <c r="I14" s="618">
        <v>62912.419999999976</v>
      </c>
      <c r="J14" s="619">
        <v>0.49778990102187393</v>
      </c>
      <c r="K14" s="618">
        <v>105</v>
      </c>
      <c r="L14" s="619">
        <v>0.59659090909090906</v>
      </c>
      <c r="M14" s="618" t="s">
        <v>2</v>
      </c>
      <c r="N14" s="283"/>
    </row>
    <row r="15" spans="1:14" ht="14.4" customHeight="1" x14ac:dyDescent="0.3">
      <c r="A15" s="616">
        <v>89301502</v>
      </c>
      <c r="B15" s="617" t="s">
        <v>1913</v>
      </c>
      <c r="C15" s="618">
        <v>26589.240000000009</v>
      </c>
      <c r="D15" s="618">
        <v>107.5</v>
      </c>
      <c r="E15" s="618">
        <v>23699.840000000007</v>
      </c>
      <c r="F15" s="619">
        <v>0.89133198241093015</v>
      </c>
      <c r="G15" s="618">
        <v>98.5</v>
      </c>
      <c r="H15" s="619">
        <v>0.91627906976744189</v>
      </c>
      <c r="I15" s="618">
        <v>2889.4</v>
      </c>
      <c r="J15" s="619">
        <v>0.10866801758906983</v>
      </c>
      <c r="K15" s="618">
        <v>9</v>
      </c>
      <c r="L15" s="619">
        <v>8.3720930232558138E-2</v>
      </c>
      <c r="M15" s="618" t="s">
        <v>2</v>
      </c>
      <c r="N15" s="283"/>
    </row>
    <row r="16" spans="1:14" ht="14.4" customHeight="1" x14ac:dyDescent="0.3">
      <c r="A16" s="616" t="s">
        <v>1916</v>
      </c>
      <c r="B16" s="617" t="s">
        <v>1917</v>
      </c>
      <c r="C16" s="618">
        <v>152972.72</v>
      </c>
      <c r="D16" s="618">
        <v>283.5</v>
      </c>
      <c r="E16" s="618">
        <v>87170.900000000009</v>
      </c>
      <c r="F16" s="619">
        <v>0.56984604836731678</v>
      </c>
      <c r="G16" s="618">
        <v>169.5</v>
      </c>
      <c r="H16" s="619">
        <v>0.59788359788359791</v>
      </c>
      <c r="I16" s="618">
        <v>65801.819999999978</v>
      </c>
      <c r="J16" s="619">
        <v>0.43015395163268311</v>
      </c>
      <c r="K16" s="618">
        <v>114</v>
      </c>
      <c r="L16" s="619">
        <v>0.40211640211640209</v>
      </c>
      <c r="M16" s="618" t="s">
        <v>550</v>
      </c>
      <c r="N16" s="283"/>
    </row>
    <row r="17" spans="1:14" ht="14.4" customHeight="1" x14ac:dyDescent="0.3">
      <c r="A17" s="616" t="s">
        <v>535</v>
      </c>
      <c r="B17" s="617" t="s">
        <v>535</v>
      </c>
      <c r="C17" s="618" t="s">
        <v>535</v>
      </c>
      <c r="D17" s="618" t="s">
        <v>535</v>
      </c>
      <c r="E17" s="618" t="s">
        <v>535</v>
      </c>
      <c r="F17" s="619" t="s">
        <v>535</v>
      </c>
      <c r="G17" s="618" t="s">
        <v>535</v>
      </c>
      <c r="H17" s="619" t="s">
        <v>535</v>
      </c>
      <c r="I17" s="618" t="s">
        <v>535</v>
      </c>
      <c r="J17" s="619" t="s">
        <v>535</v>
      </c>
      <c r="K17" s="618" t="s">
        <v>535</v>
      </c>
      <c r="L17" s="619" t="s">
        <v>535</v>
      </c>
      <c r="M17" s="618" t="s">
        <v>551</v>
      </c>
      <c r="N17" s="283"/>
    </row>
    <row r="18" spans="1:14" ht="14.4" customHeight="1" x14ac:dyDescent="0.3">
      <c r="A18" s="616" t="s">
        <v>534</v>
      </c>
      <c r="B18" s="617" t="s">
        <v>1918</v>
      </c>
      <c r="C18" s="618">
        <v>190251.83</v>
      </c>
      <c r="D18" s="618">
        <v>446.5</v>
      </c>
      <c r="E18" s="618">
        <v>94634.420000000013</v>
      </c>
      <c r="F18" s="619">
        <v>0.49741660829228301</v>
      </c>
      <c r="G18" s="618">
        <v>199.5</v>
      </c>
      <c r="H18" s="619">
        <v>0.44680851063829785</v>
      </c>
      <c r="I18" s="618">
        <v>95617.40999999996</v>
      </c>
      <c r="J18" s="619">
        <v>0.50258339170771693</v>
      </c>
      <c r="K18" s="618">
        <v>247</v>
      </c>
      <c r="L18" s="619">
        <v>0.55319148936170215</v>
      </c>
      <c r="M18" s="618" t="s">
        <v>547</v>
      </c>
      <c r="N18" s="283"/>
    </row>
  </sheetData>
  <autoFilter ref="A4:M4"/>
  <mergeCells count="4">
    <mergeCell ref="E3:H3"/>
    <mergeCell ref="C3:D3"/>
    <mergeCell ref="I3:L3"/>
    <mergeCell ref="A1:L1"/>
  </mergeCells>
  <conditionalFormatting sqref="F4 F9 F19:F1048576">
    <cfRule type="cellIs" dxfId="48" priority="15" stopIfTrue="1" operator="lessThan">
      <formula>0.6</formula>
    </cfRule>
  </conditionalFormatting>
  <conditionalFormatting sqref="B5:B8">
    <cfRule type="expression" dxfId="47" priority="10">
      <formula>AND(LEFT(M5,6)&lt;&gt;"mezera",M5&lt;&gt;"")</formula>
    </cfRule>
  </conditionalFormatting>
  <conditionalFormatting sqref="A5:A8">
    <cfRule type="expression" dxfId="46" priority="8">
      <formula>AND(M5&lt;&gt;"",M5&lt;&gt;"mezeraKL")</formula>
    </cfRule>
  </conditionalFormatting>
  <conditionalFormatting sqref="F5:F8">
    <cfRule type="cellIs" dxfId="45" priority="7" operator="lessThan">
      <formula>0.6</formula>
    </cfRule>
  </conditionalFormatting>
  <conditionalFormatting sqref="B5:L8">
    <cfRule type="expression" dxfId="44" priority="9">
      <formula>OR($M5="KL",$M5="SumaKL")</formula>
    </cfRule>
    <cfRule type="expression" dxfId="43" priority="11">
      <formula>$M5="SumaNS"</formula>
    </cfRule>
  </conditionalFormatting>
  <conditionalFormatting sqref="A5:L8">
    <cfRule type="expression" dxfId="42" priority="12">
      <formula>$M5&lt;&gt;""</formula>
    </cfRule>
  </conditionalFormatting>
  <conditionalFormatting sqref="B10:B18">
    <cfRule type="expression" dxfId="41" priority="4">
      <formula>AND(LEFT(M10,6)&lt;&gt;"mezera",M10&lt;&gt;"")</formula>
    </cfRule>
  </conditionalFormatting>
  <conditionalFormatting sqref="A10:A18">
    <cfRule type="expression" dxfId="40" priority="2">
      <formula>AND(M10&lt;&gt;"",M10&lt;&gt;"mezeraKL")</formula>
    </cfRule>
  </conditionalFormatting>
  <conditionalFormatting sqref="F10:F18">
    <cfRule type="cellIs" dxfId="39" priority="1" operator="lessThan">
      <formula>0.6</formula>
    </cfRule>
  </conditionalFormatting>
  <conditionalFormatting sqref="B10:L18">
    <cfRule type="expression" dxfId="38" priority="3">
      <formula>OR($M10="KL",$M10="SumaKL")</formula>
    </cfRule>
    <cfRule type="expression" dxfId="37" priority="5">
      <formula>$M10="SumaNS"</formula>
    </cfRule>
  </conditionalFormatting>
  <conditionalFormatting sqref="A10:L18">
    <cfRule type="expression" dxfId="36" priority="6">
      <formula>$M10&lt;&gt;""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0">
    <tabColor theme="0" tint="-0.249977111117893"/>
    <pageSetUpPr fitToPage="1"/>
  </sheetPr>
  <dimension ref="A1:M16"/>
  <sheetViews>
    <sheetView showGridLines="0" showRowColHeaders="0" workbookViewId="0">
      <pane ySplit="4" topLeftCell="A5" activePane="bottomLeft" state="frozen"/>
      <selection activeCell="N30" sqref="N30"/>
      <selection pane="bottomLeft" sqref="A1:M1"/>
    </sheetView>
  </sheetViews>
  <sheetFormatPr defaultRowHeight="14.4" customHeight="1" x14ac:dyDescent="0.3"/>
  <cols>
    <col min="1" max="1" width="30.88671875" style="260" customWidth="1"/>
    <col min="2" max="2" width="11.109375" style="343" bestFit="1" customWidth="1"/>
    <col min="3" max="3" width="11.109375" style="260" hidden="1" customWidth="1"/>
    <col min="4" max="4" width="7.33203125" style="343" bestFit="1" customWidth="1"/>
    <col min="5" max="5" width="7.33203125" style="260" hidden="1" customWidth="1"/>
    <col min="6" max="6" width="11.109375" style="343" bestFit="1" customWidth="1"/>
    <col min="7" max="7" width="5.33203125" style="346" customWidth="1"/>
    <col min="8" max="8" width="7.33203125" style="343" bestFit="1" customWidth="1"/>
    <col min="9" max="9" width="5.33203125" style="346" customWidth="1"/>
    <col min="10" max="10" width="11.109375" style="343" customWidth="1"/>
    <col min="11" max="11" width="5.33203125" style="346" customWidth="1"/>
    <col min="12" max="12" width="7.33203125" style="343" customWidth="1"/>
    <col min="13" max="13" width="5.33203125" style="346" customWidth="1"/>
    <col min="14" max="14" width="0" style="260" hidden="1" customWidth="1"/>
    <col min="15" max="16384" width="8.88671875" style="260"/>
  </cols>
  <sheetData>
    <row r="1" spans="1:13" ht="18.600000000000001" customHeight="1" thickBot="1" x14ac:dyDescent="0.4">
      <c r="A1" s="494" t="s">
        <v>196</v>
      </c>
      <c r="B1" s="494"/>
      <c r="C1" s="494"/>
      <c r="D1" s="494"/>
      <c r="E1" s="494"/>
      <c r="F1" s="494"/>
      <c r="G1" s="494"/>
      <c r="H1" s="494"/>
      <c r="I1" s="494"/>
      <c r="J1" s="463"/>
      <c r="K1" s="463"/>
      <c r="L1" s="463"/>
      <c r="M1" s="463"/>
    </row>
    <row r="2" spans="1:13" ht="14.4" customHeight="1" thickBot="1" x14ac:dyDescent="0.35">
      <c r="A2" s="389" t="s">
        <v>298</v>
      </c>
      <c r="B2" s="350"/>
      <c r="C2" s="342"/>
      <c r="D2" s="350"/>
      <c r="E2" s="342"/>
      <c r="F2" s="350"/>
      <c r="G2" s="351"/>
      <c r="H2" s="350"/>
      <c r="I2" s="351"/>
    </row>
    <row r="3" spans="1:13" ht="14.4" customHeight="1" thickBot="1" x14ac:dyDescent="0.35">
      <c r="A3" s="275"/>
      <c r="B3" s="505" t="s">
        <v>18</v>
      </c>
      <c r="C3" s="507"/>
      <c r="D3" s="504"/>
      <c r="E3" s="274"/>
      <c r="F3" s="504" t="s">
        <v>19</v>
      </c>
      <c r="G3" s="504"/>
      <c r="H3" s="504"/>
      <c r="I3" s="504"/>
      <c r="J3" s="504" t="s">
        <v>195</v>
      </c>
      <c r="K3" s="504"/>
      <c r="L3" s="504"/>
      <c r="M3" s="506"/>
    </row>
    <row r="4" spans="1:13" ht="14.4" customHeight="1" thickBot="1" x14ac:dyDescent="0.35">
      <c r="A4" s="664" t="s">
        <v>171</v>
      </c>
      <c r="B4" s="668" t="s">
        <v>22</v>
      </c>
      <c r="C4" s="669"/>
      <c r="D4" s="668" t="s">
        <v>23</v>
      </c>
      <c r="E4" s="669"/>
      <c r="F4" s="668" t="s">
        <v>22</v>
      </c>
      <c r="G4" s="678" t="s">
        <v>5</v>
      </c>
      <c r="H4" s="668" t="s">
        <v>23</v>
      </c>
      <c r="I4" s="678" t="s">
        <v>5</v>
      </c>
      <c r="J4" s="668" t="s">
        <v>22</v>
      </c>
      <c r="K4" s="678" t="s">
        <v>5</v>
      </c>
      <c r="L4" s="668" t="s">
        <v>23</v>
      </c>
      <c r="M4" s="679" t="s">
        <v>5</v>
      </c>
    </row>
    <row r="5" spans="1:13" ht="14.4" customHeight="1" x14ac:dyDescent="0.3">
      <c r="A5" s="665" t="s">
        <v>1919</v>
      </c>
      <c r="B5" s="670">
        <v>4168</v>
      </c>
      <c r="C5" s="626">
        <v>1</v>
      </c>
      <c r="D5" s="675">
        <v>12</v>
      </c>
      <c r="E5" s="685" t="s">
        <v>1919</v>
      </c>
      <c r="F5" s="670">
        <v>475.07000000000005</v>
      </c>
      <c r="G5" s="647">
        <v>0.11398032629558542</v>
      </c>
      <c r="H5" s="629">
        <v>6</v>
      </c>
      <c r="I5" s="681">
        <v>0.5</v>
      </c>
      <c r="J5" s="688">
        <v>3692.93</v>
      </c>
      <c r="K5" s="647">
        <v>0.88601967370441459</v>
      </c>
      <c r="L5" s="629">
        <v>6</v>
      </c>
      <c r="M5" s="681">
        <v>0.5</v>
      </c>
    </row>
    <row r="6" spans="1:13" ht="14.4" customHeight="1" x14ac:dyDescent="0.3">
      <c r="A6" s="666" t="s">
        <v>1920</v>
      </c>
      <c r="B6" s="237">
        <v>55254.67</v>
      </c>
      <c r="C6" s="671">
        <v>1</v>
      </c>
      <c r="D6" s="676">
        <v>61</v>
      </c>
      <c r="E6" s="686" t="s">
        <v>1920</v>
      </c>
      <c r="F6" s="237">
        <v>28989.809999999998</v>
      </c>
      <c r="G6" s="682">
        <v>0.52465809677263475</v>
      </c>
      <c r="H6" s="238">
        <v>23</v>
      </c>
      <c r="I6" s="242">
        <v>0.37704918032786883</v>
      </c>
      <c r="J6" s="689">
        <v>26264.86</v>
      </c>
      <c r="K6" s="682">
        <v>0.47534190322736525</v>
      </c>
      <c r="L6" s="238">
        <v>38</v>
      </c>
      <c r="M6" s="242">
        <v>0.62295081967213117</v>
      </c>
    </row>
    <row r="7" spans="1:13" ht="14.4" customHeight="1" x14ac:dyDescent="0.3">
      <c r="A7" s="666" t="s">
        <v>1921</v>
      </c>
      <c r="B7" s="237">
        <v>3297.9300000000003</v>
      </c>
      <c r="C7" s="671">
        <v>1</v>
      </c>
      <c r="D7" s="676">
        <v>24</v>
      </c>
      <c r="E7" s="686" t="s">
        <v>1921</v>
      </c>
      <c r="F7" s="237">
        <v>471.52000000000004</v>
      </c>
      <c r="G7" s="682">
        <v>0.14297453250978645</v>
      </c>
      <c r="H7" s="238">
        <v>4</v>
      </c>
      <c r="I7" s="242">
        <v>0.16666666666666666</v>
      </c>
      <c r="J7" s="689">
        <v>2826.4100000000003</v>
      </c>
      <c r="K7" s="682">
        <v>0.85702546749021358</v>
      </c>
      <c r="L7" s="238">
        <v>20</v>
      </c>
      <c r="M7" s="242">
        <v>0.83333333333333337</v>
      </c>
    </row>
    <row r="8" spans="1:13" ht="14.4" customHeight="1" x14ac:dyDescent="0.3">
      <c r="A8" s="666" t="s">
        <v>1922</v>
      </c>
      <c r="B8" s="237">
        <v>9066.64</v>
      </c>
      <c r="C8" s="671">
        <v>1</v>
      </c>
      <c r="D8" s="676">
        <v>45</v>
      </c>
      <c r="E8" s="686" t="s">
        <v>1922</v>
      </c>
      <c r="F8" s="237">
        <v>2021.2000000000003</v>
      </c>
      <c r="G8" s="682">
        <v>0.22292712625625374</v>
      </c>
      <c r="H8" s="238">
        <v>9</v>
      </c>
      <c r="I8" s="242">
        <v>0.2</v>
      </c>
      <c r="J8" s="689">
        <v>7045.44</v>
      </c>
      <c r="K8" s="682">
        <v>0.77707287374374634</v>
      </c>
      <c r="L8" s="238">
        <v>36</v>
      </c>
      <c r="M8" s="242">
        <v>0.8</v>
      </c>
    </row>
    <row r="9" spans="1:13" ht="14.4" customHeight="1" x14ac:dyDescent="0.3">
      <c r="A9" s="666" t="s">
        <v>1923</v>
      </c>
      <c r="B9" s="237">
        <v>474.71999999999997</v>
      </c>
      <c r="C9" s="671">
        <v>1</v>
      </c>
      <c r="D9" s="676">
        <v>3</v>
      </c>
      <c r="E9" s="686" t="s">
        <v>1923</v>
      </c>
      <c r="F9" s="237">
        <v>175.2</v>
      </c>
      <c r="G9" s="682">
        <v>0.36905965621840242</v>
      </c>
      <c r="H9" s="238">
        <v>2</v>
      </c>
      <c r="I9" s="242">
        <v>0.66666666666666663</v>
      </c>
      <c r="J9" s="689">
        <v>299.52</v>
      </c>
      <c r="K9" s="682">
        <v>0.63094034378159758</v>
      </c>
      <c r="L9" s="238">
        <v>1</v>
      </c>
      <c r="M9" s="242">
        <v>0.33333333333333331</v>
      </c>
    </row>
    <row r="10" spans="1:13" ht="14.4" customHeight="1" x14ac:dyDescent="0.3">
      <c r="A10" s="666" t="s">
        <v>1924</v>
      </c>
      <c r="B10" s="237">
        <v>76146.089999999967</v>
      </c>
      <c r="C10" s="671">
        <v>1</v>
      </c>
      <c r="D10" s="676">
        <v>148.5</v>
      </c>
      <c r="E10" s="686" t="s">
        <v>1924</v>
      </c>
      <c r="F10" s="237">
        <v>43369.719999999987</v>
      </c>
      <c r="G10" s="682">
        <v>0.56955938249751237</v>
      </c>
      <c r="H10" s="238">
        <v>81.5</v>
      </c>
      <c r="I10" s="242">
        <v>0.54882154882154888</v>
      </c>
      <c r="J10" s="689">
        <v>32776.369999999988</v>
      </c>
      <c r="K10" s="682">
        <v>0.43044061750248769</v>
      </c>
      <c r="L10" s="238">
        <v>67</v>
      </c>
      <c r="M10" s="242">
        <v>0.45117845117845118</v>
      </c>
    </row>
    <row r="11" spans="1:13" ht="14.4" customHeight="1" x14ac:dyDescent="0.3">
      <c r="A11" s="666" t="s">
        <v>1925</v>
      </c>
      <c r="B11" s="237">
        <v>5861.5300000000016</v>
      </c>
      <c r="C11" s="671">
        <v>1</v>
      </c>
      <c r="D11" s="676">
        <v>25</v>
      </c>
      <c r="E11" s="686" t="s">
        <v>1925</v>
      </c>
      <c r="F11" s="237">
        <v>5667.7200000000012</v>
      </c>
      <c r="G11" s="682">
        <v>0.96693525410600978</v>
      </c>
      <c r="H11" s="238">
        <v>23</v>
      </c>
      <c r="I11" s="242">
        <v>0.92</v>
      </c>
      <c r="J11" s="689">
        <v>193.81</v>
      </c>
      <c r="K11" s="682">
        <v>3.3064745893990125E-2</v>
      </c>
      <c r="L11" s="238">
        <v>2</v>
      </c>
      <c r="M11" s="242">
        <v>0.08</v>
      </c>
    </row>
    <row r="12" spans="1:13" ht="14.4" customHeight="1" x14ac:dyDescent="0.3">
      <c r="A12" s="666" t="s">
        <v>1926</v>
      </c>
      <c r="B12" s="237">
        <v>5211.5000000000009</v>
      </c>
      <c r="C12" s="671">
        <v>1</v>
      </c>
      <c r="D12" s="676">
        <v>37</v>
      </c>
      <c r="E12" s="686" t="s">
        <v>1926</v>
      </c>
      <c r="F12" s="237">
        <v>286.89</v>
      </c>
      <c r="G12" s="682">
        <v>5.504940995874507E-2</v>
      </c>
      <c r="H12" s="238">
        <v>3</v>
      </c>
      <c r="I12" s="242">
        <v>8.1081081081081086E-2</v>
      </c>
      <c r="J12" s="689">
        <v>4924.6100000000006</v>
      </c>
      <c r="K12" s="682">
        <v>0.94495059004125481</v>
      </c>
      <c r="L12" s="238">
        <v>34</v>
      </c>
      <c r="M12" s="242">
        <v>0.91891891891891897</v>
      </c>
    </row>
    <row r="13" spans="1:13" ht="14.4" customHeight="1" x14ac:dyDescent="0.3">
      <c r="A13" s="666" t="s">
        <v>1927</v>
      </c>
      <c r="B13" s="237">
        <v>3169.3199999999997</v>
      </c>
      <c r="C13" s="671">
        <v>1</v>
      </c>
      <c r="D13" s="676">
        <v>2</v>
      </c>
      <c r="E13" s="686" t="s">
        <v>1927</v>
      </c>
      <c r="F13" s="237"/>
      <c r="G13" s="682">
        <v>0</v>
      </c>
      <c r="H13" s="238"/>
      <c r="I13" s="242">
        <v>0</v>
      </c>
      <c r="J13" s="689">
        <v>3169.3199999999997</v>
      </c>
      <c r="K13" s="682">
        <v>1</v>
      </c>
      <c r="L13" s="238">
        <v>2</v>
      </c>
      <c r="M13" s="242">
        <v>1</v>
      </c>
    </row>
    <row r="14" spans="1:13" ht="14.4" customHeight="1" x14ac:dyDescent="0.3">
      <c r="A14" s="666" t="s">
        <v>1928</v>
      </c>
      <c r="B14" s="237">
        <v>1556.54</v>
      </c>
      <c r="C14" s="671">
        <v>1</v>
      </c>
      <c r="D14" s="676">
        <v>11</v>
      </c>
      <c r="E14" s="686" t="s">
        <v>1928</v>
      </c>
      <c r="F14" s="237"/>
      <c r="G14" s="682">
        <v>0</v>
      </c>
      <c r="H14" s="238"/>
      <c r="I14" s="242">
        <v>0</v>
      </c>
      <c r="J14" s="689">
        <v>1556.54</v>
      </c>
      <c r="K14" s="682">
        <v>1</v>
      </c>
      <c r="L14" s="238">
        <v>11</v>
      </c>
      <c r="M14" s="242">
        <v>1</v>
      </c>
    </row>
    <row r="15" spans="1:13" ht="14.4" customHeight="1" x14ac:dyDescent="0.3">
      <c r="A15" s="666" t="s">
        <v>1929</v>
      </c>
      <c r="B15" s="237">
        <v>25822.639999999999</v>
      </c>
      <c r="C15" s="671">
        <v>1</v>
      </c>
      <c r="D15" s="676">
        <v>77</v>
      </c>
      <c r="E15" s="686" t="s">
        <v>1929</v>
      </c>
      <c r="F15" s="237">
        <v>12955.04</v>
      </c>
      <c r="G15" s="682">
        <v>0.50169308792594414</v>
      </c>
      <c r="H15" s="238">
        <v>47</v>
      </c>
      <c r="I15" s="242">
        <v>0.61038961038961037</v>
      </c>
      <c r="J15" s="689">
        <v>12867.6</v>
      </c>
      <c r="K15" s="682">
        <v>0.49830691207405597</v>
      </c>
      <c r="L15" s="238">
        <v>30</v>
      </c>
      <c r="M15" s="242">
        <v>0.38961038961038963</v>
      </c>
    </row>
    <row r="16" spans="1:13" ht="14.4" customHeight="1" thickBot="1" x14ac:dyDescent="0.35">
      <c r="A16" s="667" t="s">
        <v>1930</v>
      </c>
      <c r="B16" s="672">
        <v>222.25</v>
      </c>
      <c r="C16" s="673">
        <v>1</v>
      </c>
      <c r="D16" s="677">
        <v>1</v>
      </c>
      <c r="E16" s="687" t="s">
        <v>1930</v>
      </c>
      <c r="F16" s="672">
        <v>222.25</v>
      </c>
      <c r="G16" s="683">
        <v>1</v>
      </c>
      <c r="H16" s="674">
        <v>1</v>
      </c>
      <c r="I16" s="684">
        <v>1</v>
      </c>
      <c r="J16" s="690"/>
      <c r="K16" s="683">
        <v>0</v>
      </c>
      <c r="L16" s="674"/>
      <c r="M16" s="684">
        <v>0</v>
      </c>
    </row>
  </sheetData>
  <autoFilter ref="A4:N4"/>
  <mergeCells count="4">
    <mergeCell ref="A1:M1"/>
    <mergeCell ref="B3:D3"/>
    <mergeCell ref="F3:I3"/>
    <mergeCell ref="J3:M3"/>
  </mergeCells>
  <conditionalFormatting sqref="G4:G1048576">
    <cfRule type="cellIs" dxfId="35" priority="3" stopIfTrue="1" operator="lessThan">
      <formula>0.6</formula>
    </cfRule>
  </conditionalFormatting>
  <conditionalFormatting sqref="J5:J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{E480ADD4-2810-4060-A9FE-A649FEFEF1AC}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80ADD4-2810-4060-A9FE-A649FEFEF1AC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J5:J1048576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theme="0" tint="-0.249977111117893"/>
    <pageSetUpPr fitToPage="1"/>
  </sheetPr>
  <dimension ref="A1:U419"/>
  <sheetViews>
    <sheetView showGridLines="0" showRowColHeaders="0" workbookViewId="0">
      <pane ySplit="6" topLeftCell="A7" activePane="bottomLeft" state="frozen"/>
      <selection activeCell="N30" sqref="N30"/>
      <selection pane="bottomLeft" sqref="A1:U1"/>
    </sheetView>
  </sheetViews>
  <sheetFormatPr defaultRowHeight="14.4" customHeight="1" outlineLevelCol="1" x14ac:dyDescent="0.3"/>
  <cols>
    <col min="1" max="1" width="9.77734375" style="260" hidden="1" customWidth="1" outlineLevel="1"/>
    <col min="2" max="2" width="28.33203125" style="260" hidden="1" customWidth="1" outlineLevel="1"/>
    <col min="3" max="3" width="9" style="260" customWidth="1" collapsed="1"/>
    <col min="4" max="4" width="18.77734375" style="354" customWidth="1"/>
    <col min="5" max="5" width="13.5546875" style="344" customWidth="1"/>
    <col min="6" max="6" width="6" style="260" bestFit="1" customWidth="1"/>
    <col min="7" max="7" width="8.77734375" style="260" customWidth="1"/>
    <col min="8" max="8" width="5" style="260" bestFit="1" customWidth="1"/>
    <col min="9" max="9" width="8.5546875" style="260" hidden="1" customWidth="1" outlineLevel="1"/>
    <col min="10" max="10" width="25.77734375" style="260" customWidth="1" collapsed="1"/>
    <col min="11" max="11" width="8.77734375" style="260" customWidth="1"/>
    <col min="12" max="12" width="7.77734375" style="345" customWidth="1"/>
    <col min="13" max="13" width="11.109375" style="345" customWidth="1"/>
    <col min="14" max="14" width="7.77734375" style="260" customWidth="1"/>
    <col min="15" max="15" width="7.77734375" style="355" customWidth="1"/>
    <col min="16" max="16" width="11.109375" style="345" customWidth="1"/>
    <col min="17" max="17" width="5.44140625" style="346" bestFit="1" customWidth="1"/>
    <col min="18" max="18" width="7.77734375" style="260" customWidth="1"/>
    <col min="19" max="19" width="5.44140625" style="346" bestFit="1" customWidth="1"/>
    <col min="20" max="20" width="7.77734375" style="355" customWidth="1"/>
    <col min="21" max="21" width="5.44140625" style="346" bestFit="1" customWidth="1"/>
    <col min="22" max="16384" width="8.88671875" style="260"/>
  </cols>
  <sheetData>
    <row r="1" spans="1:21" ht="18.600000000000001" customHeight="1" thickBot="1" x14ac:dyDescent="0.4">
      <c r="A1" s="486" t="s">
        <v>2488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</row>
    <row r="2" spans="1:21" ht="14.4" customHeight="1" thickBot="1" x14ac:dyDescent="0.35">
      <c r="A2" s="389" t="s">
        <v>298</v>
      </c>
      <c r="B2" s="352"/>
      <c r="C2" s="342"/>
      <c r="D2" s="342"/>
      <c r="E2" s="353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</row>
    <row r="3" spans="1:21" ht="14.4" customHeight="1" thickBot="1" x14ac:dyDescent="0.35">
      <c r="A3" s="511"/>
      <c r="B3" s="512"/>
      <c r="C3" s="512"/>
      <c r="D3" s="512"/>
      <c r="E3" s="512"/>
      <c r="F3" s="512"/>
      <c r="G3" s="512"/>
      <c r="H3" s="512"/>
      <c r="I3" s="512"/>
      <c r="J3" s="512"/>
      <c r="K3" s="513" t="s">
        <v>163</v>
      </c>
      <c r="L3" s="514"/>
      <c r="M3" s="70">
        <f>SUBTOTAL(9,M7:M1048576)</f>
        <v>190251.82999999993</v>
      </c>
      <c r="N3" s="70">
        <f>SUBTOTAL(9,N7:N1048576)</f>
        <v>1083</v>
      </c>
      <c r="O3" s="70">
        <f>SUBTOTAL(9,O7:O1048576)</f>
        <v>446.5</v>
      </c>
      <c r="P3" s="70">
        <f>SUBTOTAL(9,P7:P1048576)</f>
        <v>94634.420000000013</v>
      </c>
      <c r="Q3" s="71">
        <f>IF(M3=0,0,P3/M3)</f>
        <v>0.49741660829228318</v>
      </c>
      <c r="R3" s="70">
        <f>SUBTOTAL(9,R7:R1048576)</f>
        <v>518</v>
      </c>
      <c r="S3" s="71">
        <f>IF(N3=0,0,R3/N3)</f>
        <v>0.47830101569713757</v>
      </c>
      <c r="T3" s="70">
        <f>SUBTOTAL(9,T7:T1048576)</f>
        <v>199.5</v>
      </c>
      <c r="U3" s="72">
        <f>IF(O3=0,0,T3/O3)</f>
        <v>0.44680851063829785</v>
      </c>
    </row>
    <row r="4" spans="1:21" ht="14.4" customHeight="1" x14ac:dyDescent="0.3">
      <c r="A4" s="73"/>
      <c r="B4" s="74"/>
      <c r="C4" s="74"/>
      <c r="D4" s="75"/>
      <c r="E4" s="275"/>
      <c r="F4" s="74"/>
      <c r="G4" s="74"/>
      <c r="H4" s="74"/>
      <c r="I4" s="74"/>
      <c r="J4" s="74"/>
      <c r="K4" s="74"/>
      <c r="L4" s="74"/>
      <c r="M4" s="515" t="s">
        <v>18</v>
      </c>
      <c r="N4" s="516"/>
      <c r="O4" s="516"/>
      <c r="P4" s="517" t="s">
        <v>24</v>
      </c>
      <c r="Q4" s="516"/>
      <c r="R4" s="516"/>
      <c r="S4" s="516"/>
      <c r="T4" s="516"/>
      <c r="U4" s="518"/>
    </row>
    <row r="5" spans="1:21" ht="14.4" customHeight="1" thickBot="1" x14ac:dyDescent="0.35">
      <c r="A5" s="76"/>
      <c r="B5" s="77"/>
      <c r="C5" s="74"/>
      <c r="D5" s="75"/>
      <c r="E5" s="275"/>
      <c r="F5" s="74"/>
      <c r="G5" s="74"/>
      <c r="H5" s="74"/>
      <c r="I5" s="74"/>
      <c r="J5" s="74"/>
      <c r="K5" s="74"/>
      <c r="L5" s="74"/>
      <c r="M5" s="110" t="s">
        <v>25</v>
      </c>
      <c r="N5" s="111" t="s">
        <v>16</v>
      </c>
      <c r="O5" s="111" t="s">
        <v>23</v>
      </c>
      <c r="P5" s="508" t="s">
        <v>25</v>
      </c>
      <c r="Q5" s="509"/>
      <c r="R5" s="508" t="s">
        <v>16</v>
      </c>
      <c r="S5" s="509"/>
      <c r="T5" s="508" t="s">
        <v>23</v>
      </c>
      <c r="U5" s="510"/>
    </row>
    <row r="6" spans="1:21" s="344" customFormat="1" ht="14.4" customHeight="1" thickBot="1" x14ac:dyDescent="0.35">
      <c r="A6" s="691" t="s">
        <v>26</v>
      </c>
      <c r="B6" s="692" t="s">
        <v>8</v>
      </c>
      <c r="C6" s="691" t="s">
        <v>27</v>
      </c>
      <c r="D6" s="692" t="s">
        <v>9</v>
      </c>
      <c r="E6" s="692" t="s">
        <v>198</v>
      </c>
      <c r="F6" s="692" t="s">
        <v>28</v>
      </c>
      <c r="G6" s="692" t="s">
        <v>29</v>
      </c>
      <c r="H6" s="692" t="s">
        <v>11</v>
      </c>
      <c r="I6" s="692" t="s">
        <v>13</v>
      </c>
      <c r="J6" s="692" t="s">
        <v>14</v>
      </c>
      <c r="K6" s="692" t="s">
        <v>15</v>
      </c>
      <c r="L6" s="692" t="s">
        <v>30</v>
      </c>
      <c r="M6" s="693" t="s">
        <v>17</v>
      </c>
      <c r="N6" s="694" t="s">
        <v>31</v>
      </c>
      <c r="O6" s="694" t="s">
        <v>31</v>
      </c>
      <c r="P6" s="694" t="s">
        <v>17</v>
      </c>
      <c r="Q6" s="694" t="s">
        <v>5</v>
      </c>
      <c r="R6" s="694" t="s">
        <v>31</v>
      </c>
      <c r="S6" s="694" t="s">
        <v>5</v>
      </c>
      <c r="T6" s="694" t="s">
        <v>31</v>
      </c>
      <c r="U6" s="695" t="s">
        <v>5</v>
      </c>
    </row>
    <row r="7" spans="1:21" ht="14.4" customHeight="1" x14ac:dyDescent="0.3">
      <c r="A7" s="696">
        <v>50</v>
      </c>
      <c r="B7" s="697" t="s">
        <v>536</v>
      </c>
      <c r="C7" s="697">
        <v>89301501</v>
      </c>
      <c r="D7" s="698" t="s">
        <v>2486</v>
      </c>
      <c r="E7" s="699" t="s">
        <v>1919</v>
      </c>
      <c r="F7" s="697" t="s">
        <v>1912</v>
      </c>
      <c r="G7" s="697" t="s">
        <v>1931</v>
      </c>
      <c r="H7" s="697" t="s">
        <v>535</v>
      </c>
      <c r="I7" s="697" t="s">
        <v>1932</v>
      </c>
      <c r="J7" s="697" t="s">
        <v>1152</v>
      </c>
      <c r="K7" s="697" t="s">
        <v>1933</v>
      </c>
      <c r="L7" s="700">
        <v>0</v>
      </c>
      <c r="M7" s="700">
        <v>0</v>
      </c>
      <c r="N7" s="697">
        <v>1</v>
      </c>
      <c r="O7" s="701">
        <v>0.5</v>
      </c>
      <c r="P7" s="700"/>
      <c r="Q7" s="702"/>
      <c r="R7" s="697"/>
      <c r="S7" s="702">
        <v>0</v>
      </c>
      <c r="T7" s="701"/>
      <c r="U7" s="241">
        <v>0</v>
      </c>
    </row>
    <row r="8" spans="1:21" ht="14.4" customHeight="1" x14ac:dyDescent="0.3">
      <c r="A8" s="680">
        <v>50</v>
      </c>
      <c r="B8" s="671" t="s">
        <v>536</v>
      </c>
      <c r="C8" s="671">
        <v>89301501</v>
      </c>
      <c r="D8" s="703" t="s">
        <v>2486</v>
      </c>
      <c r="E8" s="704" t="s">
        <v>1919</v>
      </c>
      <c r="F8" s="671" t="s">
        <v>1912</v>
      </c>
      <c r="G8" s="671" t="s">
        <v>1934</v>
      </c>
      <c r="H8" s="671" t="s">
        <v>1039</v>
      </c>
      <c r="I8" s="671" t="s">
        <v>1132</v>
      </c>
      <c r="J8" s="671" t="s">
        <v>1137</v>
      </c>
      <c r="K8" s="671" t="s">
        <v>1842</v>
      </c>
      <c r="L8" s="705">
        <v>130.59</v>
      </c>
      <c r="M8" s="705">
        <v>130.59</v>
      </c>
      <c r="N8" s="671">
        <v>1</v>
      </c>
      <c r="O8" s="706">
        <v>0.5</v>
      </c>
      <c r="P8" s="705">
        <v>130.59</v>
      </c>
      <c r="Q8" s="682">
        <v>1</v>
      </c>
      <c r="R8" s="671">
        <v>1</v>
      </c>
      <c r="S8" s="682">
        <v>1</v>
      </c>
      <c r="T8" s="706">
        <v>0.5</v>
      </c>
      <c r="U8" s="242">
        <v>1</v>
      </c>
    </row>
    <row r="9" spans="1:21" ht="14.4" customHeight="1" x14ac:dyDescent="0.3">
      <c r="A9" s="680">
        <v>50</v>
      </c>
      <c r="B9" s="671" t="s">
        <v>536</v>
      </c>
      <c r="C9" s="671">
        <v>89301501</v>
      </c>
      <c r="D9" s="703" t="s">
        <v>2486</v>
      </c>
      <c r="E9" s="704" t="s">
        <v>1919</v>
      </c>
      <c r="F9" s="671" t="s">
        <v>1912</v>
      </c>
      <c r="G9" s="671" t="s">
        <v>1935</v>
      </c>
      <c r="H9" s="671" t="s">
        <v>1039</v>
      </c>
      <c r="I9" s="671" t="s">
        <v>1088</v>
      </c>
      <c r="J9" s="671" t="s">
        <v>1089</v>
      </c>
      <c r="K9" s="671" t="s">
        <v>1090</v>
      </c>
      <c r="L9" s="705">
        <v>44.89</v>
      </c>
      <c r="M9" s="705">
        <v>44.89</v>
      </c>
      <c r="N9" s="671">
        <v>1</v>
      </c>
      <c r="O9" s="706">
        <v>0.5</v>
      </c>
      <c r="P9" s="705"/>
      <c r="Q9" s="682">
        <v>0</v>
      </c>
      <c r="R9" s="671"/>
      <c r="S9" s="682">
        <v>0</v>
      </c>
      <c r="T9" s="706"/>
      <c r="U9" s="242">
        <v>0</v>
      </c>
    </row>
    <row r="10" spans="1:21" ht="14.4" customHeight="1" x14ac:dyDescent="0.3">
      <c r="A10" s="680">
        <v>50</v>
      </c>
      <c r="B10" s="671" t="s">
        <v>536</v>
      </c>
      <c r="C10" s="671">
        <v>89301501</v>
      </c>
      <c r="D10" s="703" t="s">
        <v>2486</v>
      </c>
      <c r="E10" s="704" t="s">
        <v>1919</v>
      </c>
      <c r="F10" s="671" t="s">
        <v>1912</v>
      </c>
      <c r="G10" s="671" t="s">
        <v>1936</v>
      </c>
      <c r="H10" s="671" t="s">
        <v>535</v>
      </c>
      <c r="I10" s="671" t="s">
        <v>1937</v>
      </c>
      <c r="J10" s="671" t="s">
        <v>1156</v>
      </c>
      <c r="K10" s="671" t="s">
        <v>1938</v>
      </c>
      <c r="L10" s="705">
        <v>0</v>
      </c>
      <c r="M10" s="705">
        <v>0</v>
      </c>
      <c r="N10" s="671">
        <v>1</v>
      </c>
      <c r="O10" s="706">
        <v>0.5</v>
      </c>
      <c r="P10" s="705"/>
      <c r="Q10" s="682"/>
      <c r="R10" s="671"/>
      <c r="S10" s="682">
        <v>0</v>
      </c>
      <c r="T10" s="706"/>
      <c r="U10" s="242">
        <v>0</v>
      </c>
    </row>
    <row r="11" spans="1:21" ht="14.4" customHeight="1" x14ac:dyDescent="0.3">
      <c r="A11" s="680">
        <v>50</v>
      </c>
      <c r="B11" s="671" t="s">
        <v>536</v>
      </c>
      <c r="C11" s="671">
        <v>89301501</v>
      </c>
      <c r="D11" s="703" t="s">
        <v>2486</v>
      </c>
      <c r="E11" s="704" t="s">
        <v>1919</v>
      </c>
      <c r="F11" s="671" t="s">
        <v>1912</v>
      </c>
      <c r="G11" s="671" t="s">
        <v>1939</v>
      </c>
      <c r="H11" s="671" t="s">
        <v>535</v>
      </c>
      <c r="I11" s="671" t="s">
        <v>1940</v>
      </c>
      <c r="J11" s="671" t="s">
        <v>1941</v>
      </c>
      <c r="K11" s="671" t="s">
        <v>1942</v>
      </c>
      <c r="L11" s="705">
        <v>0</v>
      </c>
      <c r="M11" s="705">
        <v>0</v>
      </c>
      <c r="N11" s="671">
        <v>1</v>
      </c>
      <c r="O11" s="706">
        <v>0.5</v>
      </c>
      <c r="P11" s="705">
        <v>0</v>
      </c>
      <c r="Q11" s="682"/>
      <c r="R11" s="671">
        <v>1</v>
      </c>
      <c r="S11" s="682">
        <v>1</v>
      </c>
      <c r="T11" s="706">
        <v>0.5</v>
      </c>
      <c r="U11" s="242">
        <v>1</v>
      </c>
    </row>
    <row r="12" spans="1:21" ht="14.4" customHeight="1" x14ac:dyDescent="0.3">
      <c r="A12" s="680">
        <v>50</v>
      </c>
      <c r="B12" s="671" t="s">
        <v>536</v>
      </c>
      <c r="C12" s="671">
        <v>89301501</v>
      </c>
      <c r="D12" s="703" t="s">
        <v>2486</v>
      </c>
      <c r="E12" s="704" t="s">
        <v>1919</v>
      </c>
      <c r="F12" s="671" t="s">
        <v>1912</v>
      </c>
      <c r="G12" s="671" t="s">
        <v>1943</v>
      </c>
      <c r="H12" s="671" t="s">
        <v>1039</v>
      </c>
      <c r="I12" s="671" t="s">
        <v>1944</v>
      </c>
      <c r="J12" s="671" t="s">
        <v>1945</v>
      </c>
      <c r="K12" s="671" t="s">
        <v>1946</v>
      </c>
      <c r="L12" s="705">
        <v>65.75</v>
      </c>
      <c r="M12" s="705">
        <v>65.75</v>
      </c>
      <c r="N12" s="671">
        <v>1</v>
      </c>
      <c r="O12" s="706">
        <v>0.5</v>
      </c>
      <c r="P12" s="705">
        <v>65.75</v>
      </c>
      <c r="Q12" s="682">
        <v>1</v>
      </c>
      <c r="R12" s="671">
        <v>1</v>
      </c>
      <c r="S12" s="682">
        <v>1</v>
      </c>
      <c r="T12" s="706">
        <v>0.5</v>
      </c>
      <c r="U12" s="242">
        <v>1</v>
      </c>
    </row>
    <row r="13" spans="1:21" ht="14.4" customHeight="1" x14ac:dyDescent="0.3">
      <c r="A13" s="680">
        <v>50</v>
      </c>
      <c r="B13" s="671" t="s">
        <v>536</v>
      </c>
      <c r="C13" s="671">
        <v>89301501</v>
      </c>
      <c r="D13" s="703" t="s">
        <v>2486</v>
      </c>
      <c r="E13" s="704" t="s">
        <v>1919</v>
      </c>
      <c r="F13" s="671" t="s">
        <v>1912</v>
      </c>
      <c r="G13" s="671" t="s">
        <v>1947</v>
      </c>
      <c r="H13" s="671" t="s">
        <v>535</v>
      </c>
      <c r="I13" s="671" t="s">
        <v>1948</v>
      </c>
      <c r="J13" s="671" t="s">
        <v>1949</v>
      </c>
      <c r="K13" s="671" t="s">
        <v>1950</v>
      </c>
      <c r="L13" s="705">
        <v>40.46</v>
      </c>
      <c r="M13" s="705">
        <v>40.46</v>
      </c>
      <c r="N13" s="671">
        <v>1</v>
      </c>
      <c r="O13" s="706">
        <v>0.5</v>
      </c>
      <c r="P13" s="705"/>
      <c r="Q13" s="682">
        <v>0</v>
      </c>
      <c r="R13" s="671"/>
      <c r="S13" s="682">
        <v>0</v>
      </c>
      <c r="T13" s="706"/>
      <c r="U13" s="242">
        <v>0</v>
      </c>
    </row>
    <row r="14" spans="1:21" ht="14.4" customHeight="1" x14ac:dyDescent="0.3">
      <c r="A14" s="680">
        <v>50</v>
      </c>
      <c r="B14" s="671" t="s">
        <v>536</v>
      </c>
      <c r="C14" s="671">
        <v>89301501</v>
      </c>
      <c r="D14" s="703" t="s">
        <v>2486</v>
      </c>
      <c r="E14" s="704" t="s">
        <v>1919</v>
      </c>
      <c r="F14" s="671" t="s">
        <v>1912</v>
      </c>
      <c r="G14" s="671" t="s">
        <v>1951</v>
      </c>
      <c r="H14" s="671" t="s">
        <v>535</v>
      </c>
      <c r="I14" s="671" t="s">
        <v>878</v>
      </c>
      <c r="J14" s="671" t="s">
        <v>879</v>
      </c>
      <c r="K14" s="671" t="s">
        <v>880</v>
      </c>
      <c r="L14" s="705">
        <v>104.66</v>
      </c>
      <c r="M14" s="705">
        <v>313.98</v>
      </c>
      <c r="N14" s="671">
        <v>3</v>
      </c>
      <c r="O14" s="706">
        <v>1.5</v>
      </c>
      <c r="P14" s="705">
        <v>209.32</v>
      </c>
      <c r="Q14" s="682">
        <v>0.66666666666666663</v>
      </c>
      <c r="R14" s="671">
        <v>2</v>
      </c>
      <c r="S14" s="682">
        <v>0.66666666666666663</v>
      </c>
      <c r="T14" s="706">
        <v>1</v>
      </c>
      <c r="U14" s="242">
        <v>0.66666666666666663</v>
      </c>
    </row>
    <row r="15" spans="1:21" ht="14.4" customHeight="1" x14ac:dyDescent="0.3">
      <c r="A15" s="680">
        <v>50</v>
      </c>
      <c r="B15" s="671" t="s">
        <v>536</v>
      </c>
      <c r="C15" s="671">
        <v>89301501</v>
      </c>
      <c r="D15" s="703" t="s">
        <v>2486</v>
      </c>
      <c r="E15" s="704" t="s">
        <v>1919</v>
      </c>
      <c r="F15" s="671" t="s">
        <v>1912</v>
      </c>
      <c r="G15" s="671" t="s">
        <v>1952</v>
      </c>
      <c r="H15" s="671" t="s">
        <v>535</v>
      </c>
      <c r="I15" s="671" t="s">
        <v>867</v>
      </c>
      <c r="J15" s="671" t="s">
        <v>856</v>
      </c>
      <c r="K15" s="671" t="s">
        <v>868</v>
      </c>
      <c r="L15" s="705">
        <v>12.26</v>
      </c>
      <c r="M15" s="705">
        <v>24.52</v>
      </c>
      <c r="N15" s="671">
        <v>2</v>
      </c>
      <c r="O15" s="706">
        <v>1</v>
      </c>
      <c r="P15" s="705">
        <v>24.52</v>
      </c>
      <c r="Q15" s="682">
        <v>1</v>
      </c>
      <c r="R15" s="671">
        <v>2</v>
      </c>
      <c r="S15" s="682">
        <v>1</v>
      </c>
      <c r="T15" s="706">
        <v>1</v>
      </c>
      <c r="U15" s="242">
        <v>1</v>
      </c>
    </row>
    <row r="16" spans="1:21" ht="14.4" customHeight="1" x14ac:dyDescent="0.3">
      <c r="A16" s="680">
        <v>50</v>
      </c>
      <c r="B16" s="671" t="s">
        <v>536</v>
      </c>
      <c r="C16" s="671">
        <v>89301501</v>
      </c>
      <c r="D16" s="703" t="s">
        <v>2486</v>
      </c>
      <c r="E16" s="704" t="s">
        <v>1919</v>
      </c>
      <c r="F16" s="671" t="s">
        <v>1912</v>
      </c>
      <c r="G16" s="671" t="s">
        <v>1953</v>
      </c>
      <c r="H16" s="671" t="s">
        <v>535</v>
      </c>
      <c r="I16" s="671" t="s">
        <v>1954</v>
      </c>
      <c r="J16" s="671" t="s">
        <v>1220</v>
      </c>
      <c r="K16" s="671" t="s">
        <v>1955</v>
      </c>
      <c r="L16" s="705">
        <v>0</v>
      </c>
      <c r="M16" s="705">
        <v>0</v>
      </c>
      <c r="N16" s="671">
        <v>1</v>
      </c>
      <c r="O16" s="706">
        <v>0.5</v>
      </c>
      <c r="P16" s="705">
        <v>0</v>
      </c>
      <c r="Q16" s="682"/>
      <c r="R16" s="671">
        <v>1</v>
      </c>
      <c r="S16" s="682">
        <v>1</v>
      </c>
      <c r="T16" s="706">
        <v>0.5</v>
      </c>
      <c r="U16" s="242">
        <v>1</v>
      </c>
    </row>
    <row r="17" spans="1:21" ht="14.4" customHeight="1" x14ac:dyDescent="0.3">
      <c r="A17" s="680">
        <v>50</v>
      </c>
      <c r="B17" s="671" t="s">
        <v>536</v>
      </c>
      <c r="C17" s="671">
        <v>89301501</v>
      </c>
      <c r="D17" s="703" t="s">
        <v>2486</v>
      </c>
      <c r="E17" s="704" t="s">
        <v>1919</v>
      </c>
      <c r="F17" s="671" t="s">
        <v>1912</v>
      </c>
      <c r="G17" s="671" t="s">
        <v>1956</v>
      </c>
      <c r="H17" s="671" t="s">
        <v>535</v>
      </c>
      <c r="I17" s="671" t="s">
        <v>1957</v>
      </c>
      <c r="J17" s="671" t="s">
        <v>1958</v>
      </c>
      <c r="K17" s="671" t="s">
        <v>1959</v>
      </c>
      <c r="L17" s="705">
        <v>44.89</v>
      </c>
      <c r="M17" s="705">
        <v>44.89</v>
      </c>
      <c r="N17" s="671">
        <v>1</v>
      </c>
      <c r="O17" s="706">
        <v>0.5</v>
      </c>
      <c r="P17" s="705">
        <v>44.89</v>
      </c>
      <c r="Q17" s="682">
        <v>1</v>
      </c>
      <c r="R17" s="671">
        <v>1</v>
      </c>
      <c r="S17" s="682">
        <v>1</v>
      </c>
      <c r="T17" s="706">
        <v>0.5</v>
      </c>
      <c r="U17" s="242">
        <v>1</v>
      </c>
    </row>
    <row r="18" spans="1:21" ht="14.4" customHeight="1" x14ac:dyDescent="0.3">
      <c r="A18" s="680">
        <v>50</v>
      </c>
      <c r="B18" s="671" t="s">
        <v>536</v>
      </c>
      <c r="C18" s="671">
        <v>89301501</v>
      </c>
      <c r="D18" s="703" t="s">
        <v>2486</v>
      </c>
      <c r="E18" s="704" t="s">
        <v>1919</v>
      </c>
      <c r="F18" s="671" t="s">
        <v>1912</v>
      </c>
      <c r="G18" s="671" t="s">
        <v>1956</v>
      </c>
      <c r="H18" s="671" t="s">
        <v>535</v>
      </c>
      <c r="I18" s="671" t="s">
        <v>1960</v>
      </c>
      <c r="J18" s="671" t="s">
        <v>949</v>
      </c>
      <c r="K18" s="671" t="s">
        <v>1961</v>
      </c>
      <c r="L18" s="705">
        <v>0</v>
      </c>
      <c r="M18" s="705">
        <v>0</v>
      </c>
      <c r="N18" s="671">
        <v>1</v>
      </c>
      <c r="O18" s="706">
        <v>1</v>
      </c>
      <c r="P18" s="705">
        <v>0</v>
      </c>
      <c r="Q18" s="682"/>
      <c r="R18" s="671">
        <v>1</v>
      </c>
      <c r="S18" s="682">
        <v>1</v>
      </c>
      <c r="T18" s="706">
        <v>1</v>
      </c>
      <c r="U18" s="242">
        <v>1</v>
      </c>
    </row>
    <row r="19" spans="1:21" ht="14.4" customHeight="1" x14ac:dyDescent="0.3">
      <c r="A19" s="680">
        <v>50</v>
      </c>
      <c r="B19" s="671" t="s">
        <v>536</v>
      </c>
      <c r="C19" s="671">
        <v>89301501</v>
      </c>
      <c r="D19" s="703" t="s">
        <v>2486</v>
      </c>
      <c r="E19" s="704" t="s">
        <v>1919</v>
      </c>
      <c r="F19" s="671" t="s">
        <v>1912</v>
      </c>
      <c r="G19" s="671" t="s">
        <v>1962</v>
      </c>
      <c r="H19" s="671" t="s">
        <v>1039</v>
      </c>
      <c r="I19" s="671" t="s">
        <v>1125</v>
      </c>
      <c r="J19" s="671" t="s">
        <v>1119</v>
      </c>
      <c r="K19" s="671" t="s">
        <v>1823</v>
      </c>
      <c r="L19" s="705">
        <v>2916.16</v>
      </c>
      <c r="M19" s="705">
        <v>2916.16</v>
      </c>
      <c r="N19" s="671">
        <v>1</v>
      </c>
      <c r="O19" s="706">
        <v>1</v>
      </c>
      <c r="P19" s="705"/>
      <c r="Q19" s="682">
        <v>0</v>
      </c>
      <c r="R19" s="671"/>
      <c r="S19" s="682">
        <v>0</v>
      </c>
      <c r="T19" s="706"/>
      <c r="U19" s="242">
        <v>0</v>
      </c>
    </row>
    <row r="20" spans="1:21" ht="14.4" customHeight="1" x14ac:dyDescent="0.3">
      <c r="A20" s="680">
        <v>50</v>
      </c>
      <c r="B20" s="671" t="s">
        <v>536</v>
      </c>
      <c r="C20" s="671">
        <v>89301501</v>
      </c>
      <c r="D20" s="703" t="s">
        <v>2486</v>
      </c>
      <c r="E20" s="704" t="s">
        <v>1919</v>
      </c>
      <c r="F20" s="671" t="s">
        <v>1912</v>
      </c>
      <c r="G20" s="671" t="s">
        <v>1963</v>
      </c>
      <c r="H20" s="671" t="s">
        <v>535</v>
      </c>
      <c r="I20" s="671" t="s">
        <v>1964</v>
      </c>
      <c r="J20" s="671" t="s">
        <v>1965</v>
      </c>
      <c r="K20" s="671" t="s">
        <v>1938</v>
      </c>
      <c r="L20" s="705">
        <v>0</v>
      </c>
      <c r="M20" s="705">
        <v>0</v>
      </c>
      <c r="N20" s="671">
        <v>1</v>
      </c>
      <c r="O20" s="706">
        <v>0.5</v>
      </c>
      <c r="P20" s="705">
        <v>0</v>
      </c>
      <c r="Q20" s="682"/>
      <c r="R20" s="671">
        <v>1</v>
      </c>
      <c r="S20" s="682">
        <v>1</v>
      </c>
      <c r="T20" s="706">
        <v>0.5</v>
      </c>
      <c r="U20" s="242">
        <v>1</v>
      </c>
    </row>
    <row r="21" spans="1:21" ht="14.4" customHeight="1" x14ac:dyDescent="0.3">
      <c r="A21" s="680">
        <v>50</v>
      </c>
      <c r="B21" s="671" t="s">
        <v>536</v>
      </c>
      <c r="C21" s="671">
        <v>89301501</v>
      </c>
      <c r="D21" s="703" t="s">
        <v>2486</v>
      </c>
      <c r="E21" s="704" t="s">
        <v>1919</v>
      </c>
      <c r="F21" s="671" t="s">
        <v>1912</v>
      </c>
      <c r="G21" s="671" t="s">
        <v>1966</v>
      </c>
      <c r="H21" s="671" t="s">
        <v>535</v>
      </c>
      <c r="I21" s="671" t="s">
        <v>1967</v>
      </c>
      <c r="J21" s="671" t="s">
        <v>1968</v>
      </c>
      <c r="K21" s="671" t="s">
        <v>1218</v>
      </c>
      <c r="L21" s="705">
        <v>214.07</v>
      </c>
      <c r="M21" s="705">
        <v>214.07</v>
      </c>
      <c r="N21" s="671">
        <v>1</v>
      </c>
      <c r="O21" s="706">
        <v>0.5</v>
      </c>
      <c r="P21" s="705"/>
      <c r="Q21" s="682">
        <v>0</v>
      </c>
      <c r="R21" s="671"/>
      <c r="S21" s="682">
        <v>0</v>
      </c>
      <c r="T21" s="706"/>
      <c r="U21" s="242">
        <v>0</v>
      </c>
    </row>
    <row r="22" spans="1:21" ht="14.4" customHeight="1" x14ac:dyDescent="0.3">
      <c r="A22" s="680">
        <v>50</v>
      </c>
      <c r="B22" s="671" t="s">
        <v>536</v>
      </c>
      <c r="C22" s="671">
        <v>89301501</v>
      </c>
      <c r="D22" s="703" t="s">
        <v>2486</v>
      </c>
      <c r="E22" s="704" t="s">
        <v>1919</v>
      </c>
      <c r="F22" s="671" t="s">
        <v>1912</v>
      </c>
      <c r="G22" s="671" t="s">
        <v>1969</v>
      </c>
      <c r="H22" s="671" t="s">
        <v>535</v>
      </c>
      <c r="I22" s="671" t="s">
        <v>1970</v>
      </c>
      <c r="J22" s="671" t="s">
        <v>1111</v>
      </c>
      <c r="K22" s="671" t="s">
        <v>1153</v>
      </c>
      <c r="L22" s="705">
        <v>67.42</v>
      </c>
      <c r="M22" s="705">
        <v>67.42</v>
      </c>
      <c r="N22" s="671">
        <v>1</v>
      </c>
      <c r="O22" s="706">
        <v>0.5</v>
      </c>
      <c r="P22" s="705"/>
      <c r="Q22" s="682">
        <v>0</v>
      </c>
      <c r="R22" s="671"/>
      <c r="S22" s="682">
        <v>0</v>
      </c>
      <c r="T22" s="706"/>
      <c r="U22" s="242">
        <v>0</v>
      </c>
    </row>
    <row r="23" spans="1:21" ht="14.4" customHeight="1" x14ac:dyDescent="0.3">
      <c r="A23" s="680">
        <v>50</v>
      </c>
      <c r="B23" s="671" t="s">
        <v>536</v>
      </c>
      <c r="C23" s="671">
        <v>89301501</v>
      </c>
      <c r="D23" s="703" t="s">
        <v>2486</v>
      </c>
      <c r="E23" s="704" t="s">
        <v>1919</v>
      </c>
      <c r="F23" s="671" t="s">
        <v>1912</v>
      </c>
      <c r="G23" s="671" t="s">
        <v>1971</v>
      </c>
      <c r="H23" s="671" t="s">
        <v>535</v>
      </c>
      <c r="I23" s="671" t="s">
        <v>1972</v>
      </c>
      <c r="J23" s="671" t="s">
        <v>864</v>
      </c>
      <c r="K23" s="671" t="s">
        <v>1973</v>
      </c>
      <c r="L23" s="705">
        <v>112.13</v>
      </c>
      <c r="M23" s="705">
        <v>112.13</v>
      </c>
      <c r="N23" s="671">
        <v>1</v>
      </c>
      <c r="O23" s="706">
        <v>1</v>
      </c>
      <c r="P23" s="705"/>
      <c r="Q23" s="682">
        <v>0</v>
      </c>
      <c r="R23" s="671"/>
      <c r="S23" s="682">
        <v>0</v>
      </c>
      <c r="T23" s="706"/>
      <c r="U23" s="242">
        <v>0</v>
      </c>
    </row>
    <row r="24" spans="1:21" ht="14.4" customHeight="1" x14ac:dyDescent="0.3">
      <c r="A24" s="680">
        <v>50</v>
      </c>
      <c r="B24" s="671" t="s">
        <v>536</v>
      </c>
      <c r="C24" s="671">
        <v>89301501</v>
      </c>
      <c r="D24" s="703" t="s">
        <v>2486</v>
      </c>
      <c r="E24" s="704" t="s">
        <v>1919</v>
      </c>
      <c r="F24" s="671" t="s">
        <v>1912</v>
      </c>
      <c r="G24" s="671" t="s">
        <v>1974</v>
      </c>
      <c r="H24" s="671" t="s">
        <v>1039</v>
      </c>
      <c r="I24" s="671" t="s">
        <v>1140</v>
      </c>
      <c r="J24" s="671" t="s">
        <v>1821</v>
      </c>
      <c r="K24" s="671" t="s">
        <v>1539</v>
      </c>
      <c r="L24" s="705">
        <v>193.14</v>
      </c>
      <c r="M24" s="705">
        <v>193.14</v>
      </c>
      <c r="N24" s="671">
        <v>1</v>
      </c>
      <c r="O24" s="706">
        <v>0.5</v>
      </c>
      <c r="P24" s="705"/>
      <c r="Q24" s="682">
        <v>0</v>
      </c>
      <c r="R24" s="671"/>
      <c r="S24" s="682">
        <v>0</v>
      </c>
      <c r="T24" s="706"/>
      <c r="U24" s="242">
        <v>0</v>
      </c>
    </row>
    <row r="25" spans="1:21" ht="14.4" customHeight="1" x14ac:dyDescent="0.3">
      <c r="A25" s="680">
        <v>50</v>
      </c>
      <c r="B25" s="671" t="s">
        <v>536</v>
      </c>
      <c r="C25" s="671">
        <v>89301501</v>
      </c>
      <c r="D25" s="703" t="s">
        <v>2486</v>
      </c>
      <c r="E25" s="704" t="s">
        <v>1920</v>
      </c>
      <c r="F25" s="671" t="s">
        <v>1912</v>
      </c>
      <c r="G25" s="671" t="s">
        <v>1975</v>
      </c>
      <c r="H25" s="671" t="s">
        <v>1039</v>
      </c>
      <c r="I25" s="671" t="s">
        <v>1051</v>
      </c>
      <c r="J25" s="671" t="s">
        <v>1052</v>
      </c>
      <c r="K25" s="671" t="s">
        <v>1828</v>
      </c>
      <c r="L25" s="705">
        <v>75.28</v>
      </c>
      <c r="M25" s="705">
        <v>75.28</v>
      </c>
      <c r="N25" s="671">
        <v>1</v>
      </c>
      <c r="O25" s="706">
        <v>0.5</v>
      </c>
      <c r="P25" s="705"/>
      <c r="Q25" s="682">
        <v>0</v>
      </c>
      <c r="R25" s="671"/>
      <c r="S25" s="682">
        <v>0</v>
      </c>
      <c r="T25" s="706"/>
      <c r="U25" s="242">
        <v>0</v>
      </c>
    </row>
    <row r="26" spans="1:21" ht="14.4" customHeight="1" x14ac:dyDescent="0.3">
      <c r="A26" s="680">
        <v>50</v>
      </c>
      <c r="B26" s="671" t="s">
        <v>536</v>
      </c>
      <c r="C26" s="671">
        <v>89301501</v>
      </c>
      <c r="D26" s="703" t="s">
        <v>2486</v>
      </c>
      <c r="E26" s="704" t="s">
        <v>1920</v>
      </c>
      <c r="F26" s="671" t="s">
        <v>1912</v>
      </c>
      <c r="G26" s="671" t="s">
        <v>1934</v>
      </c>
      <c r="H26" s="671" t="s">
        <v>1039</v>
      </c>
      <c r="I26" s="671" t="s">
        <v>1976</v>
      </c>
      <c r="J26" s="671" t="s">
        <v>1977</v>
      </c>
      <c r="K26" s="671" t="s">
        <v>1978</v>
      </c>
      <c r="L26" s="705">
        <v>312.54000000000002</v>
      </c>
      <c r="M26" s="705">
        <v>312.54000000000002</v>
      </c>
      <c r="N26" s="671">
        <v>1</v>
      </c>
      <c r="O26" s="706">
        <v>0.5</v>
      </c>
      <c r="P26" s="705"/>
      <c r="Q26" s="682">
        <v>0</v>
      </c>
      <c r="R26" s="671"/>
      <c r="S26" s="682">
        <v>0</v>
      </c>
      <c r="T26" s="706"/>
      <c r="U26" s="242">
        <v>0</v>
      </c>
    </row>
    <row r="27" spans="1:21" ht="14.4" customHeight="1" x14ac:dyDescent="0.3">
      <c r="A27" s="680">
        <v>50</v>
      </c>
      <c r="B27" s="671" t="s">
        <v>536</v>
      </c>
      <c r="C27" s="671">
        <v>89301501</v>
      </c>
      <c r="D27" s="703" t="s">
        <v>2486</v>
      </c>
      <c r="E27" s="704" t="s">
        <v>1920</v>
      </c>
      <c r="F27" s="671" t="s">
        <v>1912</v>
      </c>
      <c r="G27" s="671" t="s">
        <v>1934</v>
      </c>
      <c r="H27" s="671" t="s">
        <v>1039</v>
      </c>
      <c r="I27" s="671" t="s">
        <v>1132</v>
      </c>
      <c r="J27" s="671" t="s">
        <v>1137</v>
      </c>
      <c r="K27" s="671" t="s">
        <v>1842</v>
      </c>
      <c r="L27" s="705">
        <v>130.59</v>
      </c>
      <c r="M27" s="705">
        <v>130.59</v>
      </c>
      <c r="N27" s="671">
        <v>1</v>
      </c>
      <c r="O27" s="706">
        <v>0.5</v>
      </c>
      <c r="P27" s="705"/>
      <c r="Q27" s="682">
        <v>0</v>
      </c>
      <c r="R27" s="671"/>
      <c r="S27" s="682">
        <v>0</v>
      </c>
      <c r="T27" s="706"/>
      <c r="U27" s="242">
        <v>0</v>
      </c>
    </row>
    <row r="28" spans="1:21" ht="14.4" customHeight="1" x14ac:dyDescent="0.3">
      <c r="A28" s="680">
        <v>50</v>
      </c>
      <c r="B28" s="671" t="s">
        <v>536</v>
      </c>
      <c r="C28" s="671">
        <v>89301501</v>
      </c>
      <c r="D28" s="703" t="s">
        <v>2486</v>
      </c>
      <c r="E28" s="704" t="s">
        <v>1920</v>
      </c>
      <c r="F28" s="671" t="s">
        <v>1912</v>
      </c>
      <c r="G28" s="671" t="s">
        <v>1979</v>
      </c>
      <c r="H28" s="671" t="s">
        <v>535</v>
      </c>
      <c r="I28" s="671" t="s">
        <v>1980</v>
      </c>
      <c r="J28" s="671" t="s">
        <v>1981</v>
      </c>
      <c r="K28" s="671" t="s">
        <v>1982</v>
      </c>
      <c r="L28" s="705">
        <v>0</v>
      </c>
      <c r="M28" s="705">
        <v>0</v>
      </c>
      <c r="N28" s="671">
        <v>1</v>
      </c>
      <c r="O28" s="706">
        <v>1</v>
      </c>
      <c r="P28" s="705">
        <v>0</v>
      </c>
      <c r="Q28" s="682"/>
      <c r="R28" s="671">
        <v>1</v>
      </c>
      <c r="S28" s="682">
        <v>1</v>
      </c>
      <c r="T28" s="706">
        <v>1</v>
      </c>
      <c r="U28" s="242">
        <v>1</v>
      </c>
    </row>
    <row r="29" spans="1:21" ht="14.4" customHeight="1" x14ac:dyDescent="0.3">
      <c r="A29" s="680">
        <v>50</v>
      </c>
      <c r="B29" s="671" t="s">
        <v>536</v>
      </c>
      <c r="C29" s="671">
        <v>89301501</v>
      </c>
      <c r="D29" s="703" t="s">
        <v>2486</v>
      </c>
      <c r="E29" s="704" t="s">
        <v>1920</v>
      </c>
      <c r="F29" s="671" t="s">
        <v>1912</v>
      </c>
      <c r="G29" s="671" t="s">
        <v>1979</v>
      </c>
      <c r="H29" s="671" t="s">
        <v>535</v>
      </c>
      <c r="I29" s="671" t="s">
        <v>797</v>
      </c>
      <c r="J29" s="671" t="s">
        <v>1981</v>
      </c>
      <c r="K29" s="671" t="s">
        <v>1983</v>
      </c>
      <c r="L29" s="705">
        <v>66.599999999999994</v>
      </c>
      <c r="M29" s="705">
        <v>66.599999999999994</v>
      </c>
      <c r="N29" s="671">
        <v>1</v>
      </c>
      <c r="O29" s="706">
        <v>0.5</v>
      </c>
      <c r="P29" s="705">
        <v>66.599999999999994</v>
      </c>
      <c r="Q29" s="682">
        <v>1</v>
      </c>
      <c r="R29" s="671">
        <v>1</v>
      </c>
      <c r="S29" s="682">
        <v>1</v>
      </c>
      <c r="T29" s="706">
        <v>0.5</v>
      </c>
      <c r="U29" s="242">
        <v>1</v>
      </c>
    </row>
    <row r="30" spans="1:21" ht="14.4" customHeight="1" x14ac:dyDescent="0.3">
      <c r="A30" s="680">
        <v>50</v>
      </c>
      <c r="B30" s="671" t="s">
        <v>536</v>
      </c>
      <c r="C30" s="671">
        <v>89301501</v>
      </c>
      <c r="D30" s="703" t="s">
        <v>2486</v>
      </c>
      <c r="E30" s="704" t="s">
        <v>1920</v>
      </c>
      <c r="F30" s="671" t="s">
        <v>1912</v>
      </c>
      <c r="G30" s="671" t="s">
        <v>1984</v>
      </c>
      <c r="H30" s="671" t="s">
        <v>535</v>
      </c>
      <c r="I30" s="671" t="s">
        <v>1985</v>
      </c>
      <c r="J30" s="671" t="s">
        <v>1986</v>
      </c>
      <c r="K30" s="671" t="s">
        <v>868</v>
      </c>
      <c r="L30" s="705">
        <v>0</v>
      </c>
      <c r="M30" s="705">
        <v>0</v>
      </c>
      <c r="N30" s="671">
        <v>1</v>
      </c>
      <c r="O30" s="706">
        <v>0.5</v>
      </c>
      <c r="P30" s="705"/>
      <c r="Q30" s="682"/>
      <c r="R30" s="671"/>
      <c r="S30" s="682">
        <v>0</v>
      </c>
      <c r="T30" s="706"/>
      <c r="U30" s="242">
        <v>0</v>
      </c>
    </row>
    <row r="31" spans="1:21" ht="14.4" customHeight="1" x14ac:dyDescent="0.3">
      <c r="A31" s="680">
        <v>50</v>
      </c>
      <c r="B31" s="671" t="s">
        <v>536</v>
      </c>
      <c r="C31" s="671">
        <v>89301501</v>
      </c>
      <c r="D31" s="703" t="s">
        <v>2486</v>
      </c>
      <c r="E31" s="704" t="s">
        <v>1920</v>
      </c>
      <c r="F31" s="671" t="s">
        <v>1912</v>
      </c>
      <c r="G31" s="671" t="s">
        <v>1951</v>
      </c>
      <c r="H31" s="671" t="s">
        <v>535</v>
      </c>
      <c r="I31" s="671" t="s">
        <v>878</v>
      </c>
      <c r="J31" s="671" t="s">
        <v>879</v>
      </c>
      <c r="K31" s="671" t="s">
        <v>880</v>
      </c>
      <c r="L31" s="705">
        <v>104.66</v>
      </c>
      <c r="M31" s="705">
        <v>313.98</v>
      </c>
      <c r="N31" s="671">
        <v>3</v>
      </c>
      <c r="O31" s="706">
        <v>2</v>
      </c>
      <c r="P31" s="705">
        <v>104.66</v>
      </c>
      <c r="Q31" s="682">
        <v>0.33333333333333331</v>
      </c>
      <c r="R31" s="671">
        <v>1</v>
      </c>
      <c r="S31" s="682">
        <v>0.33333333333333331</v>
      </c>
      <c r="T31" s="706">
        <v>0.5</v>
      </c>
      <c r="U31" s="242">
        <v>0.25</v>
      </c>
    </row>
    <row r="32" spans="1:21" ht="14.4" customHeight="1" x14ac:dyDescent="0.3">
      <c r="A32" s="680">
        <v>50</v>
      </c>
      <c r="B32" s="671" t="s">
        <v>536</v>
      </c>
      <c r="C32" s="671">
        <v>89301501</v>
      </c>
      <c r="D32" s="703" t="s">
        <v>2486</v>
      </c>
      <c r="E32" s="704" t="s">
        <v>1920</v>
      </c>
      <c r="F32" s="671" t="s">
        <v>1912</v>
      </c>
      <c r="G32" s="671" t="s">
        <v>1952</v>
      </c>
      <c r="H32" s="671" t="s">
        <v>535</v>
      </c>
      <c r="I32" s="671" t="s">
        <v>1987</v>
      </c>
      <c r="J32" s="671" t="s">
        <v>1988</v>
      </c>
      <c r="K32" s="671" t="s">
        <v>1989</v>
      </c>
      <c r="L32" s="705">
        <v>0</v>
      </c>
      <c r="M32" s="705">
        <v>0</v>
      </c>
      <c r="N32" s="671">
        <v>2</v>
      </c>
      <c r="O32" s="706">
        <v>1</v>
      </c>
      <c r="P32" s="705">
        <v>0</v>
      </c>
      <c r="Q32" s="682"/>
      <c r="R32" s="671">
        <v>1</v>
      </c>
      <c r="S32" s="682">
        <v>0.5</v>
      </c>
      <c r="T32" s="706">
        <v>0.5</v>
      </c>
      <c r="U32" s="242">
        <v>0.5</v>
      </c>
    </row>
    <row r="33" spans="1:21" ht="14.4" customHeight="1" x14ac:dyDescent="0.3">
      <c r="A33" s="680">
        <v>50</v>
      </c>
      <c r="B33" s="671" t="s">
        <v>536</v>
      </c>
      <c r="C33" s="671">
        <v>89301501</v>
      </c>
      <c r="D33" s="703" t="s">
        <v>2486</v>
      </c>
      <c r="E33" s="704" t="s">
        <v>1920</v>
      </c>
      <c r="F33" s="671" t="s">
        <v>1912</v>
      </c>
      <c r="G33" s="671" t="s">
        <v>1952</v>
      </c>
      <c r="H33" s="671" t="s">
        <v>535</v>
      </c>
      <c r="I33" s="671" t="s">
        <v>867</v>
      </c>
      <c r="J33" s="671" t="s">
        <v>856</v>
      </c>
      <c r="K33" s="671" t="s">
        <v>868</v>
      </c>
      <c r="L33" s="705">
        <v>12.26</v>
      </c>
      <c r="M33" s="705">
        <v>12.26</v>
      </c>
      <c r="N33" s="671">
        <v>1</v>
      </c>
      <c r="O33" s="706">
        <v>0.5</v>
      </c>
      <c r="P33" s="705"/>
      <c r="Q33" s="682">
        <v>0</v>
      </c>
      <c r="R33" s="671"/>
      <c r="S33" s="682">
        <v>0</v>
      </c>
      <c r="T33" s="706"/>
      <c r="U33" s="242">
        <v>0</v>
      </c>
    </row>
    <row r="34" spans="1:21" ht="14.4" customHeight="1" x14ac:dyDescent="0.3">
      <c r="A34" s="680">
        <v>50</v>
      </c>
      <c r="B34" s="671" t="s">
        <v>536</v>
      </c>
      <c r="C34" s="671">
        <v>89301501</v>
      </c>
      <c r="D34" s="703" t="s">
        <v>2486</v>
      </c>
      <c r="E34" s="704" t="s">
        <v>1920</v>
      </c>
      <c r="F34" s="671" t="s">
        <v>1912</v>
      </c>
      <c r="G34" s="671" t="s">
        <v>1990</v>
      </c>
      <c r="H34" s="671" t="s">
        <v>1039</v>
      </c>
      <c r="I34" s="671" t="s">
        <v>1991</v>
      </c>
      <c r="J34" s="671" t="s">
        <v>1992</v>
      </c>
      <c r="K34" s="671" t="s">
        <v>1993</v>
      </c>
      <c r="L34" s="705">
        <v>50.57</v>
      </c>
      <c r="M34" s="705">
        <v>50.57</v>
      </c>
      <c r="N34" s="671">
        <v>1</v>
      </c>
      <c r="O34" s="706">
        <v>0.5</v>
      </c>
      <c r="P34" s="705"/>
      <c r="Q34" s="682">
        <v>0</v>
      </c>
      <c r="R34" s="671"/>
      <c r="S34" s="682">
        <v>0</v>
      </c>
      <c r="T34" s="706"/>
      <c r="U34" s="242">
        <v>0</v>
      </c>
    </row>
    <row r="35" spans="1:21" ht="14.4" customHeight="1" x14ac:dyDescent="0.3">
      <c r="A35" s="680">
        <v>50</v>
      </c>
      <c r="B35" s="671" t="s">
        <v>536</v>
      </c>
      <c r="C35" s="671">
        <v>89301501</v>
      </c>
      <c r="D35" s="703" t="s">
        <v>2486</v>
      </c>
      <c r="E35" s="704" t="s">
        <v>1920</v>
      </c>
      <c r="F35" s="671" t="s">
        <v>1912</v>
      </c>
      <c r="G35" s="671" t="s">
        <v>1990</v>
      </c>
      <c r="H35" s="671" t="s">
        <v>535</v>
      </c>
      <c r="I35" s="671" t="s">
        <v>914</v>
      </c>
      <c r="J35" s="671" t="s">
        <v>1994</v>
      </c>
      <c r="K35" s="671" t="s">
        <v>1995</v>
      </c>
      <c r="L35" s="705">
        <v>50.57</v>
      </c>
      <c r="M35" s="705">
        <v>50.57</v>
      </c>
      <c r="N35" s="671">
        <v>1</v>
      </c>
      <c r="O35" s="706">
        <v>0.5</v>
      </c>
      <c r="P35" s="705"/>
      <c r="Q35" s="682">
        <v>0</v>
      </c>
      <c r="R35" s="671"/>
      <c r="S35" s="682">
        <v>0</v>
      </c>
      <c r="T35" s="706"/>
      <c r="U35" s="242">
        <v>0</v>
      </c>
    </row>
    <row r="36" spans="1:21" ht="14.4" customHeight="1" x14ac:dyDescent="0.3">
      <c r="A36" s="680">
        <v>50</v>
      </c>
      <c r="B36" s="671" t="s">
        <v>536</v>
      </c>
      <c r="C36" s="671">
        <v>89301501</v>
      </c>
      <c r="D36" s="703" t="s">
        <v>2486</v>
      </c>
      <c r="E36" s="704" t="s">
        <v>1920</v>
      </c>
      <c r="F36" s="671" t="s">
        <v>1912</v>
      </c>
      <c r="G36" s="671" t="s">
        <v>1956</v>
      </c>
      <c r="H36" s="671" t="s">
        <v>535</v>
      </c>
      <c r="I36" s="671" t="s">
        <v>1996</v>
      </c>
      <c r="J36" s="671" t="s">
        <v>1958</v>
      </c>
      <c r="K36" s="671" t="s">
        <v>1997</v>
      </c>
      <c r="L36" s="705">
        <v>0</v>
      </c>
      <c r="M36" s="705">
        <v>0</v>
      </c>
      <c r="N36" s="671">
        <v>1</v>
      </c>
      <c r="O36" s="706">
        <v>0.5</v>
      </c>
      <c r="P36" s="705"/>
      <c r="Q36" s="682"/>
      <c r="R36" s="671"/>
      <c r="S36" s="682">
        <v>0</v>
      </c>
      <c r="T36" s="706"/>
      <c r="U36" s="242">
        <v>0</v>
      </c>
    </row>
    <row r="37" spans="1:21" ht="14.4" customHeight="1" x14ac:dyDescent="0.3">
      <c r="A37" s="680">
        <v>50</v>
      </c>
      <c r="B37" s="671" t="s">
        <v>536</v>
      </c>
      <c r="C37" s="671">
        <v>89301501</v>
      </c>
      <c r="D37" s="703" t="s">
        <v>2486</v>
      </c>
      <c r="E37" s="704" t="s">
        <v>1920</v>
      </c>
      <c r="F37" s="671" t="s">
        <v>1912</v>
      </c>
      <c r="G37" s="671" t="s">
        <v>1956</v>
      </c>
      <c r="H37" s="671" t="s">
        <v>535</v>
      </c>
      <c r="I37" s="671" t="s">
        <v>1998</v>
      </c>
      <c r="J37" s="671" t="s">
        <v>676</v>
      </c>
      <c r="K37" s="671" t="s">
        <v>1999</v>
      </c>
      <c r="L37" s="705">
        <v>0</v>
      </c>
      <c r="M37" s="705">
        <v>0</v>
      </c>
      <c r="N37" s="671">
        <v>1</v>
      </c>
      <c r="O37" s="706">
        <v>0.5</v>
      </c>
      <c r="P37" s="705"/>
      <c r="Q37" s="682"/>
      <c r="R37" s="671"/>
      <c r="S37" s="682">
        <v>0</v>
      </c>
      <c r="T37" s="706"/>
      <c r="U37" s="242">
        <v>0</v>
      </c>
    </row>
    <row r="38" spans="1:21" ht="14.4" customHeight="1" x14ac:dyDescent="0.3">
      <c r="A38" s="680">
        <v>50</v>
      </c>
      <c r="B38" s="671" t="s">
        <v>536</v>
      </c>
      <c r="C38" s="671">
        <v>89301501</v>
      </c>
      <c r="D38" s="703" t="s">
        <v>2486</v>
      </c>
      <c r="E38" s="704" t="s">
        <v>1920</v>
      </c>
      <c r="F38" s="671" t="s">
        <v>1912</v>
      </c>
      <c r="G38" s="671" t="s">
        <v>1962</v>
      </c>
      <c r="H38" s="671" t="s">
        <v>1039</v>
      </c>
      <c r="I38" s="671" t="s">
        <v>1125</v>
      </c>
      <c r="J38" s="671" t="s">
        <v>1119</v>
      </c>
      <c r="K38" s="671" t="s">
        <v>1823</v>
      </c>
      <c r="L38" s="705">
        <v>2916.16</v>
      </c>
      <c r="M38" s="705">
        <v>5832.32</v>
      </c>
      <c r="N38" s="671">
        <v>2</v>
      </c>
      <c r="O38" s="706">
        <v>1</v>
      </c>
      <c r="P38" s="705">
        <v>2916.16</v>
      </c>
      <c r="Q38" s="682">
        <v>0.5</v>
      </c>
      <c r="R38" s="671">
        <v>1</v>
      </c>
      <c r="S38" s="682">
        <v>0.5</v>
      </c>
      <c r="T38" s="706">
        <v>0.5</v>
      </c>
      <c r="U38" s="242">
        <v>0.5</v>
      </c>
    </row>
    <row r="39" spans="1:21" ht="14.4" customHeight="1" x14ac:dyDescent="0.3">
      <c r="A39" s="680">
        <v>50</v>
      </c>
      <c r="B39" s="671" t="s">
        <v>536</v>
      </c>
      <c r="C39" s="671">
        <v>89301501</v>
      </c>
      <c r="D39" s="703" t="s">
        <v>2486</v>
      </c>
      <c r="E39" s="704" t="s">
        <v>1920</v>
      </c>
      <c r="F39" s="671" t="s">
        <v>1912</v>
      </c>
      <c r="G39" s="671" t="s">
        <v>2000</v>
      </c>
      <c r="H39" s="671" t="s">
        <v>1039</v>
      </c>
      <c r="I39" s="671" t="s">
        <v>1191</v>
      </c>
      <c r="J39" s="671" t="s">
        <v>1192</v>
      </c>
      <c r="K39" s="671" t="s">
        <v>1193</v>
      </c>
      <c r="L39" s="705">
        <v>55.38</v>
      </c>
      <c r="M39" s="705">
        <v>55.38</v>
      </c>
      <c r="N39" s="671">
        <v>1</v>
      </c>
      <c r="O39" s="706">
        <v>0.5</v>
      </c>
      <c r="P39" s="705"/>
      <c r="Q39" s="682">
        <v>0</v>
      </c>
      <c r="R39" s="671"/>
      <c r="S39" s="682">
        <v>0</v>
      </c>
      <c r="T39" s="706"/>
      <c r="U39" s="242">
        <v>0</v>
      </c>
    </row>
    <row r="40" spans="1:21" ht="14.4" customHeight="1" x14ac:dyDescent="0.3">
      <c r="A40" s="680">
        <v>50</v>
      </c>
      <c r="B40" s="671" t="s">
        <v>536</v>
      </c>
      <c r="C40" s="671">
        <v>89301501</v>
      </c>
      <c r="D40" s="703" t="s">
        <v>2486</v>
      </c>
      <c r="E40" s="704" t="s">
        <v>1920</v>
      </c>
      <c r="F40" s="671" t="s">
        <v>1912</v>
      </c>
      <c r="G40" s="671" t="s">
        <v>2001</v>
      </c>
      <c r="H40" s="671" t="s">
        <v>535</v>
      </c>
      <c r="I40" s="671" t="s">
        <v>629</v>
      </c>
      <c r="J40" s="671" t="s">
        <v>2002</v>
      </c>
      <c r="K40" s="671" t="s">
        <v>2003</v>
      </c>
      <c r="L40" s="705">
        <v>0</v>
      </c>
      <c r="M40" s="705">
        <v>0</v>
      </c>
      <c r="N40" s="671">
        <v>2</v>
      </c>
      <c r="O40" s="706">
        <v>0.5</v>
      </c>
      <c r="P40" s="705"/>
      <c r="Q40" s="682"/>
      <c r="R40" s="671"/>
      <c r="S40" s="682">
        <v>0</v>
      </c>
      <c r="T40" s="706"/>
      <c r="U40" s="242">
        <v>0</v>
      </c>
    </row>
    <row r="41" spans="1:21" ht="14.4" customHeight="1" x14ac:dyDescent="0.3">
      <c r="A41" s="680">
        <v>50</v>
      </c>
      <c r="B41" s="671" t="s">
        <v>536</v>
      </c>
      <c r="C41" s="671">
        <v>89301501</v>
      </c>
      <c r="D41" s="703" t="s">
        <v>2486</v>
      </c>
      <c r="E41" s="704" t="s">
        <v>1920</v>
      </c>
      <c r="F41" s="671" t="s">
        <v>1912</v>
      </c>
      <c r="G41" s="671" t="s">
        <v>2004</v>
      </c>
      <c r="H41" s="671" t="s">
        <v>1039</v>
      </c>
      <c r="I41" s="671" t="s">
        <v>2005</v>
      </c>
      <c r="J41" s="671" t="s">
        <v>1096</v>
      </c>
      <c r="K41" s="671" t="s">
        <v>2006</v>
      </c>
      <c r="L41" s="705">
        <v>0</v>
      </c>
      <c r="M41" s="705">
        <v>0</v>
      </c>
      <c r="N41" s="671">
        <v>1</v>
      </c>
      <c r="O41" s="706">
        <v>0.5</v>
      </c>
      <c r="P41" s="705"/>
      <c r="Q41" s="682"/>
      <c r="R41" s="671"/>
      <c r="S41" s="682">
        <v>0</v>
      </c>
      <c r="T41" s="706"/>
      <c r="U41" s="242">
        <v>0</v>
      </c>
    </row>
    <row r="42" spans="1:21" ht="14.4" customHeight="1" x14ac:dyDescent="0.3">
      <c r="A42" s="680">
        <v>50</v>
      </c>
      <c r="B42" s="671" t="s">
        <v>536</v>
      </c>
      <c r="C42" s="671">
        <v>89301501</v>
      </c>
      <c r="D42" s="703" t="s">
        <v>2486</v>
      </c>
      <c r="E42" s="704" t="s">
        <v>1920</v>
      </c>
      <c r="F42" s="671" t="s">
        <v>1912</v>
      </c>
      <c r="G42" s="671" t="s">
        <v>2007</v>
      </c>
      <c r="H42" s="671" t="s">
        <v>1039</v>
      </c>
      <c r="I42" s="671" t="s">
        <v>2008</v>
      </c>
      <c r="J42" s="671" t="s">
        <v>2009</v>
      </c>
      <c r="K42" s="671" t="s">
        <v>2010</v>
      </c>
      <c r="L42" s="705">
        <v>448.37</v>
      </c>
      <c r="M42" s="705">
        <v>448.37</v>
      </c>
      <c r="N42" s="671">
        <v>1</v>
      </c>
      <c r="O42" s="706">
        <v>1</v>
      </c>
      <c r="P42" s="705"/>
      <c r="Q42" s="682">
        <v>0</v>
      </c>
      <c r="R42" s="671"/>
      <c r="S42" s="682">
        <v>0</v>
      </c>
      <c r="T42" s="706"/>
      <c r="U42" s="242">
        <v>0</v>
      </c>
    </row>
    <row r="43" spans="1:21" ht="14.4" customHeight="1" x14ac:dyDescent="0.3">
      <c r="A43" s="680">
        <v>50</v>
      </c>
      <c r="B43" s="671" t="s">
        <v>536</v>
      </c>
      <c r="C43" s="671">
        <v>89301501</v>
      </c>
      <c r="D43" s="703" t="s">
        <v>2486</v>
      </c>
      <c r="E43" s="704" t="s">
        <v>1920</v>
      </c>
      <c r="F43" s="671" t="s">
        <v>1912</v>
      </c>
      <c r="G43" s="671" t="s">
        <v>1969</v>
      </c>
      <c r="H43" s="671" t="s">
        <v>1039</v>
      </c>
      <c r="I43" s="671" t="s">
        <v>1058</v>
      </c>
      <c r="J43" s="671" t="s">
        <v>1838</v>
      </c>
      <c r="K43" s="671" t="s">
        <v>1060</v>
      </c>
      <c r="L43" s="705">
        <v>134.83000000000001</v>
      </c>
      <c r="M43" s="705">
        <v>134.83000000000001</v>
      </c>
      <c r="N43" s="671">
        <v>1</v>
      </c>
      <c r="O43" s="706">
        <v>0.5</v>
      </c>
      <c r="P43" s="705"/>
      <c r="Q43" s="682">
        <v>0</v>
      </c>
      <c r="R43" s="671"/>
      <c r="S43" s="682">
        <v>0</v>
      </c>
      <c r="T43" s="706"/>
      <c r="U43" s="242">
        <v>0</v>
      </c>
    </row>
    <row r="44" spans="1:21" ht="14.4" customHeight="1" x14ac:dyDescent="0.3">
      <c r="A44" s="680">
        <v>50</v>
      </c>
      <c r="B44" s="671" t="s">
        <v>536</v>
      </c>
      <c r="C44" s="671">
        <v>89301501</v>
      </c>
      <c r="D44" s="703" t="s">
        <v>2486</v>
      </c>
      <c r="E44" s="704" t="s">
        <v>1920</v>
      </c>
      <c r="F44" s="671" t="s">
        <v>1912</v>
      </c>
      <c r="G44" s="671" t="s">
        <v>1969</v>
      </c>
      <c r="H44" s="671" t="s">
        <v>1039</v>
      </c>
      <c r="I44" s="671" t="s">
        <v>2011</v>
      </c>
      <c r="J44" s="671" t="s">
        <v>1044</v>
      </c>
      <c r="K44" s="671" t="s">
        <v>1950</v>
      </c>
      <c r="L44" s="705">
        <v>33.72</v>
      </c>
      <c r="M44" s="705">
        <v>33.72</v>
      </c>
      <c r="N44" s="671">
        <v>1</v>
      </c>
      <c r="O44" s="706">
        <v>0.5</v>
      </c>
      <c r="P44" s="705"/>
      <c r="Q44" s="682">
        <v>0</v>
      </c>
      <c r="R44" s="671"/>
      <c r="S44" s="682">
        <v>0</v>
      </c>
      <c r="T44" s="706"/>
      <c r="U44" s="242">
        <v>0</v>
      </c>
    </row>
    <row r="45" spans="1:21" ht="14.4" customHeight="1" x14ac:dyDescent="0.3">
      <c r="A45" s="680">
        <v>50</v>
      </c>
      <c r="B45" s="671" t="s">
        <v>536</v>
      </c>
      <c r="C45" s="671">
        <v>89301501</v>
      </c>
      <c r="D45" s="703" t="s">
        <v>2486</v>
      </c>
      <c r="E45" s="704" t="s">
        <v>1920</v>
      </c>
      <c r="F45" s="671" t="s">
        <v>1912</v>
      </c>
      <c r="G45" s="671" t="s">
        <v>2012</v>
      </c>
      <c r="H45" s="671" t="s">
        <v>1039</v>
      </c>
      <c r="I45" s="671" t="s">
        <v>2013</v>
      </c>
      <c r="J45" s="671" t="s">
        <v>1188</v>
      </c>
      <c r="K45" s="671" t="s">
        <v>1844</v>
      </c>
      <c r="L45" s="705">
        <v>312.54000000000002</v>
      </c>
      <c r="M45" s="705">
        <v>312.54000000000002</v>
      </c>
      <c r="N45" s="671">
        <v>1</v>
      </c>
      <c r="O45" s="706">
        <v>0.5</v>
      </c>
      <c r="P45" s="705"/>
      <c r="Q45" s="682">
        <v>0</v>
      </c>
      <c r="R45" s="671"/>
      <c r="S45" s="682">
        <v>0</v>
      </c>
      <c r="T45" s="706"/>
      <c r="U45" s="242">
        <v>0</v>
      </c>
    </row>
    <row r="46" spans="1:21" ht="14.4" customHeight="1" x14ac:dyDescent="0.3">
      <c r="A46" s="680">
        <v>50</v>
      </c>
      <c r="B46" s="671" t="s">
        <v>536</v>
      </c>
      <c r="C46" s="671">
        <v>89301501</v>
      </c>
      <c r="D46" s="703" t="s">
        <v>2486</v>
      </c>
      <c r="E46" s="704" t="s">
        <v>1920</v>
      </c>
      <c r="F46" s="671" t="s">
        <v>1912</v>
      </c>
      <c r="G46" s="671" t="s">
        <v>2014</v>
      </c>
      <c r="H46" s="671" t="s">
        <v>535</v>
      </c>
      <c r="I46" s="671" t="s">
        <v>2015</v>
      </c>
      <c r="J46" s="671" t="s">
        <v>2016</v>
      </c>
      <c r="K46" s="671" t="s">
        <v>2017</v>
      </c>
      <c r="L46" s="705">
        <v>43.99</v>
      </c>
      <c r="M46" s="705">
        <v>43.99</v>
      </c>
      <c r="N46" s="671">
        <v>1</v>
      </c>
      <c r="O46" s="706">
        <v>1</v>
      </c>
      <c r="P46" s="705"/>
      <c r="Q46" s="682">
        <v>0</v>
      </c>
      <c r="R46" s="671"/>
      <c r="S46" s="682">
        <v>0</v>
      </c>
      <c r="T46" s="706"/>
      <c r="U46" s="242">
        <v>0</v>
      </c>
    </row>
    <row r="47" spans="1:21" ht="14.4" customHeight="1" x14ac:dyDescent="0.3">
      <c r="A47" s="680">
        <v>50</v>
      </c>
      <c r="B47" s="671" t="s">
        <v>536</v>
      </c>
      <c r="C47" s="671">
        <v>89301501</v>
      </c>
      <c r="D47" s="703" t="s">
        <v>2486</v>
      </c>
      <c r="E47" s="704" t="s">
        <v>1920</v>
      </c>
      <c r="F47" s="671" t="s">
        <v>1912</v>
      </c>
      <c r="G47" s="671" t="s">
        <v>2018</v>
      </c>
      <c r="H47" s="671" t="s">
        <v>535</v>
      </c>
      <c r="I47" s="671" t="s">
        <v>1244</v>
      </c>
      <c r="J47" s="671" t="s">
        <v>1245</v>
      </c>
      <c r="K47" s="671" t="s">
        <v>2019</v>
      </c>
      <c r="L47" s="705">
        <v>194.73</v>
      </c>
      <c r="M47" s="705">
        <v>194.73</v>
      </c>
      <c r="N47" s="671">
        <v>1</v>
      </c>
      <c r="O47" s="706">
        <v>1</v>
      </c>
      <c r="P47" s="705"/>
      <c r="Q47" s="682">
        <v>0</v>
      </c>
      <c r="R47" s="671"/>
      <c r="S47" s="682">
        <v>0</v>
      </c>
      <c r="T47" s="706"/>
      <c r="U47" s="242">
        <v>0</v>
      </c>
    </row>
    <row r="48" spans="1:21" ht="14.4" customHeight="1" x14ac:dyDescent="0.3">
      <c r="A48" s="680">
        <v>50</v>
      </c>
      <c r="B48" s="671" t="s">
        <v>536</v>
      </c>
      <c r="C48" s="671">
        <v>89301501</v>
      </c>
      <c r="D48" s="703" t="s">
        <v>2486</v>
      </c>
      <c r="E48" s="704" t="s">
        <v>1920</v>
      </c>
      <c r="F48" s="671" t="s">
        <v>1912</v>
      </c>
      <c r="G48" s="671" t="s">
        <v>2020</v>
      </c>
      <c r="H48" s="671" t="s">
        <v>535</v>
      </c>
      <c r="I48" s="671" t="s">
        <v>2021</v>
      </c>
      <c r="J48" s="671" t="s">
        <v>730</v>
      </c>
      <c r="K48" s="671" t="s">
        <v>731</v>
      </c>
      <c r="L48" s="705">
        <v>91.88</v>
      </c>
      <c r="M48" s="705">
        <v>91.88</v>
      </c>
      <c r="N48" s="671">
        <v>1</v>
      </c>
      <c r="O48" s="706">
        <v>0.5</v>
      </c>
      <c r="P48" s="705"/>
      <c r="Q48" s="682">
        <v>0</v>
      </c>
      <c r="R48" s="671"/>
      <c r="S48" s="682">
        <v>0</v>
      </c>
      <c r="T48" s="706"/>
      <c r="U48" s="242">
        <v>0</v>
      </c>
    </row>
    <row r="49" spans="1:21" ht="14.4" customHeight="1" x14ac:dyDescent="0.3">
      <c r="A49" s="680">
        <v>50</v>
      </c>
      <c r="B49" s="671" t="s">
        <v>536</v>
      </c>
      <c r="C49" s="671">
        <v>89301501</v>
      </c>
      <c r="D49" s="703" t="s">
        <v>2486</v>
      </c>
      <c r="E49" s="704" t="s">
        <v>1920</v>
      </c>
      <c r="F49" s="671" t="s">
        <v>1912</v>
      </c>
      <c r="G49" s="671" t="s">
        <v>1974</v>
      </c>
      <c r="H49" s="671" t="s">
        <v>1039</v>
      </c>
      <c r="I49" s="671" t="s">
        <v>1140</v>
      </c>
      <c r="J49" s="671" t="s">
        <v>1821</v>
      </c>
      <c r="K49" s="671" t="s">
        <v>1539</v>
      </c>
      <c r="L49" s="705">
        <v>193.14</v>
      </c>
      <c r="M49" s="705">
        <v>193.14</v>
      </c>
      <c r="N49" s="671">
        <v>1</v>
      </c>
      <c r="O49" s="706">
        <v>0.5</v>
      </c>
      <c r="P49" s="705"/>
      <c r="Q49" s="682">
        <v>0</v>
      </c>
      <c r="R49" s="671"/>
      <c r="S49" s="682">
        <v>0</v>
      </c>
      <c r="T49" s="706"/>
      <c r="U49" s="242">
        <v>0</v>
      </c>
    </row>
    <row r="50" spans="1:21" ht="14.4" customHeight="1" x14ac:dyDescent="0.3">
      <c r="A50" s="680">
        <v>50</v>
      </c>
      <c r="B50" s="671" t="s">
        <v>536</v>
      </c>
      <c r="C50" s="671">
        <v>89301501</v>
      </c>
      <c r="D50" s="703" t="s">
        <v>2486</v>
      </c>
      <c r="E50" s="704" t="s">
        <v>1921</v>
      </c>
      <c r="F50" s="671" t="s">
        <v>1912</v>
      </c>
      <c r="G50" s="671" t="s">
        <v>1975</v>
      </c>
      <c r="H50" s="671" t="s">
        <v>1039</v>
      </c>
      <c r="I50" s="671" t="s">
        <v>1051</v>
      </c>
      <c r="J50" s="671" t="s">
        <v>1052</v>
      </c>
      <c r="K50" s="671" t="s">
        <v>1828</v>
      </c>
      <c r="L50" s="705">
        <v>75.28</v>
      </c>
      <c r="M50" s="705">
        <v>150.56</v>
      </c>
      <c r="N50" s="671">
        <v>2</v>
      </c>
      <c r="O50" s="706">
        <v>1</v>
      </c>
      <c r="P50" s="705">
        <v>75.28</v>
      </c>
      <c r="Q50" s="682">
        <v>0.5</v>
      </c>
      <c r="R50" s="671">
        <v>1</v>
      </c>
      <c r="S50" s="682">
        <v>0.5</v>
      </c>
      <c r="T50" s="706">
        <v>0.5</v>
      </c>
      <c r="U50" s="242">
        <v>0.5</v>
      </c>
    </row>
    <row r="51" spans="1:21" ht="14.4" customHeight="1" x14ac:dyDescent="0.3">
      <c r="A51" s="680">
        <v>50</v>
      </c>
      <c r="B51" s="671" t="s">
        <v>536</v>
      </c>
      <c r="C51" s="671">
        <v>89301501</v>
      </c>
      <c r="D51" s="703" t="s">
        <v>2486</v>
      </c>
      <c r="E51" s="704" t="s">
        <v>1921</v>
      </c>
      <c r="F51" s="671" t="s">
        <v>1912</v>
      </c>
      <c r="G51" s="671" t="s">
        <v>1931</v>
      </c>
      <c r="H51" s="671" t="s">
        <v>1039</v>
      </c>
      <c r="I51" s="671" t="s">
        <v>2022</v>
      </c>
      <c r="J51" s="671" t="s">
        <v>1542</v>
      </c>
      <c r="K51" s="671" t="s">
        <v>1060</v>
      </c>
      <c r="L51" s="705">
        <v>81.209999999999994</v>
      </c>
      <c r="M51" s="705">
        <v>81.209999999999994</v>
      </c>
      <c r="N51" s="671">
        <v>1</v>
      </c>
      <c r="O51" s="706">
        <v>0.5</v>
      </c>
      <c r="P51" s="705"/>
      <c r="Q51" s="682">
        <v>0</v>
      </c>
      <c r="R51" s="671"/>
      <c r="S51" s="682">
        <v>0</v>
      </c>
      <c r="T51" s="706"/>
      <c r="U51" s="242">
        <v>0</v>
      </c>
    </row>
    <row r="52" spans="1:21" ht="14.4" customHeight="1" x14ac:dyDescent="0.3">
      <c r="A52" s="680">
        <v>50</v>
      </c>
      <c r="B52" s="671" t="s">
        <v>536</v>
      </c>
      <c r="C52" s="671">
        <v>89301501</v>
      </c>
      <c r="D52" s="703" t="s">
        <v>2486</v>
      </c>
      <c r="E52" s="704" t="s">
        <v>1921</v>
      </c>
      <c r="F52" s="671" t="s">
        <v>1912</v>
      </c>
      <c r="G52" s="671" t="s">
        <v>2023</v>
      </c>
      <c r="H52" s="671" t="s">
        <v>1039</v>
      </c>
      <c r="I52" s="671" t="s">
        <v>1256</v>
      </c>
      <c r="J52" s="671" t="s">
        <v>1853</v>
      </c>
      <c r="K52" s="671" t="s">
        <v>1854</v>
      </c>
      <c r="L52" s="705">
        <v>333.31</v>
      </c>
      <c r="M52" s="705">
        <v>333.31</v>
      </c>
      <c r="N52" s="671">
        <v>1</v>
      </c>
      <c r="O52" s="706">
        <v>1</v>
      </c>
      <c r="P52" s="705"/>
      <c r="Q52" s="682">
        <v>0</v>
      </c>
      <c r="R52" s="671"/>
      <c r="S52" s="682">
        <v>0</v>
      </c>
      <c r="T52" s="706"/>
      <c r="U52" s="242">
        <v>0</v>
      </c>
    </row>
    <row r="53" spans="1:21" ht="14.4" customHeight="1" x14ac:dyDescent="0.3">
      <c r="A53" s="680">
        <v>50</v>
      </c>
      <c r="B53" s="671" t="s">
        <v>536</v>
      </c>
      <c r="C53" s="671">
        <v>89301501</v>
      </c>
      <c r="D53" s="703" t="s">
        <v>2486</v>
      </c>
      <c r="E53" s="704" t="s">
        <v>1921</v>
      </c>
      <c r="F53" s="671" t="s">
        <v>1912</v>
      </c>
      <c r="G53" s="671" t="s">
        <v>1934</v>
      </c>
      <c r="H53" s="671" t="s">
        <v>1039</v>
      </c>
      <c r="I53" s="671" t="s">
        <v>1132</v>
      </c>
      <c r="J53" s="671" t="s">
        <v>1137</v>
      </c>
      <c r="K53" s="671" t="s">
        <v>1842</v>
      </c>
      <c r="L53" s="705">
        <v>130.59</v>
      </c>
      <c r="M53" s="705">
        <v>261.18</v>
      </c>
      <c r="N53" s="671">
        <v>2</v>
      </c>
      <c r="O53" s="706">
        <v>1</v>
      </c>
      <c r="P53" s="705"/>
      <c r="Q53" s="682">
        <v>0</v>
      </c>
      <c r="R53" s="671"/>
      <c r="S53" s="682">
        <v>0</v>
      </c>
      <c r="T53" s="706"/>
      <c r="U53" s="242">
        <v>0</v>
      </c>
    </row>
    <row r="54" spans="1:21" ht="14.4" customHeight="1" x14ac:dyDescent="0.3">
      <c r="A54" s="680">
        <v>50</v>
      </c>
      <c r="B54" s="671" t="s">
        <v>536</v>
      </c>
      <c r="C54" s="671">
        <v>89301501</v>
      </c>
      <c r="D54" s="703" t="s">
        <v>2486</v>
      </c>
      <c r="E54" s="704" t="s">
        <v>1921</v>
      </c>
      <c r="F54" s="671" t="s">
        <v>1912</v>
      </c>
      <c r="G54" s="671" t="s">
        <v>1934</v>
      </c>
      <c r="H54" s="671" t="s">
        <v>1039</v>
      </c>
      <c r="I54" s="671" t="s">
        <v>1136</v>
      </c>
      <c r="J54" s="671" t="s">
        <v>1137</v>
      </c>
      <c r="K54" s="671" t="s">
        <v>1843</v>
      </c>
      <c r="L54" s="705">
        <v>435.3</v>
      </c>
      <c r="M54" s="705">
        <v>435.3</v>
      </c>
      <c r="N54" s="671">
        <v>1</v>
      </c>
      <c r="O54" s="706">
        <v>1</v>
      </c>
      <c r="P54" s="705"/>
      <c r="Q54" s="682">
        <v>0</v>
      </c>
      <c r="R54" s="671"/>
      <c r="S54" s="682">
        <v>0</v>
      </c>
      <c r="T54" s="706"/>
      <c r="U54" s="242">
        <v>0</v>
      </c>
    </row>
    <row r="55" spans="1:21" ht="14.4" customHeight="1" x14ac:dyDescent="0.3">
      <c r="A55" s="680">
        <v>50</v>
      </c>
      <c r="B55" s="671" t="s">
        <v>536</v>
      </c>
      <c r="C55" s="671">
        <v>89301501</v>
      </c>
      <c r="D55" s="703" t="s">
        <v>2486</v>
      </c>
      <c r="E55" s="704" t="s">
        <v>1921</v>
      </c>
      <c r="F55" s="671" t="s">
        <v>1912</v>
      </c>
      <c r="G55" s="671" t="s">
        <v>2024</v>
      </c>
      <c r="H55" s="671" t="s">
        <v>1039</v>
      </c>
      <c r="I55" s="671" t="s">
        <v>1099</v>
      </c>
      <c r="J55" s="671" t="s">
        <v>1100</v>
      </c>
      <c r="K55" s="671" t="s">
        <v>1101</v>
      </c>
      <c r="L55" s="705">
        <v>41.89</v>
      </c>
      <c r="M55" s="705">
        <v>41.89</v>
      </c>
      <c r="N55" s="671">
        <v>1</v>
      </c>
      <c r="O55" s="706">
        <v>0.5</v>
      </c>
      <c r="P55" s="705"/>
      <c r="Q55" s="682">
        <v>0</v>
      </c>
      <c r="R55" s="671"/>
      <c r="S55" s="682">
        <v>0</v>
      </c>
      <c r="T55" s="706"/>
      <c r="U55" s="242">
        <v>0</v>
      </c>
    </row>
    <row r="56" spans="1:21" ht="14.4" customHeight="1" x14ac:dyDescent="0.3">
      <c r="A56" s="680">
        <v>50</v>
      </c>
      <c r="B56" s="671" t="s">
        <v>536</v>
      </c>
      <c r="C56" s="671">
        <v>89301501</v>
      </c>
      <c r="D56" s="703" t="s">
        <v>2486</v>
      </c>
      <c r="E56" s="704" t="s">
        <v>1921</v>
      </c>
      <c r="F56" s="671" t="s">
        <v>1912</v>
      </c>
      <c r="G56" s="671" t="s">
        <v>1935</v>
      </c>
      <c r="H56" s="671" t="s">
        <v>1039</v>
      </c>
      <c r="I56" s="671" t="s">
        <v>1088</v>
      </c>
      <c r="J56" s="671" t="s">
        <v>1089</v>
      </c>
      <c r="K56" s="671" t="s">
        <v>1090</v>
      </c>
      <c r="L56" s="705">
        <v>44.89</v>
      </c>
      <c r="M56" s="705">
        <v>224.45</v>
      </c>
      <c r="N56" s="671">
        <v>5</v>
      </c>
      <c r="O56" s="706">
        <v>3</v>
      </c>
      <c r="P56" s="705">
        <v>44.89</v>
      </c>
      <c r="Q56" s="682">
        <v>0.2</v>
      </c>
      <c r="R56" s="671">
        <v>1</v>
      </c>
      <c r="S56" s="682">
        <v>0.2</v>
      </c>
      <c r="T56" s="706">
        <v>1</v>
      </c>
      <c r="U56" s="242">
        <v>0.33333333333333331</v>
      </c>
    </row>
    <row r="57" spans="1:21" ht="14.4" customHeight="1" x14ac:dyDescent="0.3">
      <c r="A57" s="680">
        <v>50</v>
      </c>
      <c r="B57" s="671" t="s">
        <v>536</v>
      </c>
      <c r="C57" s="671">
        <v>89301501</v>
      </c>
      <c r="D57" s="703" t="s">
        <v>2486</v>
      </c>
      <c r="E57" s="704" t="s">
        <v>1921</v>
      </c>
      <c r="F57" s="671" t="s">
        <v>1912</v>
      </c>
      <c r="G57" s="671" t="s">
        <v>2025</v>
      </c>
      <c r="H57" s="671" t="s">
        <v>1039</v>
      </c>
      <c r="I57" s="671" t="s">
        <v>1271</v>
      </c>
      <c r="J57" s="671" t="s">
        <v>1272</v>
      </c>
      <c r="K57" s="671" t="s">
        <v>1860</v>
      </c>
      <c r="L57" s="705">
        <v>69.86</v>
      </c>
      <c r="M57" s="705">
        <v>69.86</v>
      </c>
      <c r="N57" s="671">
        <v>1</v>
      </c>
      <c r="O57" s="706">
        <v>0.5</v>
      </c>
      <c r="P57" s="705">
        <v>69.86</v>
      </c>
      <c r="Q57" s="682">
        <v>1</v>
      </c>
      <c r="R57" s="671">
        <v>1</v>
      </c>
      <c r="S57" s="682">
        <v>1</v>
      </c>
      <c r="T57" s="706">
        <v>0.5</v>
      </c>
      <c r="U57" s="242">
        <v>1</v>
      </c>
    </row>
    <row r="58" spans="1:21" ht="14.4" customHeight="1" x14ac:dyDescent="0.3">
      <c r="A58" s="680">
        <v>50</v>
      </c>
      <c r="B58" s="671" t="s">
        <v>536</v>
      </c>
      <c r="C58" s="671">
        <v>89301501</v>
      </c>
      <c r="D58" s="703" t="s">
        <v>2486</v>
      </c>
      <c r="E58" s="704" t="s">
        <v>1921</v>
      </c>
      <c r="F58" s="671" t="s">
        <v>1912</v>
      </c>
      <c r="G58" s="671" t="s">
        <v>1979</v>
      </c>
      <c r="H58" s="671" t="s">
        <v>535</v>
      </c>
      <c r="I58" s="671" t="s">
        <v>1980</v>
      </c>
      <c r="J58" s="671" t="s">
        <v>1981</v>
      </c>
      <c r="K58" s="671" t="s">
        <v>1982</v>
      </c>
      <c r="L58" s="705">
        <v>0</v>
      </c>
      <c r="M58" s="705">
        <v>0</v>
      </c>
      <c r="N58" s="671">
        <v>1</v>
      </c>
      <c r="O58" s="706">
        <v>0.5</v>
      </c>
      <c r="P58" s="705"/>
      <c r="Q58" s="682"/>
      <c r="R58" s="671"/>
      <c r="S58" s="682">
        <v>0</v>
      </c>
      <c r="T58" s="706"/>
      <c r="U58" s="242">
        <v>0</v>
      </c>
    </row>
    <row r="59" spans="1:21" ht="14.4" customHeight="1" x14ac:dyDescent="0.3">
      <c r="A59" s="680">
        <v>50</v>
      </c>
      <c r="B59" s="671" t="s">
        <v>536</v>
      </c>
      <c r="C59" s="671">
        <v>89301501</v>
      </c>
      <c r="D59" s="703" t="s">
        <v>2486</v>
      </c>
      <c r="E59" s="704" t="s">
        <v>1921</v>
      </c>
      <c r="F59" s="671" t="s">
        <v>1912</v>
      </c>
      <c r="G59" s="671" t="s">
        <v>2026</v>
      </c>
      <c r="H59" s="671" t="s">
        <v>535</v>
      </c>
      <c r="I59" s="671" t="s">
        <v>2027</v>
      </c>
      <c r="J59" s="671" t="s">
        <v>2028</v>
      </c>
      <c r="K59" s="671" t="s">
        <v>2029</v>
      </c>
      <c r="L59" s="705">
        <v>0</v>
      </c>
      <c r="M59" s="705">
        <v>0</v>
      </c>
      <c r="N59" s="671">
        <v>1</v>
      </c>
      <c r="O59" s="706">
        <v>0.5</v>
      </c>
      <c r="P59" s="705"/>
      <c r="Q59" s="682"/>
      <c r="R59" s="671"/>
      <c r="S59" s="682">
        <v>0</v>
      </c>
      <c r="T59" s="706"/>
      <c r="U59" s="242">
        <v>0</v>
      </c>
    </row>
    <row r="60" spans="1:21" ht="14.4" customHeight="1" x14ac:dyDescent="0.3">
      <c r="A60" s="680">
        <v>50</v>
      </c>
      <c r="B60" s="671" t="s">
        <v>536</v>
      </c>
      <c r="C60" s="671">
        <v>89301501</v>
      </c>
      <c r="D60" s="703" t="s">
        <v>2486</v>
      </c>
      <c r="E60" s="704" t="s">
        <v>1921</v>
      </c>
      <c r="F60" s="671" t="s">
        <v>1912</v>
      </c>
      <c r="G60" s="671" t="s">
        <v>2030</v>
      </c>
      <c r="H60" s="671" t="s">
        <v>535</v>
      </c>
      <c r="I60" s="671" t="s">
        <v>2031</v>
      </c>
      <c r="J60" s="671" t="s">
        <v>2032</v>
      </c>
      <c r="K60" s="671" t="s">
        <v>2033</v>
      </c>
      <c r="L60" s="705">
        <v>134.15</v>
      </c>
      <c r="M60" s="705">
        <v>134.15</v>
      </c>
      <c r="N60" s="671">
        <v>1</v>
      </c>
      <c r="O60" s="706">
        <v>0.5</v>
      </c>
      <c r="P60" s="705"/>
      <c r="Q60" s="682">
        <v>0</v>
      </c>
      <c r="R60" s="671"/>
      <c r="S60" s="682">
        <v>0</v>
      </c>
      <c r="T60" s="706"/>
      <c r="U60" s="242">
        <v>0</v>
      </c>
    </row>
    <row r="61" spans="1:21" ht="14.4" customHeight="1" x14ac:dyDescent="0.3">
      <c r="A61" s="680">
        <v>50</v>
      </c>
      <c r="B61" s="671" t="s">
        <v>536</v>
      </c>
      <c r="C61" s="671">
        <v>89301501</v>
      </c>
      <c r="D61" s="703" t="s">
        <v>2486</v>
      </c>
      <c r="E61" s="704" t="s">
        <v>1921</v>
      </c>
      <c r="F61" s="671" t="s">
        <v>1912</v>
      </c>
      <c r="G61" s="671" t="s">
        <v>1951</v>
      </c>
      <c r="H61" s="671" t="s">
        <v>535</v>
      </c>
      <c r="I61" s="671" t="s">
        <v>878</v>
      </c>
      <c r="J61" s="671" t="s">
        <v>879</v>
      </c>
      <c r="K61" s="671" t="s">
        <v>880</v>
      </c>
      <c r="L61" s="705">
        <v>104.66</v>
      </c>
      <c r="M61" s="705">
        <v>418.64</v>
      </c>
      <c r="N61" s="671">
        <v>4</v>
      </c>
      <c r="O61" s="706">
        <v>2.5</v>
      </c>
      <c r="P61" s="705"/>
      <c r="Q61" s="682">
        <v>0</v>
      </c>
      <c r="R61" s="671"/>
      <c r="S61" s="682">
        <v>0</v>
      </c>
      <c r="T61" s="706"/>
      <c r="U61" s="242">
        <v>0</v>
      </c>
    </row>
    <row r="62" spans="1:21" ht="14.4" customHeight="1" x14ac:dyDescent="0.3">
      <c r="A62" s="680">
        <v>50</v>
      </c>
      <c r="B62" s="671" t="s">
        <v>536</v>
      </c>
      <c r="C62" s="671">
        <v>89301501</v>
      </c>
      <c r="D62" s="703" t="s">
        <v>2486</v>
      </c>
      <c r="E62" s="704" t="s">
        <v>1921</v>
      </c>
      <c r="F62" s="671" t="s">
        <v>1912</v>
      </c>
      <c r="G62" s="671" t="s">
        <v>1952</v>
      </c>
      <c r="H62" s="671" t="s">
        <v>535</v>
      </c>
      <c r="I62" s="671" t="s">
        <v>1987</v>
      </c>
      <c r="J62" s="671" t="s">
        <v>1988</v>
      </c>
      <c r="K62" s="671" t="s">
        <v>1989</v>
      </c>
      <c r="L62" s="705">
        <v>0</v>
      </c>
      <c r="M62" s="705">
        <v>0</v>
      </c>
      <c r="N62" s="671">
        <v>1</v>
      </c>
      <c r="O62" s="706">
        <v>0.5</v>
      </c>
      <c r="P62" s="705"/>
      <c r="Q62" s="682"/>
      <c r="R62" s="671"/>
      <c r="S62" s="682">
        <v>0</v>
      </c>
      <c r="T62" s="706"/>
      <c r="U62" s="242">
        <v>0</v>
      </c>
    </row>
    <row r="63" spans="1:21" ht="14.4" customHeight="1" x14ac:dyDescent="0.3">
      <c r="A63" s="680">
        <v>50</v>
      </c>
      <c r="B63" s="671" t="s">
        <v>536</v>
      </c>
      <c r="C63" s="671">
        <v>89301501</v>
      </c>
      <c r="D63" s="703" t="s">
        <v>2486</v>
      </c>
      <c r="E63" s="704" t="s">
        <v>1921</v>
      </c>
      <c r="F63" s="671" t="s">
        <v>1912</v>
      </c>
      <c r="G63" s="671" t="s">
        <v>1952</v>
      </c>
      <c r="H63" s="671" t="s">
        <v>535</v>
      </c>
      <c r="I63" s="671" t="s">
        <v>2034</v>
      </c>
      <c r="J63" s="671" t="s">
        <v>856</v>
      </c>
      <c r="K63" s="671" t="s">
        <v>2035</v>
      </c>
      <c r="L63" s="705">
        <v>30.65</v>
      </c>
      <c r="M63" s="705">
        <v>30.65</v>
      </c>
      <c r="N63" s="671">
        <v>1</v>
      </c>
      <c r="O63" s="706">
        <v>0.5</v>
      </c>
      <c r="P63" s="705"/>
      <c r="Q63" s="682">
        <v>0</v>
      </c>
      <c r="R63" s="671"/>
      <c r="S63" s="682">
        <v>0</v>
      </c>
      <c r="T63" s="706"/>
      <c r="U63" s="242">
        <v>0</v>
      </c>
    </row>
    <row r="64" spans="1:21" ht="14.4" customHeight="1" x14ac:dyDescent="0.3">
      <c r="A64" s="680">
        <v>50</v>
      </c>
      <c r="B64" s="671" t="s">
        <v>536</v>
      </c>
      <c r="C64" s="671">
        <v>89301501</v>
      </c>
      <c r="D64" s="703" t="s">
        <v>2486</v>
      </c>
      <c r="E64" s="704" t="s">
        <v>1921</v>
      </c>
      <c r="F64" s="671" t="s">
        <v>1912</v>
      </c>
      <c r="G64" s="671" t="s">
        <v>1952</v>
      </c>
      <c r="H64" s="671" t="s">
        <v>535</v>
      </c>
      <c r="I64" s="671" t="s">
        <v>2036</v>
      </c>
      <c r="J64" s="671" t="s">
        <v>1988</v>
      </c>
      <c r="K64" s="671" t="s">
        <v>2037</v>
      </c>
      <c r="L64" s="705">
        <v>0</v>
      </c>
      <c r="M64" s="705">
        <v>0</v>
      </c>
      <c r="N64" s="671">
        <v>1</v>
      </c>
      <c r="O64" s="706">
        <v>0.5</v>
      </c>
      <c r="P64" s="705"/>
      <c r="Q64" s="682"/>
      <c r="R64" s="671"/>
      <c r="S64" s="682">
        <v>0</v>
      </c>
      <c r="T64" s="706"/>
      <c r="U64" s="242">
        <v>0</v>
      </c>
    </row>
    <row r="65" spans="1:21" ht="14.4" customHeight="1" x14ac:dyDescent="0.3">
      <c r="A65" s="680">
        <v>50</v>
      </c>
      <c r="B65" s="671" t="s">
        <v>536</v>
      </c>
      <c r="C65" s="671">
        <v>89301501</v>
      </c>
      <c r="D65" s="703" t="s">
        <v>2486</v>
      </c>
      <c r="E65" s="704" t="s">
        <v>1921</v>
      </c>
      <c r="F65" s="671" t="s">
        <v>1912</v>
      </c>
      <c r="G65" s="671" t="s">
        <v>1952</v>
      </c>
      <c r="H65" s="671" t="s">
        <v>535</v>
      </c>
      <c r="I65" s="671" t="s">
        <v>867</v>
      </c>
      <c r="J65" s="671" t="s">
        <v>856</v>
      </c>
      <c r="K65" s="671" t="s">
        <v>868</v>
      </c>
      <c r="L65" s="705">
        <v>12.26</v>
      </c>
      <c r="M65" s="705">
        <v>12.26</v>
      </c>
      <c r="N65" s="671">
        <v>1</v>
      </c>
      <c r="O65" s="706">
        <v>0.5</v>
      </c>
      <c r="P65" s="705"/>
      <c r="Q65" s="682">
        <v>0</v>
      </c>
      <c r="R65" s="671"/>
      <c r="S65" s="682">
        <v>0</v>
      </c>
      <c r="T65" s="706"/>
      <c r="U65" s="242">
        <v>0</v>
      </c>
    </row>
    <row r="66" spans="1:21" ht="14.4" customHeight="1" x14ac:dyDescent="0.3">
      <c r="A66" s="680">
        <v>50</v>
      </c>
      <c r="B66" s="671" t="s">
        <v>536</v>
      </c>
      <c r="C66" s="671">
        <v>89301501</v>
      </c>
      <c r="D66" s="703" t="s">
        <v>2486</v>
      </c>
      <c r="E66" s="704" t="s">
        <v>1921</v>
      </c>
      <c r="F66" s="671" t="s">
        <v>1912</v>
      </c>
      <c r="G66" s="671" t="s">
        <v>1952</v>
      </c>
      <c r="H66" s="671" t="s">
        <v>535</v>
      </c>
      <c r="I66" s="671" t="s">
        <v>2038</v>
      </c>
      <c r="J66" s="671" t="s">
        <v>1988</v>
      </c>
      <c r="K66" s="671" t="s">
        <v>2039</v>
      </c>
      <c r="L66" s="705">
        <v>34.31</v>
      </c>
      <c r="M66" s="705">
        <v>34.31</v>
      </c>
      <c r="N66" s="671">
        <v>1</v>
      </c>
      <c r="O66" s="706">
        <v>0.5</v>
      </c>
      <c r="P66" s="705"/>
      <c r="Q66" s="682">
        <v>0</v>
      </c>
      <c r="R66" s="671"/>
      <c r="S66" s="682">
        <v>0</v>
      </c>
      <c r="T66" s="706"/>
      <c r="U66" s="242">
        <v>0</v>
      </c>
    </row>
    <row r="67" spans="1:21" ht="14.4" customHeight="1" x14ac:dyDescent="0.3">
      <c r="A67" s="680">
        <v>50</v>
      </c>
      <c r="B67" s="671" t="s">
        <v>536</v>
      </c>
      <c r="C67" s="671">
        <v>89301501</v>
      </c>
      <c r="D67" s="703" t="s">
        <v>2486</v>
      </c>
      <c r="E67" s="704" t="s">
        <v>1921</v>
      </c>
      <c r="F67" s="671" t="s">
        <v>1912</v>
      </c>
      <c r="G67" s="671" t="s">
        <v>1956</v>
      </c>
      <c r="H67" s="671" t="s">
        <v>535</v>
      </c>
      <c r="I67" s="671" t="s">
        <v>1960</v>
      </c>
      <c r="J67" s="671" t="s">
        <v>949</v>
      </c>
      <c r="K67" s="671" t="s">
        <v>1961</v>
      </c>
      <c r="L67" s="705">
        <v>0</v>
      </c>
      <c r="M67" s="705">
        <v>0</v>
      </c>
      <c r="N67" s="671">
        <v>1</v>
      </c>
      <c r="O67" s="706">
        <v>0.5</v>
      </c>
      <c r="P67" s="705"/>
      <c r="Q67" s="682"/>
      <c r="R67" s="671"/>
      <c r="S67" s="682">
        <v>0</v>
      </c>
      <c r="T67" s="706"/>
      <c r="U67" s="242">
        <v>0</v>
      </c>
    </row>
    <row r="68" spans="1:21" ht="14.4" customHeight="1" x14ac:dyDescent="0.3">
      <c r="A68" s="680">
        <v>50</v>
      </c>
      <c r="B68" s="671" t="s">
        <v>536</v>
      </c>
      <c r="C68" s="671">
        <v>89301501</v>
      </c>
      <c r="D68" s="703" t="s">
        <v>2486</v>
      </c>
      <c r="E68" s="704" t="s">
        <v>1921</v>
      </c>
      <c r="F68" s="671" t="s">
        <v>1912</v>
      </c>
      <c r="G68" s="671" t="s">
        <v>1956</v>
      </c>
      <c r="H68" s="671" t="s">
        <v>535</v>
      </c>
      <c r="I68" s="671" t="s">
        <v>717</v>
      </c>
      <c r="J68" s="671" t="s">
        <v>949</v>
      </c>
      <c r="K68" s="671" t="s">
        <v>2040</v>
      </c>
      <c r="L68" s="705">
        <v>33.68</v>
      </c>
      <c r="M68" s="705">
        <v>33.68</v>
      </c>
      <c r="N68" s="671">
        <v>1</v>
      </c>
      <c r="O68" s="706">
        <v>0.5</v>
      </c>
      <c r="P68" s="705"/>
      <c r="Q68" s="682">
        <v>0</v>
      </c>
      <c r="R68" s="671"/>
      <c r="S68" s="682">
        <v>0</v>
      </c>
      <c r="T68" s="706"/>
      <c r="U68" s="242">
        <v>0</v>
      </c>
    </row>
    <row r="69" spans="1:21" ht="14.4" customHeight="1" x14ac:dyDescent="0.3">
      <c r="A69" s="680">
        <v>50</v>
      </c>
      <c r="B69" s="671" t="s">
        <v>536</v>
      </c>
      <c r="C69" s="671">
        <v>89301501</v>
      </c>
      <c r="D69" s="703" t="s">
        <v>2486</v>
      </c>
      <c r="E69" s="704" t="s">
        <v>1921</v>
      </c>
      <c r="F69" s="671" t="s">
        <v>1912</v>
      </c>
      <c r="G69" s="671" t="s">
        <v>2000</v>
      </c>
      <c r="H69" s="671" t="s">
        <v>1039</v>
      </c>
      <c r="I69" s="671" t="s">
        <v>1191</v>
      </c>
      <c r="J69" s="671" t="s">
        <v>1192</v>
      </c>
      <c r="K69" s="671" t="s">
        <v>1193</v>
      </c>
      <c r="L69" s="705">
        <v>55.38</v>
      </c>
      <c r="M69" s="705">
        <v>110.76</v>
      </c>
      <c r="N69" s="671">
        <v>2</v>
      </c>
      <c r="O69" s="706">
        <v>1</v>
      </c>
      <c r="P69" s="705">
        <v>55.38</v>
      </c>
      <c r="Q69" s="682">
        <v>0.5</v>
      </c>
      <c r="R69" s="671">
        <v>1</v>
      </c>
      <c r="S69" s="682">
        <v>0.5</v>
      </c>
      <c r="T69" s="706">
        <v>0.5</v>
      </c>
      <c r="U69" s="242">
        <v>0.5</v>
      </c>
    </row>
    <row r="70" spans="1:21" ht="14.4" customHeight="1" x14ac:dyDescent="0.3">
      <c r="A70" s="680">
        <v>50</v>
      </c>
      <c r="B70" s="671" t="s">
        <v>536</v>
      </c>
      <c r="C70" s="671">
        <v>89301501</v>
      </c>
      <c r="D70" s="703" t="s">
        <v>2486</v>
      </c>
      <c r="E70" s="704" t="s">
        <v>1921</v>
      </c>
      <c r="F70" s="671" t="s">
        <v>1912</v>
      </c>
      <c r="G70" s="671" t="s">
        <v>1963</v>
      </c>
      <c r="H70" s="671" t="s">
        <v>1039</v>
      </c>
      <c r="I70" s="671" t="s">
        <v>2041</v>
      </c>
      <c r="J70" s="671" t="s">
        <v>2042</v>
      </c>
      <c r="K70" s="671" t="s">
        <v>1946</v>
      </c>
      <c r="L70" s="705">
        <v>67.42</v>
      </c>
      <c r="M70" s="705">
        <v>67.42</v>
      </c>
      <c r="N70" s="671">
        <v>1</v>
      </c>
      <c r="O70" s="706">
        <v>0.5</v>
      </c>
      <c r="P70" s="705"/>
      <c r="Q70" s="682">
        <v>0</v>
      </c>
      <c r="R70" s="671"/>
      <c r="S70" s="682">
        <v>0</v>
      </c>
      <c r="T70" s="706"/>
      <c r="U70" s="242">
        <v>0</v>
      </c>
    </row>
    <row r="71" spans="1:21" ht="14.4" customHeight="1" x14ac:dyDescent="0.3">
      <c r="A71" s="680">
        <v>50</v>
      </c>
      <c r="B71" s="671" t="s">
        <v>536</v>
      </c>
      <c r="C71" s="671">
        <v>89301501</v>
      </c>
      <c r="D71" s="703" t="s">
        <v>2486</v>
      </c>
      <c r="E71" s="704" t="s">
        <v>1921</v>
      </c>
      <c r="F71" s="671" t="s">
        <v>1912</v>
      </c>
      <c r="G71" s="671" t="s">
        <v>1969</v>
      </c>
      <c r="H71" s="671" t="s">
        <v>1039</v>
      </c>
      <c r="I71" s="671" t="s">
        <v>1058</v>
      </c>
      <c r="J71" s="671" t="s">
        <v>1838</v>
      </c>
      <c r="K71" s="671" t="s">
        <v>1060</v>
      </c>
      <c r="L71" s="705">
        <v>134.83000000000001</v>
      </c>
      <c r="M71" s="705">
        <v>404.49</v>
      </c>
      <c r="N71" s="671">
        <v>3</v>
      </c>
      <c r="O71" s="706">
        <v>2</v>
      </c>
      <c r="P71" s="705"/>
      <c r="Q71" s="682">
        <v>0</v>
      </c>
      <c r="R71" s="671"/>
      <c r="S71" s="682">
        <v>0</v>
      </c>
      <c r="T71" s="706"/>
      <c r="U71" s="242">
        <v>0</v>
      </c>
    </row>
    <row r="72" spans="1:21" ht="14.4" customHeight="1" x14ac:dyDescent="0.3">
      <c r="A72" s="680">
        <v>50</v>
      </c>
      <c r="B72" s="671" t="s">
        <v>536</v>
      </c>
      <c r="C72" s="671">
        <v>89301501</v>
      </c>
      <c r="D72" s="703" t="s">
        <v>2486</v>
      </c>
      <c r="E72" s="704" t="s">
        <v>1921</v>
      </c>
      <c r="F72" s="671" t="s">
        <v>1912</v>
      </c>
      <c r="G72" s="671" t="s">
        <v>1969</v>
      </c>
      <c r="H72" s="671" t="s">
        <v>1039</v>
      </c>
      <c r="I72" s="671" t="s">
        <v>1043</v>
      </c>
      <c r="J72" s="671" t="s">
        <v>1044</v>
      </c>
      <c r="K72" s="671" t="s">
        <v>1045</v>
      </c>
      <c r="L72" s="705">
        <v>22.47</v>
      </c>
      <c r="M72" s="705">
        <v>44.94</v>
      </c>
      <c r="N72" s="671">
        <v>2</v>
      </c>
      <c r="O72" s="706">
        <v>1</v>
      </c>
      <c r="P72" s="705"/>
      <c r="Q72" s="682">
        <v>0</v>
      </c>
      <c r="R72" s="671"/>
      <c r="S72" s="682">
        <v>0</v>
      </c>
      <c r="T72" s="706"/>
      <c r="U72" s="242">
        <v>0</v>
      </c>
    </row>
    <row r="73" spans="1:21" ht="14.4" customHeight="1" x14ac:dyDescent="0.3">
      <c r="A73" s="680">
        <v>50</v>
      </c>
      <c r="B73" s="671" t="s">
        <v>536</v>
      </c>
      <c r="C73" s="671">
        <v>89301501</v>
      </c>
      <c r="D73" s="703" t="s">
        <v>2486</v>
      </c>
      <c r="E73" s="704" t="s">
        <v>1921</v>
      </c>
      <c r="F73" s="671" t="s">
        <v>1912</v>
      </c>
      <c r="G73" s="671" t="s">
        <v>1969</v>
      </c>
      <c r="H73" s="671" t="s">
        <v>1039</v>
      </c>
      <c r="I73" s="671" t="s">
        <v>1110</v>
      </c>
      <c r="J73" s="671" t="s">
        <v>1839</v>
      </c>
      <c r="K73" s="671" t="s">
        <v>1153</v>
      </c>
      <c r="L73" s="705">
        <v>67.42</v>
      </c>
      <c r="M73" s="705">
        <v>67.42</v>
      </c>
      <c r="N73" s="671">
        <v>1</v>
      </c>
      <c r="O73" s="706">
        <v>0.5</v>
      </c>
      <c r="P73" s="705"/>
      <c r="Q73" s="682">
        <v>0</v>
      </c>
      <c r="R73" s="671"/>
      <c r="S73" s="682">
        <v>0</v>
      </c>
      <c r="T73" s="706"/>
      <c r="U73" s="242">
        <v>0</v>
      </c>
    </row>
    <row r="74" spans="1:21" ht="14.4" customHeight="1" x14ac:dyDescent="0.3">
      <c r="A74" s="680">
        <v>50</v>
      </c>
      <c r="B74" s="671" t="s">
        <v>536</v>
      </c>
      <c r="C74" s="671">
        <v>89301501</v>
      </c>
      <c r="D74" s="703" t="s">
        <v>2486</v>
      </c>
      <c r="E74" s="704" t="s">
        <v>1921</v>
      </c>
      <c r="F74" s="671" t="s">
        <v>1912</v>
      </c>
      <c r="G74" s="671" t="s">
        <v>2043</v>
      </c>
      <c r="H74" s="671" t="s">
        <v>535</v>
      </c>
      <c r="I74" s="671" t="s">
        <v>1240</v>
      </c>
      <c r="J74" s="671" t="s">
        <v>1241</v>
      </c>
      <c r="K74" s="671" t="s">
        <v>2044</v>
      </c>
      <c r="L74" s="705">
        <v>23.46</v>
      </c>
      <c r="M74" s="705">
        <v>23.46</v>
      </c>
      <c r="N74" s="671">
        <v>1</v>
      </c>
      <c r="O74" s="706">
        <v>1</v>
      </c>
      <c r="P74" s="705"/>
      <c r="Q74" s="682">
        <v>0</v>
      </c>
      <c r="R74" s="671"/>
      <c r="S74" s="682">
        <v>0</v>
      </c>
      <c r="T74" s="706"/>
      <c r="U74" s="242">
        <v>0</v>
      </c>
    </row>
    <row r="75" spans="1:21" ht="14.4" customHeight="1" x14ac:dyDescent="0.3">
      <c r="A75" s="680">
        <v>50</v>
      </c>
      <c r="B75" s="671" t="s">
        <v>536</v>
      </c>
      <c r="C75" s="671">
        <v>89301501</v>
      </c>
      <c r="D75" s="703" t="s">
        <v>2486</v>
      </c>
      <c r="E75" s="704" t="s">
        <v>1921</v>
      </c>
      <c r="F75" s="671" t="s">
        <v>1912</v>
      </c>
      <c r="G75" s="671" t="s">
        <v>2020</v>
      </c>
      <c r="H75" s="671" t="s">
        <v>535</v>
      </c>
      <c r="I75" s="671" t="s">
        <v>2021</v>
      </c>
      <c r="J75" s="671" t="s">
        <v>730</v>
      </c>
      <c r="K75" s="671" t="s">
        <v>731</v>
      </c>
      <c r="L75" s="705">
        <v>91.88</v>
      </c>
      <c r="M75" s="705">
        <v>91.88</v>
      </c>
      <c r="N75" s="671">
        <v>1</v>
      </c>
      <c r="O75" s="706">
        <v>0.5</v>
      </c>
      <c r="P75" s="705"/>
      <c r="Q75" s="682">
        <v>0</v>
      </c>
      <c r="R75" s="671"/>
      <c r="S75" s="682">
        <v>0</v>
      </c>
      <c r="T75" s="706"/>
      <c r="U75" s="242">
        <v>0</v>
      </c>
    </row>
    <row r="76" spans="1:21" ht="14.4" customHeight="1" x14ac:dyDescent="0.3">
      <c r="A76" s="680">
        <v>50</v>
      </c>
      <c r="B76" s="671" t="s">
        <v>536</v>
      </c>
      <c r="C76" s="671">
        <v>89301501</v>
      </c>
      <c r="D76" s="703" t="s">
        <v>2486</v>
      </c>
      <c r="E76" s="704" t="s">
        <v>1921</v>
      </c>
      <c r="F76" s="671" t="s">
        <v>1912</v>
      </c>
      <c r="G76" s="671" t="s">
        <v>1974</v>
      </c>
      <c r="H76" s="671" t="s">
        <v>1039</v>
      </c>
      <c r="I76" s="671" t="s">
        <v>2045</v>
      </c>
      <c r="J76" s="671" t="s">
        <v>2046</v>
      </c>
      <c r="K76" s="671" t="s">
        <v>2047</v>
      </c>
      <c r="L76" s="705">
        <v>156.25</v>
      </c>
      <c r="M76" s="705">
        <v>156.25</v>
      </c>
      <c r="N76" s="671">
        <v>1</v>
      </c>
      <c r="O76" s="706">
        <v>0.5</v>
      </c>
      <c r="P76" s="705">
        <v>156.25</v>
      </c>
      <c r="Q76" s="682">
        <v>1</v>
      </c>
      <c r="R76" s="671">
        <v>1</v>
      </c>
      <c r="S76" s="682">
        <v>1</v>
      </c>
      <c r="T76" s="706">
        <v>0.5</v>
      </c>
      <c r="U76" s="242">
        <v>1</v>
      </c>
    </row>
    <row r="77" spans="1:21" ht="14.4" customHeight="1" x14ac:dyDescent="0.3">
      <c r="A77" s="680">
        <v>50</v>
      </c>
      <c r="B77" s="671" t="s">
        <v>536</v>
      </c>
      <c r="C77" s="671">
        <v>89301501</v>
      </c>
      <c r="D77" s="703" t="s">
        <v>2486</v>
      </c>
      <c r="E77" s="704" t="s">
        <v>1922</v>
      </c>
      <c r="F77" s="671" t="s">
        <v>1912</v>
      </c>
      <c r="G77" s="671" t="s">
        <v>1975</v>
      </c>
      <c r="H77" s="671" t="s">
        <v>1039</v>
      </c>
      <c r="I77" s="671" t="s">
        <v>1051</v>
      </c>
      <c r="J77" s="671" t="s">
        <v>1052</v>
      </c>
      <c r="K77" s="671" t="s">
        <v>1828</v>
      </c>
      <c r="L77" s="705">
        <v>75.28</v>
      </c>
      <c r="M77" s="705">
        <v>75.28</v>
      </c>
      <c r="N77" s="671">
        <v>1</v>
      </c>
      <c r="O77" s="706">
        <v>0.5</v>
      </c>
      <c r="P77" s="705"/>
      <c r="Q77" s="682">
        <v>0</v>
      </c>
      <c r="R77" s="671"/>
      <c r="S77" s="682">
        <v>0</v>
      </c>
      <c r="T77" s="706"/>
      <c r="U77" s="242">
        <v>0</v>
      </c>
    </row>
    <row r="78" spans="1:21" ht="14.4" customHeight="1" x14ac:dyDescent="0.3">
      <c r="A78" s="680">
        <v>50</v>
      </c>
      <c r="B78" s="671" t="s">
        <v>536</v>
      </c>
      <c r="C78" s="671">
        <v>89301501</v>
      </c>
      <c r="D78" s="703" t="s">
        <v>2486</v>
      </c>
      <c r="E78" s="704" t="s">
        <v>1922</v>
      </c>
      <c r="F78" s="671" t="s">
        <v>1912</v>
      </c>
      <c r="G78" s="671" t="s">
        <v>1975</v>
      </c>
      <c r="H78" s="671" t="s">
        <v>535</v>
      </c>
      <c r="I78" s="671" t="s">
        <v>2048</v>
      </c>
      <c r="J78" s="671" t="s">
        <v>2049</v>
      </c>
      <c r="K78" s="671" t="s">
        <v>1828</v>
      </c>
      <c r="L78" s="705">
        <v>0</v>
      </c>
      <c r="M78" s="705">
        <v>0</v>
      </c>
      <c r="N78" s="671">
        <v>1</v>
      </c>
      <c r="O78" s="706">
        <v>0.5</v>
      </c>
      <c r="P78" s="705"/>
      <c r="Q78" s="682"/>
      <c r="R78" s="671"/>
      <c r="S78" s="682">
        <v>0</v>
      </c>
      <c r="T78" s="706"/>
      <c r="U78" s="242">
        <v>0</v>
      </c>
    </row>
    <row r="79" spans="1:21" ht="14.4" customHeight="1" x14ac:dyDescent="0.3">
      <c r="A79" s="680">
        <v>50</v>
      </c>
      <c r="B79" s="671" t="s">
        <v>536</v>
      </c>
      <c r="C79" s="671">
        <v>89301501</v>
      </c>
      <c r="D79" s="703" t="s">
        <v>2486</v>
      </c>
      <c r="E79" s="704" t="s">
        <v>1922</v>
      </c>
      <c r="F79" s="671" t="s">
        <v>1912</v>
      </c>
      <c r="G79" s="671" t="s">
        <v>1975</v>
      </c>
      <c r="H79" s="671" t="s">
        <v>535</v>
      </c>
      <c r="I79" s="671" t="s">
        <v>2050</v>
      </c>
      <c r="J79" s="671" t="s">
        <v>2049</v>
      </c>
      <c r="K79" s="671" t="s">
        <v>1829</v>
      </c>
      <c r="L79" s="705">
        <v>0</v>
      </c>
      <c r="M79" s="705">
        <v>0</v>
      </c>
      <c r="N79" s="671">
        <v>1</v>
      </c>
      <c r="O79" s="706">
        <v>0.5</v>
      </c>
      <c r="P79" s="705"/>
      <c r="Q79" s="682"/>
      <c r="R79" s="671"/>
      <c r="S79" s="682">
        <v>0</v>
      </c>
      <c r="T79" s="706"/>
      <c r="U79" s="242">
        <v>0</v>
      </c>
    </row>
    <row r="80" spans="1:21" ht="14.4" customHeight="1" x14ac:dyDescent="0.3">
      <c r="A80" s="680">
        <v>50</v>
      </c>
      <c r="B80" s="671" t="s">
        <v>536</v>
      </c>
      <c r="C80" s="671">
        <v>89301501</v>
      </c>
      <c r="D80" s="703" t="s">
        <v>2486</v>
      </c>
      <c r="E80" s="704" t="s">
        <v>1922</v>
      </c>
      <c r="F80" s="671" t="s">
        <v>1912</v>
      </c>
      <c r="G80" s="671" t="s">
        <v>1931</v>
      </c>
      <c r="H80" s="671" t="s">
        <v>1039</v>
      </c>
      <c r="I80" s="671" t="s">
        <v>2022</v>
      </c>
      <c r="J80" s="671" t="s">
        <v>1542</v>
      </c>
      <c r="K80" s="671" t="s">
        <v>1060</v>
      </c>
      <c r="L80" s="705">
        <v>81.209999999999994</v>
      </c>
      <c r="M80" s="705">
        <v>81.209999999999994</v>
      </c>
      <c r="N80" s="671">
        <v>1</v>
      </c>
      <c r="O80" s="706">
        <v>0.5</v>
      </c>
      <c r="P80" s="705"/>
      <c r="Q80" s="682">
        <v>0</v>
      </c>
      <c r="R80" s="671"/>
      <c r="S80" s="682">
        <v>0</v>
      </c>
      <c r="T80" s="706"/>
      <c r="U80" s="242">
        <v>0</v>
      </c>
    </row>
    <row r="81" spans="1:21" ht="14.4" customHeight="1" x14ac:dyDescent="0.3">
      <c r="A81" s="680">
        <v>50</v>
      </c>
      <c r="B81" s="671" t="s">
        <v>536</v>
      </c>
      <c r="C81" s="671">
        <v>89301501</v>
      </c>
      <c r="D81" s="703" t="s">
        <v>2486</v>
      </c>
      <c r="E81" s="704" t="s">
        <v>1922</v>
      </c>
      <c r="F81" s="671" t="s">
        <v>1912</v>
      </c>
      <c r="G81" s="671" t="s">
        <v>1934</v>
      </c>
      <c r="H81" s="671" t="s">
        <v>1039</v>
      </c>
      <c r="I81" s="671" t="s">
        <v>1132</v>
      </c>
      <c r="J81" s="671" t="s">
        <v>1137</v>
      </c>
      <c r="K81" s="671" t="s">
        <v>1842</v>
      </c>
      <c r="L81" s="705">
        <v>130.59</v>
      </c>
      <c r="M81" s="705">
        <v>261.18</v>
      </c>
      <c r="N81" s="671">
        <v>2</v>
      </c>
      <c r="O81" s="706">
        <v>1</v>
      </c>
      <c r="P81" s="705"/>
      <c r="Q81" s="682">
        <v>0</v>
      </c>
      <c r="R81" s="671"/>
      <c r="S81" s="682">
        <v>0</v>
      </c>
      <c r="T81" s="706"/>
      <c r="U81" s="242">
        <v>0</v>
      </c>
    </row>
    <row r="82" spans="1:21" ht="14.4" customHeight="1" x14ac:dyDescent="0.3">
      <c r="A82" s="680">
        <v>50</v>
      </c>
      <c r="B82" s="671" t="s">
        <v>536</v>
      </c>
      <c r="C82" s="671">
        <v>89301501</v>
      </c>
      <c r="D82" s="703" t="s">
        <v>2486</v>
      </c>
      <c r="E82" s="704" t="s">
        <v>1922</v>
      </c>
      <c r="F82" s="671" t="s">
        <v>1912</v>
      </c>
      <c r="G82" s="671" t="s">
        <v>1934</v>
      </c>
      <c r="H82" s="671" t="s">
        <v>1039</v>
      </c>
      <c r="I82" s="671" t="s">
        <v>1179</v>
      </c>
      <c r="J82" s="671" t="s">
        <v>1184</v>
      </c>
      <c r="K82" s="671" t="s">
        <v>1844</v>
      </c>
      <c r="L82" s="705">
        <v>201.88</v>
      </c>
      <c r="M82" s="705">
        <v>1211.28</v>
      </c>
      <c r="N82" s="671">
        <v>6</v>
      </c>
      <c r="O82" s="706">
        <v>4.5</v>
      </c>
      <c r="P82" s="705">
        <v>201.88</v>
      </c>
      <c r="Q82" s="682">
        <v>0.16666666666666666</v>
      </c>
      <c r="R82" s="671">
        <v>1</v>
      </c>
      <c r="S82" s="682">
        <v>0.16666666666666666</v>
      </c>
      <c r="T82" s="706">
        <v>1</v>
      </c>
      <c r="U82" s="242">
        <v>0.22222222222222221</v>
      </c>
    </row>
    <row r="83" spans="1:21" ht="14.4" customHeight="1" x14ac:dyDescent="0.3">
      <c r="A83" s="680">
        <v>50</v>
      </c>
      <c r="B83" s="671" t="s">
        <v>536</v>
      </c>
      <c r="C83" s="671">
        <v>89301501</v>
      </c>
      <c r="D83" s="703" t="s">
        <v>2486</v>
      </c>
      <c r="E83" s="704" t="s">
        <v>1922</v>
      </c>
      <c r="F83" s="671" t="s">
        <v>1912</v>
      </c>
      <c r="G83" s="671" t="s">
        <v>1934</v>
      </c>
      <c r="H83" s="671" t="s">
        <v>1039</v>
      </c>
      <c r="I83" s="671" t="s">
        <v>1183</v>
      </c>
      <c r="J83" s="671" t="s">
        <v>1184</v>
      </c>
      <c r="K83" s="671" t="s">
        <v>1845</v>
      </c>
      <c r="L83" s="705">
        <v>672.94</v>
      </c>
      <c r="M83" s="705">
        <v>672.94</v>
      </c>
      <c r="N83" s="671">
        <v>1</v>
      </c>
      <c r="O83" s="706">
        <v>0.5</v>
      </c>
      <c r="P83" s="705"/>
      <c r="Q83" s="682">
        <v>0</v>
      </c>
      <c r="R83" s="671"/>
      <c r="S83" s="682">
        <v>0</v>
      </c>
      <c r="T83" s="706"/>
      <c r="U83" s="242">
        <v>0</v>
      </c>
    </row>
    <row r="84" spans="1:21" ht="14.4" customHeight="1" x14ac:dyDescent="0.3">
      <c r="A84" s="680">
        <v>50</v>
      </c>
      <c r="B84" s="671" t="s">
        <v>536</v>
      </c>
      <c r="C84" s="671">
        <v>89301501</v>
      </c>
      <c r="D84" s="703" t="s">
        <v>2486</v>
      </c>
      <c r="E84" s="704" t="s">
        <v>1922</v>
      </c>
      <c r="F84" s="671" t="s">
        <v>1912</v>
      </c>
      <c r="G84" s="671" t="s">
        <v>1934</v>
      </c>
      <c r="H84" s="671" t="s">
        <v>1039</v>
      </c>
      <c r="I84" s="671" t="s">
        <v>2051</v>
      </c>
      <c r="J84" s="671" t="s">
        <v>1977</v>
      </c>
      <c r="K84" s="671" t="s">
        <v>1978</v>
      </c>
      <c r="L84" s="705">
        <v>312.54000000000002</v>
      </c>
      <c r="M84" s="705">
        <v>312.54000000000002</v>
      </c>
      <c r="N84" s="671">
        <v>1</v>
      </c>
      <c r="O84" s="706">
        <v>1</v>
      </c>
      <c r="P84" s="705">
        <v>312.54000000000002</v>
      </c>
      <c r="Q84" s="682">
        <v>1</v>
      </c>
      <c r="R84" s="671">
        <v>1</v>
      </c>
      <c r="S84" s="682">
        <v>1</v>
      </c>
      <c r="T84" s="706">
        <v>1</v>
      </c>
      <c r="U84" s="242">
        <v>1</v>
      </c>
    </row>
    <row r="85" spans="1:21" ht="14.4" customHeight="1" x14ac:dyDescent="0.3">
      <c r="A85" s="680">
        <v>50</v>
      </c>
      <c r="B85" s="671" t="s">
        <v>536</v>
      </c>
      <c r="C85" s="671">
        <v>89301501</v>
      </c>
      <c r="D85" s="703" t="s">
        <v>2486</v>
      </c>
      <c r="E85" s="704" t="s">
        <v>1922</v>
      </c>
      <c r="F85" s="671" t="s">
        <v>1912</v>
      </c>
      <c r="G85" s="671" t="s">
        <v>2024</v>
      </c>
      <c r="H85" s="671" t="s">
        <v>1039</v>
      </c>
      <c r="I85" s="671" t="s">
        <v>1099</v>
      </c>
      <c r="J85" s="671" t="s">
        <v>1100</v>
      </c>
      <c r="K85" s="671" t="s">
        <v>1101</v>
      </c>
      <c r="L85" s="705">
        <v>41.89</v>
      </c>
      <c r="M85" s="705">
        <v>41.89</v>
      </c>
      <c r="N85" s="671">
        <v>1</v>
      </c>
      <c r="O85" s="706">
        <v>0.5</v>
      </c>
      <c r="P85" s="705"/>
      <c r="Q85" s="682">
        <v>0</v>
      </c>
      <c r="R85" s="671"/>
      <c r="S85" s="682">
        <v>0</v>
      </c>
      <c r="T85" s="706"/>
      <c r="U85" s="242">
        <v>0</v>
      </c>
    </row>
    <row r="86" spans="1:21" ht="14.4" customHeight="1" x14ac:dyDescent="0.3">
      <c r="A86" s="680">
        <v>50</v>
      </c>
      <c r="B86" s="671" t="s">
        <v>536</v>
      </c>
      <c r="C86" s="671">
        <v>89301501</v>
      </c>
      <c r="D86" s="703" t="s">
        <v>2486</v>
      </c>
      <c r="E86" s="704" t="s">
        <v>1922</v>
      </c>
      <c r="F86" s="671" t="s">
        <v>1912</v>
      </c>
      <c r="G86" s="671" t="s">
        <v>1935</v>
      </c>
      <c r="H86" s="671" t="s">
        <v>1039</v>
      </c>
      <c r="I86" s="671" t="s">
        <v>1088</v>
      </c>
      <c r="J86" s="671" t="s">
        <v>1089</v>
      </c>
      <c r="K86" s="671" t="s">
        <v>1090</v>
      </c>
      <c r="L86" s="705">
        <v>44.89</v>
      </c>
      <c r="M86" s="705">
        <v>224.45</v>
      </c>
      <c r="N86" s="671">
        <v>5</v>
      </c>
      <c r="O86" s="706">
        <v>2.5</v>
      </c>
      <c r="P86" s="705">
        <v>44.89</v>
      </c>
      <c r="Q86" s="682">
        <v>0.2</v>
      </c>
      <c r="R86" s="671">
        <v>1</v>
      </c>
      <c r="S86" s="682">
        <v>0.2</v>
      </c>
      <c r="T86" s="706">
        <v>0.5</v>
      </c>
      <c r="U86" s="242">
        <v>0.2</v>
      </c>
    </row>
    <row r="87" spans="1:21" ht="14.4" customHeight="1" x14ac:dyDescent="0.3">
      <c r="A87" s="680">
        <v>50</v>
      </c>
      <c r="B87" s="671" t="s">
        <v>536</v>
      </c>
      <c r="C87" s="671">
        <v>89301501</v>
      </c>
      <c r="D87" s="703" t="s">
        <v>2486</v>
      </c>
      <c r="E87" s="704" t="s">
        <v>1922</v>
      </c>
      <c r="F87" s="671" t="s">
        <v>1912</v>
      </c>
      <c r="G87" s="671" t="s">
        <v>1935</v>
      </c>
      <c r="H87" s="671" t="s">
        <v>535</v>
      </c>
      <c r="I87" s="671" t="s">
        <v>2052</v>
      </c>
      <c r="J87" s="671" t="s">
        <v>2053</v>
      </c>
      <c r="K87" s="671" t="s">
        <v>1090</v>
      </c>
      <c r="L87" s="705">
        <v>44.89</v>
      </c>
      <c r="M87" s="705">
        <v>44.89</v>
      </c>
      <c r="N87" s="671">
        <v>1</v>
      </c>
      <c r="O87" s="706">
        <v>0.5</v>
      </c>
      <c r="P87" s="705">
        <v>44.89</v>
      </c>
      <c r="Q87" s="682">
        <v>1</v>
      </c>
      <c r="R87" s="671">
        <v>1</v>
      </c>
      <c r="S87" s="682">
        <v>1</v>
      </c>
      <c r="T87" s="706">
        <v>0.5</v>
      </c>
      <c r="U87" s="242">
        <v>1</v>
      </c>
    </row>
    <row r="88" spans="1:21" ht="14.4" customHeight="1" x14ac:dyDescent="0.3">
      <c r="A88" s="680">
        <v>50</v>
      </c>
      <c r="B88" s="671" t="s">
        <v>536</v>
      </c>
      <c r="C88" s="671">
        <v>89301501</v>
      </c>
      <c r="D88" s="703" t="s">
        <v>2486</v>
      </c>
      <c r="E88" s="704" t="s">
        <v>1922</v>
      </c>
      <c r="F88" s="671" t="s">
        <v>1912</v>
      </c>
      <c r="G88" s="671" t="s">
        <v>1939</v>
      </c>
      <c r="H88" s="671" t="s">
        <v>535</v>
      </c>
      <c r="I88" s="671" t="s">
        <v>745</v>
      </c>
      <c r="J88" s="671" t="s">
        <v>1941</v>
      </c>
      <c r="K88" s="671" t="s">
        <v>2054</v>
      </c>
      <c r="L88" s="705">
        <v>128.9</v>
      </c>
      <c r="M88" s="705">
        <v>257.8</v>
      </c>
      <c r="N88" s="671">
        <v>2</v>
      </c>
      <c r="O88" s="706">
        <v>2</v>
      </c>
      <c r="P88" s="705"/>
      <c r="Q88" s="682">
        <v>0</v>
      </c>
      <c r="R88" s="671"/>
      <c r="S88" s="682">
        <v>0</v>
      </c>
      <c r="T88" s="706"/>
      <c r="U88" s="242">
        <v>0</v>
      </c>
    </row>
    <row r="89" spans="1:21" ht="14.4" customHeight="1" x14ac:dyDescent="0.3">
      <c r="A89" s="680">
        <v>50</v>
      </c>
      <c r="B89" s="671" t="s">
        <v>536</v>
      </c>
      <c r="C89" s="671">
        <v>89301501</v>
      </c>
      <c r="D89" s="703" t="s">
        <v>2486</v>
      </c>
      <c r="E89" s="704" t="s">
        <v>1922</v>
      </c>
      <c r="F89" s="671" t="s">
        <v>1912</v>
      </c>
      <c r="G89" s="671" t="s">
        <v>2055</v>
      </c>
      <c r="H89" s="671" t="s">
        <v>535</v>
      </c>
      <c r="I89" s="671" t="s">
        <v>2056</v>
      </c>
      <c r="J89" s="671" t="s">
        <v>2057</v>
      </c>
      <c r="K89" s="671" t="s">
        <v>1090</v>
      </c>
      <c r="L89" s="705">
        <v>273.48</v>
      </c>
      <c r="M89" s="705">
        <v>273.48</v>
      </c>
      <c r="N89" s="671">
        <v>1</v>
      </c>
      <c r="O89" s="706">
        <v>0.5</v>
      </c>
      <c r="P89" s="705">
        <v>273.48</v>
      </c>
      <c r="Q89" s="682">
        <v>1</v>
      </c>
      <c r="R89" s="671">
        <v>1</v>
      </c>
      <c r="S89" s="682">
        <v>1</v>
      </c>
      <c r="T89" s="706">
        <v>0.5</v>
      </c>
      <c r="U89" s="242">
        <v>1</v>
      </c>
    </row>
    <row r="90" spans="1:21" ht="14.4" customHeight="1" x14ac:dyDescent="0.3">
      <c r="A90" s="680">
        <v>50</v>
      </c>
      <c r="B90" s="671" t="s">
        <v>536</v>
      </c>
      <c r="C90" s="671">
        <v>89301501</v>
      </c>
      <c r="D90" s="703" t="s">
        <v>2486</v>
      </c>
      <c r="E90" s="704" t="s">
        <v>1922</v>
      </c>
      <c r="F90" s="671" t="s">
        <v>1912</v>
      </c>
      <c r="G90" s="671" t="s">
        <v>1979</v>
      </c>
      <c r="H90" s="671" t="s">
        <v>535</v>
      </c>
      <c r="I90" s="671" t="s">
        <v>2058</v>
      </c>
      <c r="J90" s="671" t="s">
        <v>2059</v>
      </c>
      <c r="K90" s="671" t="s">
        <v>2060</v>
      </c>
      <c r="L90" s="705">
        <v>61.65</v>
      </c>
      <c r="M90" s="705">
        <v>61.65</v>
      </c>
      <c r="N90" s="671">
        <v>1</v>
      </c>
      <c r="O90" s="706">
        <v>0.5</v>
      </c>
      <c r="P90" s="705">
        <v>61.65</v>
      </c>
      <c r="Q90" s="682">
        <v>1</v>
      </c>
      <c r="R90" s="671">
        <v>1</v>
      </c>
      <c r="S90" s="682">
        <v>1</v>
      </c>
      <c r="T90" s="706">
        <v>0.5</v>
      </c>
      <c r="U90" s="242">
        <v>1</v>
      </c>
    </row>
    <row r="91" spans="1:21" ht="14.4" customHeight="1" x14ac:dyDescent="0.3">
      <c r="A91" s="680">
        <v>50</v>
      </c>
      <c r="B91" s="671" t="s">
        <v>536</v>
      </c>
      <c r="C91" s="671">
        <v>89301501</v>
      </c>
      <c r="D91" s="703" t="s">
        <v>2486</v>
      </c>
      <c r="E91" s="704" t="s">
        <v>1922</v>
      </c>
      <c r="F91" s="671" t="s">
        <v>1912</v>
      </c>
      <c r="G91" s="671" t="s">
        <v>1979</v>
      </c>
      <c r="H91" s="671" t="s">
        <v>535</v>
      </c>
      <c r="I91" s="671" t="s">
        <v>1980</v>
      </c>
      <c r="J91" s="671" t="s">
        <v>1981</v>
      </c>
      <c r="K91" s="671" t="s">
        <v>1982</v>
      </c>
      <c r="L91" s="705">
        <v>0</v>
      </c>
      <c r="M91" s="705">
        <v>0</v>
      </c>
      <c r="N91" s="671">
        <v>1</v>
      </c>
      <c r="O91" s="706">
        <v>0.5</v>
      </c>
      <c r="P91" s="705"/>
      <c r="Q91" s="682"/>
      <c r="R91" s="671"/>
      <c r="S91" s="682">
        <v>0</v>
      </c>
      <c r="T91" s="706"/>
      <c r="U91" s="242">
        <v>0</v>
      </c>
    </row>
    <row r="92" spans="1:21" ht="14.4" customHeight="1" x14ac:dyDescent="0.3">
      <c r="A92" s="680">
        <v>50</v>
      </c>
      <c r="B92" s="671" t="s">
        <v>536</v>
      </c>
      <c r="C92" s="671">
        <v>89301501</v>
      </c>
      <c r="D92" s="703" t="s">
        <v>2486</v>
      </c>
      <c r="E92" s="704" t="s">
        <v>1922</v>
      </c>
      <c r="F92" s="671" t="s">
        <v>1912</v>
      </c>
      <c r="G92" s="671" t="s">
        <v>1979</v>
      </c>
      <c r="H92" s="671" t="s">
        <v>535</v>
      </c>
      <c r="I92" s="671" t="s">
        <v>797</v>
      </c>
      <c r="J92" s="671" t="s">
        <v>1981</v>
      </c>
      <c r="K92" s="671" t="s">
        <v>1983</v>
      </c>
      <c r="L92" s="705">
        <v>66.599999999999994</v>
      </c>
      <c r="M92" s="705">
        <v>133.19999999999999</v>
      </c>
      <c r="N92" s="671">
        <v>2</v>
      </c>
      <c r="O92" s="706">
        <v>1</v>
      </c>
      <c r="P92" s="705"/>
      <c r="Q92" s="682">
        <v>0</v>
      </c>
      <c r="R92" s="671"/>
      <c r="S92" s="682">
        <v>0</v>
      </c>
      <c r="T92" s="706"/>
      <c r="U92" s="242">
        <v>0</v>
      </c>
    </row>
    <row r="93" spans="1:21" ht="14.4" customHeight="1" x14ac:dyDescent="0.3">
      <c r="A93" s="680">
        <v>50</v>
      </c>
      <c r="B93" s="671" t="s">
        <v>536</v>
      </c>
      <c r="C93" s="671">
        <v>89301501</v>
      </c>
      <c r="D93" s="703" t="s">
        <v>2486</v>
      </c>
      <c r="E93" s="704" t="s">
        <v>1922</v>
      </c>
      <c r="F93" s="671" t="s">
        <v>1912</v>
      </c>
      <c r="G93" s="671" t="s">
        <v>1984</v>
      </c>
      <c r="H93" s="671" t="s">
        <v>535</v>
      </c>
      <c r="I93" s="671" t="s">
        <v>2061</v>
      </c>
      <c r="J93" s="671" t="s">
        <v>2062</v>
      </c>
      <c r="K93" s="671" t="s">
        <v>868</v>
      </c>
      <c r="L93" s="705">
        <v>0</v>
      </c>
      <c r="M93" s="705">
        <v>0</v>
      </c>
      <c r="N93" s="671">
        <v>1</v>
      </c>
      <c r="O93" s="706">
        <v>0.5</v>
      </c>
      <c r="P93" s="705"/>
      <c r="Q93" s="682"/>
      <c r="R93" s="671"/>
      <c r="S93" s="682">
        <v>0</v>
      </c>
      <c r="T93" s="706"/>
      <c r="U93" s="242">
        <v>0</v>
      </c>
    </row>
    <row r="94" spans="1:21" ht="14.4" customHeight="1" x14ac:dyDescent="0.3">
      <c r="A94" s="680">
        <v>50</v>
      </c>
      <c r="B94" s="671" t="s">
        <v>536</v>
      </c>
      <c r="C94" s="671">
        <v>89301501</v>
      </c>
      <c r="D94" s="703" t="s">
        <v>2486</v>
      </c>
      <c r="E94" s="704" t="s">
        <v>1922</v>
      </c>
      <c r="F94" s="671" t="s">
        <v>1912</v>
      </c>
      <c r="G94" s="671" t="s">
        <v>1984</v>
      </c>
      <c r="H94" s="671" t="s">
        <v>535</v>
      </c>
      <c r="I94" s="671" t="s">
        <v>2063</v>
      </c>
      <c r="J94" s="671" t="s">
        <v>2062</v>
      </c>
      <c r="K94" s="671" t="s">
        <v>2035</v>
      </c>
      <c r="L94" s="705">
        <v>56.23</v>
      </c>
      <c r="M94" s="705">
        <v>56.23</v>
      </c>
      <c r="N94" s="671">
        <v>1</v>
      </c>
      <c r="O94" s="706">
        <v>0.5</v>
      </c>
      <c r="P94" s="705"/>
      <c r="Q94" s="682">
        <v>0</v>
      </c>
      <c r="R94" s="671"/>
      <c r="S94" s="682">
        <v>0</v>
      </c>
      <c r="T94" s="706"/>
      <c r="U94" s="242">
        <v>0</v>
      </c>
    </row>
    <row r="95" spans="1:21" ht="14.4" customHeight="1" x14ac:dyDescent="0.3">
      <c r="A95" s="680">
        <v>50</v>
      </c>
      <c r="B95" s="671" t="s">
        <v>536</v>
      </c>
      <c r="C95" s="671">
        <v>89301501</v>
      </c>
      <c r="D95" s="703" t="s">
        <v>2486</v>
      </c>
      <c r="E95" s="704" t="s">
        <v>1922</v>
      </c>
      <c r="F95" s="671" t="s">
        <v>1912</v>
      </c>
      <c r="G95" s="671" t="s">
        <v>1984</v>
      </c>
      <c r="H95" s="671" t="s">
        <v>535</v>
      </c>
      <c r="I95" s="671" t="s">
        <v>2064</v>
      </c>
      <c r="J95" s="671" t="s">
        <v>1986</v>
      </c>
      <c r="K95" s="671" t="s">
        <v>2035</v>
      </c>
      <c r="L95" s="705">
        <v>42.18</v>
      </c>
      <c r="M95" s="705">
        <v>42.18</v>
      </c>
      <c r="N95" s="671">
        <v>1</v>
      </c>
      <c r="O95" s="706">
        <v>1</v>
      </c>
      <c r="P95" s="705"/>
      <c r="Q95" s="682">
        <v>0</v>
      </c>
      <c r="R95" s="671"/>
      <c r="S95" s="682">
        <v>0</v>
      </c>
      <c r="T95" s="706"/>
      <c r="U95" s="242">
        <v>0</v>
      </c>
    </row>
    <row r="96" spans="1:21" ht="14.4" customHeight="1" x14ac:dyDescent="0.3">
      <c r="A96" s="680">
        <v>50</v>
      </c>
      <c r="B96" s="671" t="s">
        <v>536</v>
      </c>
      <c r="C96" s="671">
        <v>89301501</v>
      </c>
      <c r="D96" s="703" t="s">
        <v>2486</v>
      </c>
      <c r="E96" s="704" t="s">
        <v>1922</v>
      </c>
      <c r="F96" s="671" t="s">
        <v>1912</v>
      </c>
      <c r="G96" s="671" t="s">
        <v>2065</v>
      </c>
      <c r="H96" s="671" t="s">
        <v>535</v>
      </c>
      <c r="I96" s="671" t="s">
        <v>825</v>
      </c>
      <c r="J96" s="671" t="s">
        <v>826</v>
      </c>
      <c r="K96" s="671" t="s">
        <v>827</v>
      </c>
      <c r="L96" s="705">
        <v>24.22</v>
      </c>
      <c r="M96" s="705">
        <v>24.22</v>
      </c>
      <c r="N96" s="671">
        <v>1</v>
      </c>
      <c r="O96" s="706">
        <v>0.5</v>
      </c>
      <c r="P96" s="705"/>
      <c r="Q96" s="682">
        <v>0</v>
      </c>
      <c r="R96" s="671"/>
      <c r="S96" s="682">
        <v>0</v>
      </c>
      <c r="T96" s="706"/>
      <c r="U96" s="242">
        <v>0</v>
      </c>
    </row>
    <row r="97" spans="1:21" ht="14.4" customHeight="1" x14ac:dyDescent="0.3">
      <c r="A97" s="680">
        <v>50</v>
      </c>
      <c r="B97" s="671" t="s">
        <v>536</v>
      </c>
      <c r="C97" s="671">
        <v>89301501</v>
      </c>
      <c r="D97" s="703" t="s">
        <v>2486</v>
      </c>
      <c r="E97" s="704" t="s">
        <v>1922</v>
      </c>
      <c r="F97" s="671" t="s">
        <v>1912</v>
      </c>
      <c r="G97" s="671" t="s">
        <v>1947</v>
      </c>
      <c r="H97" s="671" t="s">
        <v>535</v>
      </c>
      <c r="I97" s="671" t="s">
        <v>1948</v>
      </c>
      <c r="J97" s="671" t="s">
        <v>1949</v>
      </c>
      <c r="K97" s="671" t="s">
        <v>1950</v>
      </c>
      <c r="L97" s="705">
        <v>40.46</v>
      </c>
      <c r="M97" s="705">
        <v>40.46</v>
      </c>
      <c r="N97" s="671">
        <v>1</v>
      </c>
      <c r="O97" s="706">
        <v>0.5</v>
      </c>
      <c r="P97" s="705"/>
      <c r="Q97" s="682">
        <v>0</v>
      </c>
      <c r="R97" s="671"/>
      <c r="S97" s="682">
        <v>0</v>
      </c>
      <c r="T97" s="706"/>
      <c r="U97" s="242">
        <v>0</v>
      </c>
    </row>
    <row r="98" spans="1:21" ht="14.4" customHeight="1" x14ac:dyDescent="0.3">
      <c r="A98" s="680">
        <v>50</v>
      </c>
      <c r="B98" s="671" t="s">
        <v>536</v>
      </c>
      <c r="C98" s="671">
        <v>89301501</v>
      </c>
      <c r="D98" s="703" t="s">
        <v>2486</v>
      </c>
      <c r="E98" s="704" t="s">
        <v>1922</v>
      </c>
      <c r="F98" s="671" t="s">
        <v>1912</v>
      </c>
      <c r="G98" s="671" t="s">
        <v>2026</v>
      </c>
      <c r="H98" s="671" t="s">
        <v>535</v>
      </c>
      <c r="I98" s="671" t="s">
        <v>2027</v>
      </c>
      <c r="J98" s="671" t="s">
        <v>2028</v>
      </c>
      <c r="K98" s="671" t="s">
        <v>2029</v>
      </c>
      <c r="L98" s="705">
        <v>0</v>
      </c>
      <c r="M98" s="705">
        <v>0</v>
      </c>
      <c r="N98" s="671">
        <v>2</v>
      </c>
      <c r="O98" s="706">
        <v>1</v>
      </c>
      <c r="P98" s="705"/>
      <c r="Q98" s="682"/>
      <c r="R98" s="671"/>
      <c r="S98" s="682">
        <v>0</v>
      </c>
      <c r="T98" s="706"/>
      <c r="U98" s="242">
        <v>0</v>
      </c>
    </row>
    <row r="99" spans="1:21" ht="14.4" customHeight="1" x14ac:dyDescent="0.3">
      <c r="A99" s="680">
        <v>50</v>
      </c>
      <c r="B99" s="671" t="s">
        <v>536</v>
      </c>
      <c r="C99" s="671">
        <v>89301501</v>
      </c>
      <c r="D99" s="703" t="s">
        <v>2486</v>
      </c>
      <c r="E99" s="704" t="s">
        <v>1922</v>
      </c>
      <c r="F99" s="671" t="s">
        <v>1912</v>
      </c>
      <c r="G99" s="671" t="s">
        <v>2066</v>
      </c>
      <c r="H99" s="671" t="s">
        <v>1039</v>
      </c>
      <c r="I99" s="671" t="s">
        <v>1547</v>
      </c>
      <c r="J99" s="671" t="s">
        <v>1548</v>
      </c>
      <c r="K99" s="671" t="s">
        <v>1549</v>
      </c>
      <c r="L99" s="705">
        <v>25.07</v>
      </c>
      <c r="M99" s="705">
        <v>25.07</v>
      </c>
      <c r="N99" s="671">
        <v>1</v>
      </c>
      <c r="O99" s="706">
        <v>0.5</v>
      </c>
      <c r="P99" s="705"/>
      <c r="Q99" s="682">
        <v>0</v>
      </c>
      <c r="R99" s="671"/>
      <c r="S99" s="682">
        <v>0</v>
      </c>
      <c r="T99" s="706"/>
      <c r="U99" s="242">
        <v>0</v>
      </c>
    </row>
    <row r="100" spans="1:21" ht="14.4" customHeight="1" x14ac:dyDescent="0.3">
      <c r="A100" s="680">
        <v>50</v>
      </c>
      <c r="B100" s="671" t="s">
        <v>536</v>
      </c>
      <c r="C100" s="671">
        <v>89301501</v>
      </c>
      <c r="D100" s="703" t="s">
        <v>2486</v>
      </c>
      <c r="E100" s="704" t="s">
        <v>1922</v>
      </c>
      <c r="F100" s="671" t="s">
        <v>1912</v>
      </c>
      <c r="G100" s="671" t="s">
        <v>1951</v>
      </c>
      <c r="H100" s="671" t="s">
        <v>535</v>
      </c>
      <c r="I100" s="671" t="s">
        <v>878</v>
      </c>
      <c r="J100" s="671" t="s">
        <v>879</v>
      </c>
      <c r="K100" s="671" t="s">
        <v>880</v>
      </c>
      <c r="L100" s="705">
        <v>104.66</v>
      </c>
      <c r="M100" s="705">
        <v>523.29999999999995</v>
      </c>
      <c r="N100" s="671">
        <v>5</v>
      </c>
      <c r="O100" s="706">
        <v>2.5</v>
      </c>
      <c r="P100" s="705">
        <v>104.66</v>
      </c>
      <c r="Q100" s="682">
        <v>0.2</v>
      </c>
      <c r="R100" s="671">
        <v>1</v>
      </c>
      <c r="S100" s="682">
        <v>0.2</v>
      </c>
      <c r="T100" s="706">
        <v>0.5</v>
      </c>
      <c r="U100" s="242">
        <v>0.2</v>
      </c>
    </row>
    <row r="101" spans="1:21" ht="14.4" customHeight="1" x14ac:dyDescent="0.3">
      <c r="A101" s="680">
        <v>50</v>
      </c>
      <c r="B101" s="671" t="s">
        <v>536</v>
      </c>
      <c r="C101" s="671">
        <v>89301501</v>
      </c>
      <c r="D101" s="703" t="s">
        <v>2486</v>
      </c>
      <c r="E101" s="704" t="s">
        <v>1922</v>
      </c>
      <c r="F101" s="671" t="s">
        <v>1912</v>
      </c>
      <c r="G101" s="671" t="s">
        <v>1951</v>
      </c>
      <c r="H101" s="671" t="s">
        <v>535</v>
      </c>
      <c r="I101" s="671" t="s">
        <v>2067</v>
      </c>
      <c r="J101" s="671" t="s">
        <v>2068</v>
      </c>
      <c r="K101" s="671" t="s">
        <v>880</v>
      </c>
      <c r="L101" s="705">
        <v>0</v>
      </c>
      <c r="M101" s="705">
        <v>0</v>
      </c>
      <c r="N101" s="671">
        <v>1</v>
      </c>
      <c r="O101" s="706">
        <v>0.5</v>
      </c>
      <c r="P101" s="705"/>
      <c r="Q101" s="682"/>
      <c r="R101" s="671"/>
      <c r="S101" s="682">
        <v>0</v>
      </c>
      <c r="T101" s="706"/>
      <c r="U101" s="242">
        <v>0</v>
      </c>
    </row>
    <row r="102" spans="1:21" ht="14.4" customHeight="1" x14ac:dyDescent="0.3">
      <c r="A102" s="680">
        <v>50</v>
      </c>
      <c r="B102" s="671" t="s">
        <v>536</v>
      </c>
      <c r="C102" s="671">
        <v>89301501</v>
      </c>
      <c r="D102" s="703" t="s">
        <v>2486</v>
      </c>
      <c r="E102" s="704" t="s">
        <v>1922</v>
      </c>
      <c r="F102" s="671" t="s">
        <v>1912</v>
      </c>
      <c r="G102" s="671" t="s">
        <v>1952</v>
      </c>
      <c r="H102" s="671" t="s">
        <v>535</v>
      </c>
      <c r="I102" s="671" t="s">
        <v>1987</v>
      </c>
      <c r="J102" s="671" t="s">
        <v>1988</v>
      </c>
      <c r="K102" s="671" t="s">
        <v>1989</v>
      </c>
      <c r="L102" s="705">
        <v>0</v>
      </c>
      <c r="M102" s="705">
        <v>0</v>
      </c>
      <c r="N102" s="671">
        <v>6</v>
      </c>
      <c r="O102" s="706">
        <v>3</v>
      </c>
      <c r="P102" s="705"/>
      <c r="Q102" s="682"/>
      <c r="R102" s="671"/>
      <c r="S102" s="682">
        <v>0</v>
      </c>
      <c r="T102" s="706"/>
      <c r="U102" s="242">
        <v>0</v>
      </c>
    </row>
    <row r="103" spans="1:21" ht="14.4" customHeight="1" x14ac:dyDescent="0.3">
      <c r="A103" s="680">
        <v>50</v>
      </c>
      <c r="B103" s="671" t="s">
        <v>536</v>
      </c>
      <c r="C103" s="671">
        <v>89301501</v>
      </c>
      <c r="D103" s="703" t="s">
        <v>2486</v>
      </c>
      <c r="E103" s="704" t="s">
        <v>1922</v>
      </c>
      <c r="F103" s="671" t="s">
        <v>1912</v>
      </c>
      <c r="G103" s="671" t="s">
        <v>1952</v>
      </c>
      <c r="H103" s="671" t="s">
        <v>535</v>
      </c>
      <c r="I103" s="671" t="s">
        <v>2034</v>
      </c>
      <c r="J103" s="671" t="s">
        <v>856</v>
      </c>
      <c r="K103" s="671" t="s">
        <v>2035</v>
      </c>
      <c r="L103" s="705">
        <v>30.65</v>
      </c>
      <c r="M103" s="705">
        <v>30.65</v>
      </c>
      <c r="N103" s="671">
        <v>1</v>
      </c>
      <c r="O103" s="706">
        <v>0.5</v>
      </c>
      <c r="P103" s="705">
        <v>30.65</v>
      </c>
      <c r="Q103" s="682">
        <v>1</v>
      </c>
      <c r="R103" s="671">
        <v>1</v>
      </c>
      <c r="S103" s="682">
        <v>1</v>
      </c>
      <c r="T103" s="706">
        <v>0.5</v>
      </c>
      <c r="U103" s="242">
        <v>1</v>
      </c>
    </row>
    <row r="104" spans="1:21" ht="14.4" customHeight="1" x14ac:dyDescent="0.3">
      <c r="A104" s="680">
        <v>50</v>
      </c>
      <c r="B104" s="671" t="s">
        <v>536</v>
      </c>
      <c r="C104" s="671">
        <v>89301501</v>
      </c>
      <c r="D104" s="703" t="s">
        <v>2486</v>
      </c>
      <c r="E104" s="704" t="s">
        <v>1922</v>
      </c>
      <c r="F104" s="671" t="s">
        <v>1912</v>
      </c>
      <c r="G104" s="671" t="s">
        <v>1990</v>
      </c>
      <c r="H104" s="671" t="s">
        <v>1039</v>
      </c>
      <c r="I104" s="671" t="s">
        <v>1991</v>
      </c>
      <c r="J104" s="671" t="s">
        <v>1992</v>
      </c>
      <c r="K104" s="671" t="s">
        <v>1993</v>
      </c>
      <c r="L104" s="705">
        <v>50.57</v>
      </c>
      <c r="M104" s="705">
        <v>50.57</v>
      </c>
      <c r="N104" s="671">
        <v>1</v>
      </c>
      <c r="O104" s="706">
        <v>0.5</v>
      </c>
      <c r="P104" s="705"/>
      <c r="Q104" s="682">
        <v>0</v>
      </c>
      <c r="R104" s="671"/>
      <c r="S104" s="682">
        <v>0</v>
      </c>
      <c r="T104" s="706"/>
      <c r="U104" s="242">
        <v>0</v>
      </c>
    </row>
    <row r="105" spans="1:21" ht="14.4" customHeight="1" x14ac:dyDescent="0.3">
      <c r="A105" s="680">
        <v>50</v>
      </c>
      <c r="B105" s="671" t="s">
        <v>536</v>
      </c>
      <c r="C105" s="671">
        <v>89301501</v>
      </c>
      <c r="D105" s="703" t="s">
        <v>2486</v>
      </c>
      <c r="E105" s="704" t="s">
        <v>1922</v>
      </c>
      <c r="F105" s="671" t="s">
        <v>1912</v>
      </c>
      <c r="G105" s="671" t="s">
        <v>1956</v>
      </c>
      <c r="H105" s="671" t="s">
        <v>535</v>
      </c>
      <c r="I105" s="671" t="s">
        <v>1998</v>
      </c>
      <c r="J105" s="671" t="s">
        <v>676</v>
      </c>
      <c r="K105" s="671" t="s">
        <v>1999</v>
      </c>
      <c r="L105" s="705">
        <v>0</v>
      </c>
      <c r="M105" s="705">
        <v>0</v>
      </c>
      <c r="N105" s="671">
        <v>1</v>
      </c>
      <c r="O105" s="706">
        <v>0.5</v>
      </c>
      <c r="P105" s="705"/>
      <c r="Q105" s="682"/>
      <c r="R105" s="671"/>
      <c r="S105" s="682">
        <v>0</v>
      </c>
      <c r="T105" s="706"/>
      <c r="U105" s="242">
        <v>0</v>
      </c>
    </row>
    <row r="106" spans="1:21" ht="14.4" customHeight="1" x14ac:dyDescent="0.3">
      <c r="A106" s="680">
        <v>50</v>
      </c>
      <c r="B106" s="671" t="s">
        <v>536</v>
      </c>
      <c r="C106" s="671">
        <v>89301501</v>
      </c>
      <c r="D106" s="703" t="s">
        <v>2486</v>
      </c>
      <c r="E106" s="704" t="s">
        <v>1922</v>
      </c>
      <c r="F106" s="671" t="s">
        <v>1912</v>
      </c>
      <c r="G106" s="671" t="s">
        <v>1956</v>
      </c>
      <c r="H106" s="671" t="s">
        <v>535</v>
      </c>
      <c r="I106" s="671" t="s">
        <v>1960</v>
      </c>
      <c r="J106" s="671" t="s">
        <v>949</v>
      </c>
      <c r="K106" s="671" t="s">
        <v>1961</v>
      </c>
      <c r="L106" s="705">
        <v>0</v>
      </c>
      <c r="M106" s="705">
        <v>0</v>
      </c>
      <c r="N106" s="671">
        <v>1</v>
      </c>
      <c r="O106" s="706">
        <v>0.5</v>
      </c>
      <c r="P106" s="705"/>
      <c r="Q106" s="682"/>
      <c r="R106" s="671"/>
      <c r="S106" s="682">
        <v>0</v>
      </c>
      <c r="T106" s="706"/>
      <c r="U106" s="242">
        <v>0</v>
      </c>
    </row>
    <row r="107" spans="1:21" ht="14.4" customHeight="1" x14ac:dyDescent="0.3">
      <c r="A107" s="680">
        <v>50</v>
      </c>
      <c r="B107" s="671" t="s">
        <v>536</v>
      </c>
      <c r="C107" s="671">
        <v>89301501</v>
      </c>
      <c r="D107" s="703" t="s">
        <v>2486</v>
      </c>
      <c r="E107" s="704" t="s">
        <v>1922</v>
      </c>
      <c r="F107" s="671" t="s">
        <v>1912</v>
      </c>
      <c r="G107" s="671" t="s">
        <v>2000</v>
      </c>
      <c r="H107" s="671" t="s">
        <v>1039</v>
      </c>
      <c r="I107" s="671" t="s">
        <v>1191</v>
      </c>
      <c r="J107" s="671" t="s">
        <v>1192</v>
      </c>
      <c r="K107" s="671" t="s">
        <v>1193</v>
      </c>
      <c r="L107" s="705">
        <v>55.38</v>
      </c>
      <c r="M107" s="705">
        <v>166.14000000000001</v>
      </c>
      <c r="N107" s="671">
        <v>3</v>
      </c>
      <c r="O107" s="706">
        <v>1.5</v>
      </c>
      <c r="P107" s="705"/>
      <c r="Q107" s="682">
        <v>0</v>
      </c>
      <c r="R107" s="671"/>
      <c r="S107" s="682">
        <v>0</v>
      </c>
      <c r="T107" s="706"/>
      <c r="U107" s="242">
        <v>0</v>
      </c>
    </row>
    <row r="108" spans="1:21" ht="14.4" customHeight="1" x14ac:dyDescent="0.3">
      <c r="A108" s="680">
        <v>50</v>
      </c>
      <c r="B108" s="671" t="s">
        <v>536</v>
      </c>
      <c r="C108" s="671">
        <v>89301501</v>
      </c>
      <c r="D108" s="703" t="s">
        <v>2486</v>
      </c>
      <c r="E108" s="704" t="s">
        <v>1922</v>
      </c>
      <c r="F108" s="671" t="s">
        <v>1912</v>
      </c>
      <c r="G108" s="671" t="s">
        <v>2004</v>
      </c>
      <c r="H108" s="671" t="s">
        <v>1039</v>
      </c>
      <c r="I108" s="671" t="s">
        <v>2069</v>
      </c>
      <c r="J108" s="671" t="s">
        <v>1041</v>
      </c>
      <c r="K108" s="671" t="s">
        <v>2070</v>
      </c>
      <c r="L108" s="705">
        <v>0</v>
      </c>
      <c r="M108" s="705">
        <v>0</v>
      </c>
      <c r="N108" s="671">
        <v>1</v>
      </c>
      <c r="O108" s="706">
        <v>0.5</v>
      </c>
      <c r="P108" s="705"/>
      <c r="Q108" s="682"/>
      <c r="R108" s="671"/>
      <c r="S108" s="682">
        <v>0</v>
      </c>
      <c r="T108" s="706"/>
      <c r="U108" s="242">
        <v>0</v>
      </c>
    </row>
    <row r="109" spans="1:21" ht="14.4" customHeight="1" x14ac:dyDescent="0.3">
      <c r="A109" s="680">
        <v>50</v>
      </c>
      <c r="B109" s="671" t="s">
        <v>536</v>
      </c>
      <c r="C109" s="671">
        <v>89301501</v>
      </c>
      <c r="D109" s="703" t="s">
        <v>2486</v>
      </c>
      <c r="E109" s="704" t="s">
        <v>1922</v>
      </c>
      <c r="F109" s="671" t="s">
        <v>1912</v>
      </c>
      <c r="G109" s="671" t="s">
        <v>1963</v>
      </c>
      <c r="H109" s="671" t="s">
        <v>535</v>
      </c>
      <c r="I109" s="671" t="s">
        <v>2071</v>
      </c>
      <c r="J109" s="671" t="s">
        <v>818</v>
      </c>
      <c r="K109" s="671" t="s">
        <v>1090</v>
      </c>
      <c r="L109" s="705">
        <v>67.42</v>
      </c>
      <c r="M109" s="705">
        <v>67.42</v>
      </c>
      <c r="N109" s="671">
        <v>1</v>
      </c>
      <c r="O109" s="706">
        <v>0.5</v>
      </c>
      <c r="P109" s="705"/>
      <c r="Q109" s="682">
        <v>0</v>
      </c>
      <c r="R109" s="671"/>
      <c r="S109" s="682">
        <v>0</v>
      </c>
      <c r="T109" s="706"/>
      <c r="U109" s="242">
        <v>0</v>
      </c>
    </row>
    <row r="110" spans="1:21" ht="14.4" customHeight="1" x14ac:dyDescent="0.3">
      <c r="A110" s="680">
        <v>50</v>
      </c>
      <c r="B110" s="671" t="s">
        <v>536</v>
      </c>
      <c r="C110" s="671">
        <v>89301501</v>
      </c>
      <c r="D110" s="703" t="s">
        <v>2486</v>
      </c>
      <c r="E110" s="704" t="s">
        <v>1922</v>
      </c>
      <c r="F110" s="671" t="s">
        <v>1912</v>
      </c>
      <c r="G110" s="671" t="s">
        <v>1966</v>
      </c>
      <c r="H110" s="671" t="s">
        <v>535</v>
      </c>
      <c r="I110" s="671" t="s">
        <v>2072</v>
      </c>
      <c r="J110" s="671" t="s">
        <v>2073</v>
      </c>
      <c r="K110" s="671" t="s">
        <v>1218</v>
      </c>
      <c r="L110" s="705">
        <v>160.6</v>
      </c>
      <c r="M110" s="705">
        <v>160.6</v>
      </c>
      <c r="N110" s="671">
        <v>1</v>
      </c>
      <c r="O110" s="706">
        <v>0.5</v>
      </c>
      <c r="P110" s="705">
        <v>160.6</v>
      </c>
      <c r="Q110" s="682">
        <v>1</v>
      </c>
      <c r="R110" s="671">
        <v>1</v>
      </c>
      <c r="S110" s="682">
        <v>1</v>
      </c>
      <c r="T110" s="706">
        <v>0.5</v>
      </c>
      <c r="U110" s="242">
        <v>1</v>
      </c>
    </row>
    <row r="111" spans="1:21" ht="14.4" customHeight="1" x14ac:dyDescent="0.3">
      <c r="A111" s="680">
        <v>50</v>
      </c>
      <c r="B111" s="671" t="s">
        <v>536</v>
      </c>
      <c r="C111" s="671">
        <v>89301501</v>
      </c>
      <c r="D111" s="703" t="s">
        <v>2486</v>
      </c>
      <c r="E111" s="704" t="s">
        <v>1922</v>
      </c>
      <c r="F111" s="671" t="s">
        <v>1912</v>
      </c>
      <c r="G111" s="671" t="s">
        <v>2007</v>
      </c>
      <c r="H111" s="671" t="s">
        <v>1039</v>
      </c>
      <c r="I111" s="671" t="s">
        <v>2074</v>
      </c>
      <c r="J111" s="671" t="s">
        <v>2075</v>
      </c>
      <c r="K111" s="671" t="s">
        <v>2076</v>
      </c>
      <c r="L111" s="705">
        <v>1344.66</v>
      </c>
      <c r="M111" s="705">
        <v>1344.66</v>
      </c>
      <c r="N111" s="671">
        <v>1</v>
      </c>
      <c r="O111" s="706">
        <v>0.5</v>
      </c>
      <c r="P111" s="705"/>
      <c r="Q111" s="682">
        <v>0</v>
      </c>
      <c r="R111" s="671"/>
      <c r="S111" s="682">
        <v>0</v>
      </c>
      <c r="T111" s="706"/>
      <c r="U111" s="242">
        <v>0</v>
      </c>
    </row>
    <row r="112" spans="1:21" ht="14.4" customHeight="1" x14ac:dyDescent="0.3">
      <c r="A112" s="680">
        <v>50</v>
      </c>
      <c r="B112" s="671" t="s">
        <v>536</v>
      </c>
      <c r="C112" s="671">
        <v>89301501</v>
      </c>
      <c r="D112" s="703" t="s">
        <v>2486</v>
      </c>
      <c r="E112" s="704" t="s">
        <v>1922</v>
      </c>
      <c r="F112" s="671" t="s">
        <v>1912</v>
      </c>
      <c r="G112" s="671" t="s">
        <v>1969</v>
      </c>
      <c r="H112" s="671" t="s">
        <v>1039</v>
      </c>
      <c r="I112" s="671" t="s">
        <v>1058</v>
      </c>
      <c r="J112" s="671" t="s">
        <v>1838</v>
      </c>
      <c r="K112" s="671" t="s">
        <v>1060</v>
      </c>
      <c r="L112" s="705">
        <v>134.83000000000001</v>
      </c>
      <c r="M112" s="705">
        <v>269.66000000000003</v>
      </c>
      <c r="N112" s="671">
        <v>2</v>
      </c>
      <c r="O112" s="706">
        <v>1</v>
      </c>
      <c r="P112" s="705"/>
      <c r="Q112" s="682">
        <v>0</v>
      </c>
      <c r="R112" s="671"/>
      <c r="S112" s="682">
        <v>0</v>
      </c>
      <c r="T112" s="706"/>
      <c r="U112" s="242">
        <v>0</v>
      </c>
    </row>
    <row r="113" spans="1:21" ht="14.4" customHeight="1" x14ac:dyDescent="0.3">
      <c r="A113" s="680">
        <v>50</v>
      </c>
      <c r="B113" s="671" t="s">
        <v>536</v>
      </c>
      <c r="C113" s="671">
        <v>89301501</v>
      </c>
      <c r="D113" s="703" t="s">
        <v>2486</v>
      </c>
      <c r="E113" s="704" t="s">
        <v>1922</v>
      </c>
      <c r="F113" s="671" t="s">
        <v>1912</v>
      </c>
      <c r="G113" s="671" t="s">
        <v>1969</v>
      </c>
      <c r="H113" s="671" t="s">
        <v>1039</v>
      </c>
      <c r="I113" s="671" t="s">
        <v>2011</v>
      </c>
      <c r="J113" s="671" t="s">
        <v>1044</v>
      </c>
      <c r="K113" s="671" t="s">
        <v>1950</v>
      </c>
      <c r="L113" s="705">
        <v>33.72</v>
      </c>
      <c r="M113" s="705">
        <v>67.44</v>
      </c>
      <c r="N113" s="671">
        <v>2</v>
      </c>
      <c r="O113" s="706">
        <v>1</v>
      </c>
      <c r="P113" s="705">
        <v>33.72</v>
      </c>
      <c r="Q113" s="682">
        <v>0.5</v>
      </c>
      <c r="R113" s="671">
        <v>1</v>
      </c>
      <c r="S113" s="682">
        <v>0.5</v>
      </c>
      <c r="T113" s="706">
        <v>0.5</v>
      </c>
      <c r="U113" s="242">
        <v>0.5</v>
      </c>
    </row>
    <row r="114" spans="1:21" ht="14.4" customHeight="1" x14ac:dyDescent="0.3">
      <c r="A114" s="680">
        <v>50</v>
      </c>
      <c r="B114" s="671" t="s">
        <v>536</v>
      </c>
      <c r="C114" s="671">
        <v>89301501</v>
      </c>
      <c r="D114" s="703" t="s">
        <v>2486</v>
      </c>
      <c r="E114" s="704" t="s">
        <v>1922</v>
      </c>
      <c r="F114" s="671" t="s">
        <v>1912</v>
      </c>
      <c r="G114" s="671" t="s">
        <v>1969</v>
      </c>
      <c r="H114" s="671" t="s">
        <v>1039</v>
      </c>
      <c r="I114" s="671" t="s">
        <v>1110</v>
      </c>
      <c r="J114" s="671" t="s">
        <v>1839</v>
      </c>
      <c r="K114" s="671" t="s">
        <v>1153</v>
      </c>
      <c r="L114" s="705">
        <v>67.42</v>
      </c>
      <c r="M114" s="705">
        <v>202.26</v>
      </c>
      <c r="N114" s="671">
        <v>3</v>
      </c>
      <c r="O114" s="706">
        <v>1.5</v>
      </c>
      <c r="P114" s="705">
        <v>67.42</v>
      </c>
      <c r="Q114" s="682">
        <v>0.33333333333333337</v>
      </c>
      <c r="R114" s="671">
        <v>1</v>
      </c>
      <c r="S114" s="682">
        <v>0.33333333333333331</v>
      </c>
      <c r="T114" s="706">
        <v>0.5</v>
      </c>
      <c r="U114" s="242">
        <v>0.33333333333333331</v>
      </c>
    </row>
    <row r="115" spans="1:21" ht="14.4" customHeight="1" x14ac:dyDescent="0.3">
      <c r="A115" s="680">
        <v>50</v>
      </c>
      <c r="B115" s="671" t="s">
        <v>536</v>
      </c>
      <c r="C115" s="671">
        <v>89301501</v>
      </c>
      <c r="D115" s="703" t="s">
        <v>2486</v>
      </c>
      <c r="E115" s="704" t="s">
        <v>1922</v>
      </c>
      <c r="F115" s="671" t="s">
        <v>1912</v>
      </c>
      <c r="G115" s="671" t="s">
        <v>2012</v>
      </c>
      <c r="H115" s="671" t="s">
        <v>1039</v>
      </c>
      <c r="I115" s="671" t="s">
        <v>2077</v>
      </c>
      <c r="J115" s="671" t="s">
        <v>2078</v>
      </c>
      <c r="K115" s="671" t="s">
        <v>1842</v>
      </c>
      <c r="L115" s="705">
        <v>201.88</v>
      </c>
      <c r="M115" s="705">
        <v>201.88</v>
      </c>
      <c r="N115" s="671">
        <v>1</v>
      </c>
      <c r="O115" s="706">
        <v>0.5</v>
      </c>
      <c r="P115" s="705">
        <v>201.88</v>
      </c>
      <c r="Q115" s="682">
        <v>1</v>
      </c>
      <c r="R115" s="671">
        <v>1</v>
      </c>
      <c r="S115" s="682">
        <v>1</v>
      </c>
      <c r="T115" s="706">
        <v>0.5</v>
      </c>
      <c r="U115" s="242">
        <v>1</v>
      </c>
    </row>
    <row r="116" spans="1:21" ht="14.4" customHeight="1" x14ac:dyDescent="0.3">
      <c r="A116" s="680">
        <v>50</v>
      </c>
      <c r="B116" s="671" t="s">
        <v>536</v>
      </c>
      <c r="C116" s="671">
        <v>89301501</v>
      </c>
      <c r="D116" s="703" t="s">
        <v>2486</v>
      </c>
      <c r="E116" s="704" t="s">
        <v>1922</v>
      </c>
      <c r="F116" s="671" t="s">
        <v>1912</v>
      </c>
      <c r="G116" s="671" t="s">
        <v>1971</v>
      </c>
      <c r="H116" s="671" t="s">
        <v>535</v>
      </c>
      <c r="I116" s="671" t="s">
        <v>1972</v>
      </c>
      <c r="J116" s="671" t="s">
        <v>864</v>
      </c>
      <c r="K116" s="671" t="s">
        <v>1973</v>
      </c>
      <c r="L116" s="705">
        <v>112.13</v>
      </c>
      <c r="M116" s="705">
        <v>112.13</v>
      </c>
      <c r="N116" s="671">
        <v>1</v>
      </c>
      <c r="O116" s="706">
        <v>0.5</v>
      </c>
      <c r="P116" s="705"/>
      <c r="Q116" s="682">
        <v>0</v>
      </c>
      <c r="R116" s="671"/>
      <c r="S116" s="682">
        <v>0</v>
      </c>
      <c r="T116" s="706"/>
      <c r="U116" s="242">
        <v>0</v>
      </c>
    </row>
    <row r="117" spans="1:21" ht="14.4" customHeight="1" x14ac:dyDescent="0.3">
      <c r="A117" s="680">
        <v>50</v>
      </c>
      <c r="B117" s="671" t="s">
        <v>536</v>
      </c>
      <c r="C117" s="671">
        <v>89301501</v>
      </c>
      <c r="D117" s="703" t="s">
        <v>2486</v>
      </c>
      <c r="E117" s="704" t="s">
        <v>1922</v>
      </c>
      <c r="F117" s="671" t="s">
        <v>1912</v>
      </c>
      <c r="G117" s="671" t="s">
        <v>2014</v>
      </c>
      <c r="H117" s="671" t="s">
        <v>535</v>
      </c>
      <c r="I117" s="671" t="s">
        <v>2079</v>
      </c>
      <c r="J117" s="671" t="s">
        <v>2016</v>
      </c>
      <c r="K117" s="671" t="s">
        <v>2080</v>
      </c>
      <c r="L117" s="705">
        <v>219.94</v>
      </c>
      <c r="M117" s="705">
        <v>439.88</v>
      </c>
      <c r="N117" s="671">
        <v>2</v>
      </c>
      <c r="O117" s="706">
        <v>1</v>
      </c>
      <c r="P117" s="705">
        <v>219.94</v>
      </c>
      <c r="Q117" s="682">
        <v>0.5</v>
      </c>
      <c r="R117" s="671">
        <v>1</v>
      </c>
      <c r="S117" s="682">
        <v>0.5</v>
      </c>
      <c r="T117" s="706">
        <v>0.5</v>
      </c>
      <c r="U117" s="242">
        <v>0.5</v>
      </c>
    </row>
    <row r="118" spans="1:21" ht="14.4" customHeight="1" x14ac:dyDescent="0.3">
      <c r="A118" s="680">
        <v>50</v>
      </c>
      <c r="B118" s="671" t="s">
        <v>536</v>
      </c>
      <c r="C118" s="671">
        <v>89301501</v>
      </c>
      <c r="D118" s="703" t="s">
        <v>2486</v>
      </c>
      <c r="E118" s="704" t="s">
        <v>1922</v>
      </c>
      <c r="F118" s="671" t="s">
        <v>1912</v>
      </c>
      <c r="G118" s="671" t="s">
        <v>2014</v>
      </c>
      <c r="H118" s="671" t="s">
        <v>535</v>
      </c>
      <c r="I118" s="671" t="s">
        <v>2015</v>
      </c>
      <c r="J118" s="671" t="s">
        <v>2016</v>
      </c>
      <c r="K118" s="671" t="s">
        <v>2017</v>
      </c>
      <c r="L118" s="705">
        <v>43.99</v>
      </c>
      <c r="M118" s="705">
        <v>43.99</v>
      </c>
      <c r="N118" s="671">
        <v>1</v>
      </c>
      <c r="O118" s="706">
        <v>0.5</v>
      </c>
      <c r="P118" s="705"/>
      <c r="Q118" s="682">
        <v>0</v>
      </c>
      <c r="R118" s="671"/>
      <c r="S118" s="682">
        <v>0</v>
      </c>
      <c r="T118" s="706"/>
      <c r="U118" s="242">
        <v>0</v>
      </c>
    </row>
    <row r="119" spans="1:21" ht="14.4" customHeight="1" x14ac:dyDescent="0.3">
      <c r="A119" s="680">
        <v>50</v>
      </c>
      <c r="B119" s="671" t="s">
        <v>536</v>
      </c>
      <c r="C119" s="671">
        <v>89301501</v>
      </c>
      <c r="D119" s="703" t="s">
        <v>2486</v>
      </c>
      <c r="E119" s="704" t="s">
        <v>1922</v>
      </c>
      <c r="F119" s="671" t="s">
        <v>1912</v>
      </c>
      <c r="G119" s="671" t="s">
        <v>2081</v>
      </c>
      <c r="H119" s="671" t="s">
        <v>1039</v>
      </c>
      <c r="I119" s="671" t="s">
        <v>1171</v>
      </c>
      <c r="J119" s="671" t="s">
        <v>1172</v>
      </c>
      <c r="K119" s="671" t="s">
        <v>1173</v>
      </c>
      <c r="L119" s="705">
        <v>492.45</v>
      </c>
      <c r="M119" s="705">
        <v>492.45</v>
      </c>
      <c r="N119" s="671">
        <v>1</v>
      </c>
      <c r="O119" s="706">
        <v>0.5</v>
      </c>
      <c r="P119" s="705"/>
      <c r="Q119" s="682">
        <v>0</v>
      </c>
      <c r="R119" s="671"/>
      <c r="S119" s="682">
        <v>0</v>
      </c>
      <c r="T119" s="706"/>
      <c r="U119" s="242">
        <v>0</v>
      </c>
    </row>
    <row r="120" spans="1:21" ht="14.4" customHeight="1" x14ac:dyDescent="0.3">
      <c r="A120" s="680">
        <v>50</v>
      </c>
      <c r="B120" s="671" t="s">
        <v>536</v>
      </c>
      <c r="C120" s="671">
        <v>89301501</v>
      </c>
      <c r="D120" s="703" t="s">
        <v>2486</v>
      </c>
      <c r="E120" s="704" t="s">
        <v>1922</v>
      </c>
      <c r="F120" s="671" t="s">
        <v>1912</v>
      </c>
      <c r="G120" s="671" t="s">
        <v>2081</v>
      </c>
      <c r="H120" s="671" t="s">
        <v>535</v>
      </c>
      <c r="I120" s="671" t="s">
        <v>2082</v>
      </c>
      <c r="J120" s="671" t="s">
        <v>2083</v>
      </c>
      <c r="K120" s="671" t="s">
        <v>2084</v>
      </c>
      <c r="L120" s="705">
        <v>0</v>
      </c>
      <c r="M120" s="705">
        <v>0</v>
      </c>
      <c r="N120" s="671">
        <v>1</v>
      </c>
      <c r="O120" s="706">
        <v>0.5</v>
      </c>
      <c r="P120" s="705"/>
      <c r="Q120" s="682"/>
      <c r="R120" s="671"/>
      <c r="S120" s="682">
        <v>0</v>
      </c>
      <c r="T120" s="706"/>
      <c r="U120" s="242">
        <v>0</v>
      </c>
    </row>
    <row r="121" spans="1:21" ht="14.4" customHeight="1" x14ac:dyDescent="0.3">
      <c r="A121" s="680">
        <v>50</v>
      </c>
      <c r="B121" s="671" t="s">
        <v>536</v>
      </c>
      <c r="C121" s="671">
        <v>89301501</v>
      </c>
      <c r="D121" s="703" t="s">
        <v>2486</v>
      </c>
      <c r="E121" s="704" t="s">
        <v>1922</v>
      </c>
      <c r="F121" s="671" t="s">
        <v>1912</v>
      </c>
      <c r="G121" s="671" t="s">
        <v>2020</v>
      </c>
      <c r="H121" s="671" t="s">
        <v>535</v>
      </c>
      <c r="I121" s="671" t="s">
        <v>725</v>
      </c>
      <c r="J121" s="671" t="s">
        <v>726</v>
      </c>
      <c r="K121" s="671" t="s">
        <v>727</v>
      </c>
      <c r="L121" s="705">
        <v>45.94</v>
      </c>
      <c r="M121" s="705">
        <v>91.88</v>
      </c>
      <c r="N121" s="671">
        <v>2</v>
      </c>
      <c r="O121" s="706">
        <v>1</v>
      </c>
      <c r="P121" s="705"/>
      <c r="Q121" s="682">
        <v>0</v>
      </c>
      <c r="R121" s="671"/>
      <c r="S121" s="682">
        <v>0</v>
      </c>
      <c r="T121" s="706"/>
      <c r="U121" s="242">
        <v>0</v>
      </c>
    </row>
    <row r="122" spans="1:21" ht="14.4" customHeight="1" x14ac:dyDescent="0.3">
      <c r="A122" s="680">
        <v>50</v>
      </c>
      <c r="B122" s="671" t="s">
        <v>536</v>
      </c>
      <c r="C122" s="671">
        <v>89301501</v>
      </c>
      <c r="D122" s="703" t="s">
        <v>2486</v>
      </c>
      <c r="E122" s="704" t="s">
        <v>1922</v>
      </c>
      <c r="F122" s="671" t="s">
        <v>1912</v>
      </c>
      <c r="G122" s="671" t="s">
        <v>2085</v>
      </c>
      <c r="H122" s="671" t="s">
        <v>535</v>
      </c>
      <c r="I122" s="671" t="s">
        <v>2086</v>
      </c>
      <c r="J122" s="671" t="s">
        <v>2087</v>
      </c>
      <c r="K122" s="671" t="s">
        <v>872</v>
      </c>
      <c r="L122" s="705">
        <v>0</v>
      </c>
      <c r="M122" s="705">
        <v>0</v>
      </c>
      <c r="N122" s="671">
        <v>1</v>
      </c>
      <c r="O122" s="706">
        <v>0.5</v>
      </c>
      <c r="P122" s="705"/>
      <c r="Q122" s="682"/>
      <c r="R122" s="671"/>
      <c r="S122" s="682">
        <v>0</v>
      </c>
      <c r="T122" s="706"/>
      <c r="U122" s="242">
        <v>0</v>
      </c>
    </row>
    <row r="123" spans="1:21" ht="14.4" customHeight="1" x14ac:dyDescent="0.3">
      <c r="A123" s="680">
        <v>50</v>
      </c>
      <c r="B123" s="671" t="s">
        <v>536</v>
      </c>
      <c r="C123" s="671">
        <v>89301501</v>
      </c>
      <c r="D123" s="703" t="s">
        <v>2486</v>
      </c>
      <c r="E123" s="704" t="s">
        <v>1922</v>
      </c>
      <c r="F123" s="671" t="s">
        <v>1912</v>
      </c>
      <c r="G123" s="671" t="s">
        <v>1974</v>
      </c>
      <c r="H123" s="671" t="s">
        <v>1039</v>
      </c>
      <c r="I123" s="671" t="s">
        <v>2045</v>
      </c>
      <c r="J123" s="671" t="s">
        <v>2046</v>
      </c>
      <c r="K123" s="671" t="s">
        <v>2047</v>
      </c>
      <c r="L123" s="705">
        <v>156.25</v>
      </c>
      <c r="M123" s="705">
        <v>312.5</v>
      </c>
      <c r="N123" s="671">
        <v>2</v>
      </c>
      <c r="O123" s="706">
        <v>1</v>
      </c>
      <c r="P123" s="705"/>
      <c r="Q123" s="682">
        <v>0</v>
      </c>
      <c r="R123" s="671"/>
      <c r="S123" s="682">
        <v>0</v>
      </c>
      <c r="T123" s="706"/>
      <c r="U123" s="242">
        <v>0</v>
      </c>
    </row>
    <row r="124" spans="1:21" ht="14.4" customHeight="1" x14ac:dyDescent="0.3">
      <c r="A124" s="680">
        <v>50</v>
      </c>
      <c r="B124" s="671" t="s">
        <v>536</v>
      </c>
      <c r="C124" s="671">
        <v>89301501</v>
      </c>
      <c r="D124" s="703" t="s">
        <v>2486</v>
      </c>
      <c r="E124" s="704" t="s">
        <v>1922</v>
      </c>
      <c r="F124" s="671" t="s">
        <v>1912</v>
      </c>
      <c r="G124" s="671" t="s">
        <v>1974</v>
      </c>
      <c r="H124" s="671" t="s">
        <v>1039</v>
      </c>
      <c r="I124" s="671" t="s">
        <v>1140</v>
      </c>
      <c r="J124" s="671" t="s">
        <v>1821</v>
      </c>
      <c r="K124" s="671" t="s">
        <v>1539</v>
      </c>
      <c r="L124" s="705">
        <v>193.14</v>
      </c>
      <c r="M124" s="705">
        <v>579.41999999999996</v>
      </c>
      <c r="N124" s="671">
        <v>3</v>
      </c>
      <c r="O124" s="706">
        <v>1.5</v>
      </c>
      <c r="P124" s="705">
        <v>193.14</v>
      </c>
      <c r="Q124" s="682">
        <v>0.33333333333333331</v>
      </c>
      <c r="R124" s="671">
        <v>1</v>
      </c>
      <c r="S124" s="682">
        <v>0.33333333333333331</v>
      </c>
      <c r="T124" s="706">
        <v>0.5</v>
      </c>
      <c r="U124" s="242">
        <v>0.33333333333333331</v>
      </c>
    </row>
    <row r="125" spans="1:21" ht="14.4" customHeight="1" x14ac:dyDescent="0.3">
      <c r="A125" s="680">
        <v>50</v>
      </c>
      <c r="B125" s="671" t="s">
        <v>536</v>
      </c>
      <c r="C125" s="671">
        <v>89301501</v>
      </c>
      <c r="D125" s="703" t="s">
        <v>2486</v>
      </c>
      <c r="E125" s="704" t="s">
        <v>1924</v>
      </c>
      <c r="F125" s="671" t="s">
        <v>1912</v>
      </c>
      <c r="G125" s="671" t="s">
        <v>1975</v>
      </c>
      <c r="H125" s="671" t="s">
        <v>1039</v>
      </c>
      <c r="I125" s="671" t="s">
        <v>1051</v>
      </c>
      <c r="J125" s="671" t="s">
        <v>1052</v>
      </c>
      <c r="K125" s="671" t="s">
        <v>1828</v>
      </c>
      <c r="L125" s="705">
        <v>75.28</v>
      </c>
      <c r="M125" s="705">
        <v>75.28</v>
      </c>
      <c r="N125" s="671">
        <v>1</v>
      </c>
      <c r="O125" s="706">
        <v>0.5</v>
      </c>
      <c r="P125" s="705">
        <v>75.28</v>
      </c>
      <c r="Q125" s="682">
        <v>1</v>
      </c>
      <c r="R125" s="671">
        <v>1</v>
      </c>
      <c r="S125" s="682">
        <v>1</v>
      </c>
      <c r="T125" s="706">
        <v>0.5</v>
      </c>
      <c r="U125" s="242">
        <v>1</v>
      </c>
    </row>
    <row r="126" spans="1:21" ht="14.4" customHeight="1" x14ac:dyDescent="0.3">
      <c r="A126" s="680">
        <v>50</v>
      </c>
      <c r="B126" s="671" t="s">
        <v>536</v>
      </c>
      <c r="C126" s="671">
        <v>89301501</v>
      </c>
      <c r="D126" s="703" t="s">
        <v>2486</v>
      </c>
      <c r="E126" s="704" t="s">
        <v>1924</v>
      </c>
      <c r="F126" s="671" t="s">
        <v>1912</v>
      </c>
      <c r="G126" s="671" t="s">
        <v>1975</v>
      </c>
      <c r="H126" s="671" t="s">
        <v>1039</v>
      </c>
      <c r="I126" s="671" t="s">
        <v>1055</v>
      </c>
      <c r="J126" s="671" t="s">
        <v>1052</v>
      </c>
      <c r="K126" s="671" t="s">
        <v>1829</v>
      </c>
      <c r="L126" s="705">
        <v>150.55000000000001</v>
      </c>
      <c r="M126" s="705">
        <v>150.55000000000001</v>
      </c>
      <c r="N126" s="671">
        <v>1</v>
      </c>
      <c r="O126" s="706">
        <v>0.5</v>
      </c>
      <c r="P126" s="705">
        <v>150.55000000000001</v>
      </c>
      <c r="Q126" s="682">
        <v>1</v>
      </c>
      <c r="R126" s="671">
        <v>1</v>
      </c>
      <c r="S126" s="682">
        <v>1</v>
      </c>
      <c r="T126" s="706">
        <v>0.5</v>
      </c>
      <c r="U126" s="242">
        <v>1</v>
      </c>
    </row>
    <row r="127" spans="1:21" ht="14.4" customHeight="1" x14ac:dyDescent="0.3">
      <c r="A127" s="680">
        <v>50</v>
      </c>
      <c r="B127" s="671" t="s">
        <v>536</v>
      </c>
      <c r="C127" s="671">
        <v>89301501</v>
      </c>
      <c r="D127" s="703" t="s">
        <v>2486</v>
      </c>
      <c r="E127" s="704" t="s">
        <v>1924</v>
      </c>
      <c r="F127" s="671" t="s">
        <v>1912</v>
      </c>
      <c r="G127" s="671" t="s">
        <v>1934</v>
      </c>
      <c r="H127" s="671" t="s">
        <v>1039</v>
      </c>
      <c r="I127" s="671" t="s">
        <v>1179</v>
      </c>
      <c r="J127" s="671" t="s">
        <v>1184</v>
      </c>
      <c r="K127" s="671" t="s">
        <v>1844</v>
      </c>
      <c r="L127" s="705">
        <v>201.88</v>
      </c>
      <c r="M127" s="705">
        <v>201.88</v>
      </c>
      <c r="N127" s="671">
        <v>1</v>
      </c>
      <c r="O127" s="706">
        <v>0.5</v>
      </c>
      <c r="P127" s="705">
        <v>201.88</v>
      </c>
      <c r="Q127" s="682">
        <v>1</v>
      </c>
      <c r="R127" s="671">
        <v>1</v>
      </c>
      <c r="S127" s="682">
        <v>1</v>
      </c>
      <c r="T127" s="706">
        <v>0.5</v>
      </c>
      <c r="U127" s="242">
        <v>1</v>
      </c>
    </row>
    <row r="128" spans="1:21" ht="14.4" customHeight="1" x14ac:dyDescent="0.3">
      <c r="A128" s="680">
        <v>50</v>
      </c>
      <c r="B128" s="671" t="s">
        <v>536</v>
      </c>
      <c r="C128" s="671">
        <v>89301501</v>
      </c>
      <c r="D128" s="703" t="s">
        <v>2486</v>
      </c>
      <c r="E128" s="704" t="s">
        <v>1924</v>
      </c>
      <c r="F128" s="671" t="s">
        <v>1912</v>
      </c>
      <c r="G128" s="671" t="s">
        <v>1935</v>
      </c>
      <c r="H128" s="671" t="s">
        <v>1039</v>
      </c>
      <c r="I128" s="671" t="s">
        <v>1088</v>
      </c>
      <c r="J128" s="671" t="s">
        <v>1089</v>
      </c>
      <c r="K128" s="671" t="s">
        <v>1090</v>
      </c>
      <c r="L128" s="705">
        <v>44.89</v>
      </c>
      <c r="M128" s="705">
        <v>44.89</v>
      </c>
      <c r="N128" s="671">
        <v>1</v>
      </c>
      <c r="O128" s="706">
        <v>0.5</v>
      </c>
      <c r="P128" s="705"/>
      <c r="Q128" s="682">
        <v>0</v>
      </c>
      <c r="R128" s="671"/>
      <c r="S128" s="682">
        <v>0</v>
      </c>
      <c r="T128" s="706"/>
      <c r="U128" s="242">
        <v>0</v>
      </c>
    </row>
    <row r="129" spans="1:21" ht="14.4" customHeight="1" x14ac:dyDescent="0.3">
      <c r="A129" s="680">
        <v>50</v>
      </c>
      <c r="B129" s="671" t="s">
        <v>536</v>
      </c>
      <c r="C129" s="671">
        <v>89301501</v>
      </c>
      <c r="D129" s="703" t="s">
        <v>2486</v>
      </c>
      <c r="E129" s="704" t="s">
        <v>1924</v>
      </c>
      <c r="F129" s="671" t="s">
        <v>1912</v>
      </c>
      <c r="G129" s="671" t="s">
        <v>2088</v>
      </c>
      <c r="H129" s="671" t="s">
        <v>535</v>
      </c>
      <c r="I129" s="671" t="s">
        <v>2089</v>
      </c>
      <c r="J129" s="671" t="s">
        <v>2090</v>
      </c>
      <c r="K129" s="671" t="s">
        <v>2091</v>
      </c>
      <c r="L129" s="705">
        <v>216.94</v>
      </c>
      <c r="M129" s="705">
        <v>216.94</v>
      </c>
      <c r="N129" s="671">
        <v>1</v>
      </c>
      <c r="O129" s="706">
        <v>0.5</v>
      </c>
      <c r="P129" s="705">
        <v>216.94</v>
      </c>
      <c r="Q129" s="682">
        <v>1</v>
      </c>
      <c r="R129" s="671">
        <v>1</v>
      </c>
      <c r="S129" s="682">
        <v>1</v>
      </c>
      <c r="T129" s="706">
        <v>0.5</v>
      </c>
      <c r="U129" s="242">
        <v>1</v>
      </c>
    </row>
    <row r="130" spans="1:21" ht="14.4" customHeight="1" x14ac:dyDescent="0.3">
      <c r="A130" s="680">
        <v>50</v>
      </c>
      <c r="B130" s="671" t="s">
        <v>536</v>
      </c>
      <c r="C130" s="671">
        <v>89301501</v>
      </c>
      <c r="D130" s="703" t="s">
        <v>2486</v>
      </c>
      <c r="E130" s="704" t="s">
        <v>1924</v>
      </c>
      <c r="F130" s="671" t="s">
        <v>1912</v>
      </c>
      <c r="G130" s="671" t="s">
        <v>1979</v>
      </c>
      <c r="H130" s="671" t="s">
        <v>535</v>
      </c>
      <c r="I130" s="671" t="s">
        <v>1980</v>
      </c>
      <c r="J130" s="671" t="s">
        <v>1981</v>
      </c>
      <c r="K130" s="671" t="s">
        <v>1982</v>
      </c>
      <c r="L130" s="705">
        <v>0</v>
      </c>
      <c r="M130" s="705">
        <v>0</v>
      </c>
      <c r="N130" s="671">
        <v>1</v>
      </c>
      <c r="O130" s="706">
        <v>0.5</v>
      </c>
      <c r="P130" s="705">
        <v>0</v>
      </c>
      <c r="Q130" s="682"/>
      <c r="R130" s="671">
        <v>1</v>
      </c>
      <c r="S130" s="682">
        <v>1</v>
      </c>
      <c r="T130" s="706">
        <v>0.5</v>
      </c>
      <c r="U130" s="242">
        <v>1</v>
      </c>
    </row>
    <row r="131" spans="1:21" ht="14.4" customHeight="1" x14ac:dyDescent="0.3">
      <c r="A131" s="680">
        <v>50</v>
      </c>
      <c r="B131" s="671" t="s">
        <v>536</v>
      </c>
      <c r="C131" s="671">
        <v>89301501</v>
      </c>
      <c r="D131" s="703" t="s">
        <v>2486</v>
      </c>
      <c r="E131" s="704" t="s">
        <v>1924</v>
      </c>
      <c r="F131" s="671" t="s">
        <v>1912</v>
      </c>
      <c r="G131" s="671" t="s">
        <v>1979</v>
      </c>
      <c r="H131" s="671" t="s">
        <v>535</v>
      </c>
      <c r="I131" s="671" t="s">
        <v>797</v>
      </c>
      <c r="J131" s="671" t="s">
        <v>1981</v>
      </c>
      <c r="K131" s="671" t="s">
        <v>1983</v>
      </c>
      <c r="L131" s="705">
        <v>66.599999999999994</v>
      </c>
      <c r="M131" s="705">
        <v>66.599999999999994</v>
      </c>
      <c r="N131" s="671">
        <v>1</v>
      </c>
      <c r="O131" s="706">
        <v>0.5</v>
      </c>
      <c r="P131" s="705">
        <v>66.599999999999994</v>
      </c>
      <c r="Q131" s="682">
        <v>1</v>
      </c>
      <c r="R131" s="671">
        <v>1</v>
      </c>
      <c r="S131" s="682">
        <v>1</v>
      </c>
      <c r="T131" s="706">
        <v>0.5</v>
      </c>
      <c r="U131" s="242">
        <v>1</v>
      </c>
    </row>
    <row r="132" spans="1:21" ht="14.4" customHeight="1" x14ac:dyDescent="0.3">
      <c r="A132" s="680">
        <v>50</v>
      </c>
      <c r="B132" s="671" t="s">
        <v>536</v>
      </c>
      <c r="C132" s="671">
        <v>89301501</v>
      </c>
      <c r="D132" s="703" t="s">
        <v>2486</v>
      </c>
      <c r="E132" s="704" t="s">
        <v>1924</v>
      </c>
      <c r="F132" s="671" t="s">
        <v>1912</v>
      </c>
      <c r="G132" s="671" t="s">
        <v>1984</v>
      </c>
      <c r="H132" s="671" t="s">
        <v>535</v>
      </c>
      <c r="I132" s="671" t="s">
        <v>1985</v>
      </c>
      <c r="J132" s="671" t="s">
        <v>1986</v>
      </c>
      <c r="K132" s="671" t="s">
        <v>868</v>
      </c>
      <c r="L132" s="705">
        <v>0</v>
      </c>
      <c r="M132" s="705">
        <v>0</v>
      </c>
      <c r="N132" s="671">
        <v>1</v>
      </c>
      <c r="O132" s="706">
        <v>0.5</v>
      </c>
      <c r="P132" s="705"/>
      <c r="Q132" s="682"/>
      <c r="R132" s="671"/>
      <c r="S132" s="682">
        <v>0</v>
      </c>
      <c r="T132" s="706"/>
      <c r="U132" s="242">
        <v>0</v>
      </c>
    </row>
    <row r="133" spans="1:21" ht="14.4" customHeight="1" x14ac:dyDescent="0.3">
      <c r="A133" s="680">
        <v>50</v>
      </c>
      <c r="B133" s="671" t="s">
        <v>536</v>
      </c>
      <c r="C133" s="671">
        <v>89301501</v>
      </c>
      <c r="D133" s="703" t="s">
        <v>2486</v>
      </c>
      <c r="E133" s="704" t="s">
        <v>1924</v>
      </c>
      <c r="F133" s="671" t="s">
        <v>1912</v>
      </c>
      <c r="G133" s="671" t="s">
        <v>1951</v>
      </c>
      <c r="H133" s="671" t="s">
        <v>535</v>
      </c>
      <c r="I133" s="671" t="s">
        <v>878</v>
      </c>
      <c r="J133" s="671" t="s">
        <v>879</v>
      </c>
      <c r="K133" s="671" t="s">
        <v>880</v>
      </c>
      <c r="L133" s="705">
        <v>104.66</v>
      </c>
      <c r="M133" s="705">
        <v>104.66</v>
      </c>
      <c r="N133" s="671">
        <v>1</v>
      </c>
      <c r="O133" s="706">
        <v>0.5</v>
      </c>
      <c r="P133" s="705"/>
      <c r="Q133" s="682">
        <v>0</v>
      </c>
      <c r="R133" s="671"/>
      <c r="S133" s="682">
        <v>0</v>
      </c>
      <c r="T133" s="706"/>
      <c r="U133" s="242">
        <v>0</v>
      </c>
    </row>
    <row r="134" spans="1:21" ht="14.4" customHeight="1" x14ac:dyDescent="0.3">
      <c r="A134" s="680">
        <v>50</v>
      </c>
      <c r="B134" s="671" t="s">
        <v>536</v>
      </c>
      <c r="C134" s="671">
        <v>89301501</v>
      </c>
      <c r="D134" s="703" t="s">
        <v>2486</v>
      </c>
      <c r="E134" s="704" t="s">
        <v>1924</v>
      </c>
      <c r="F134" s="671" t="s">
        <v>1912</v>
      </c>
      <c r="G134" s="671" t="s">
        <v>1952</v>
      </c>
      <c r="H134" s="671" t="s">
        <v>535</v>
      </c>
      <c r="I134" s="671" t="s">
        <v>2034</v>
      </c>
      <c r="J134" s="671" t="s">
        <v>856</v>
      </c>
      <c r="K134" s="671" t="s">
        <v>2035</v>
      </c>
      <c r="L134" s="705">
        <v>30.65</v>
      </c>
      <c r="M134" s="705">
        <v>61.3</v>
      </c>
      <c r="N134" s="671">
        <v>2</v>
      </c>
      <c r="O134" s="706">
        <v>1</v>
      </c>
      <c r="P134" s="705">
        <v>30.65</v>
      </c>
      <c r="Q134" s="682">
        <v>0.5</v>
      </c>
      <c r="R134" s="671">
        <v>1</v>
      </c>
      <c r="S134" s="682">
        <v>0.5</v>
      </c>
      <c r="T134" s="706">
        <v>0.5</v>
      </c>
      <c r="U134" s="242">
        <v>0.5</v>
      </c>
    </row>
    <row r="135" spans="1:21" ht="14.4" customHeight="1" x14ac:dyDescent="0.3">
      <c r="A135" s="680">
        <v>50</v>
      </c>
      <c r="B135" s="671" t="s">
        <v>536</v>
      </c>
      <c r="C135" s="671">
        <v>89301501</v>
      </c>
      <c r="D135" s="703" t="s">
        <v>2486</v>
      </c>
      <c r="E135" s="704" t="s">
        <v>1924</v>
      </c>
      <c r="F135" s="671" t="s">
        <v>1912</v>
      </c>
      <c r="G135" s="671" t="s">
        <v>1956</v>
      </c>
      <c r="H135" s="671" t="s">
        <v>535</v>
      </c>
      <c r="I135" s="671" t="s">
        <v>2092</v>
      </c>
      <c r="J135" s="671" t="s">
        <v>2093</v>
      </c>
      <c r="K135" s="671" t="s">
        <v>723</v>
      </c>
      <c r="L135" s="705">
        <v>60.02</v>
      </c>
      <c r="M135" s="705">
        <v>60.02</v>
      </c>
      <c r="N135" s="671">
        <v>1</v>
      </c>
      <c r="O135" s="706">
        <v>0.5</v>
      </c>
      <c r="P135" s="705">
        <v>60.02</v>
      </c>
      <c r="Q135" s="682">
        <v>1</v>
      </c>
      <c r="R135" s="671">
        <v>1</v>
      </c>
      <c r="S135" s="682">
        <v>1</v>
      </c>
      <c r="T135" s="706">
        <v>0.5</v>
      </c>
      <c r="U135" s="242">
        <v>1</v>
      </c>
    </row>
    <row r="136" spans="1:21" ht="14.4" customHeight="1" x14ac:dyDescent="0.3">
      <c r="A136" s="680">
        <v>50</v>
      </c>
      <c r="B136" s="671" t="s">
        <v>536</v>
      </c>
      <c r="C136" s="671">
        <v>89301501</v>
      </c>
      <c r="D136" s="703" t="s">
        <v>2486</v>
      </c>
      <c r="E136" s="704" t="s">
        <v>1924</v>
      </c>
      <c r="F136" s="671" t="s">
        <v>1912</v>
      </c>
      <c r="G136" s="671" t="s">
        <v>1956</v>
      </c>
      <c r="H136" s="671" t="s">
        <v>535</v>
      </c>
      <c r="I136" s="671" t="s">
        <v>1960</v>
      </c>
      <c r="J136" s="671" t="s">
        <v>949</v>
      </c>
      <c r="K136" s="671" t="s">
        <v>1961</v>
      </c>
      <c r="L136" s="705">
        <v>0</v>
      </c>
      <c r="M136" s="705">
        <v>0</v>
      </c>
      <c r="N136" s="671">
        <v>1</v>
      </c>
      <c r="O136" s="706">
        <v>0.5</v>
      </c>
      <c r="P136" s="705">
        <v>0</v>
      </c>
      <c r="Q136" s="682"/>
      <c r="R136" s="671">
        <v>1</v>
      </c>
      <c r="S136" s="682">
        <v>1</v>
      </c>
      <c r="T136" s="706">
        <v>0.5</v>
      </c>
      <c r="U136" s="242">
        <v>1</v>
      </c>
    </row>
    <row r="137" spans="1:21" ht="14.4" customHeight="1" x14ac:dyDescent="0.3">
      <c r="A137" s="680">
        <v>50</v>
      </c>
      <c r="B137" s="671" t="s">
        <v>536</v>
      </c>
      <c r="C137" s="671">
        <v>89301501</v>
      </c>
      <c r="D137" s="703" t="s">
        <v>2486</v>
      </c>
      <c r="E137" s="704" t="s">
        <v>1924</v>
      </c>
      <c r="F137" s="671" t="s">
        <v>1912</v>
      </c>
      <c r="G137" s="671" t="s">
        <v>2000</v>
      </c>
      <c r="H137" s="671" t="s">
        <v>1039</v>
      </c>
      <c r="I137" s="671" t="s">
        <v>1191</v>
      </c>
      <c r="J137" s="671" t="s">
        <v>1192</v>
      </c>
      <c r="K137" s="671" t="s">
        <v>1193</v>
      </c>
      <c r="L137" s="705">
        <v>55.38</v>
      </c>
      <c r="M137" s="705">
        <v>55.38</v>
      </c>
      <c r="N137" s="671">
        <v>1</v>
      </c>
      <c r="O137" s="706">
        <v>0.5</v>
      </c>
      <c r="P137" s="705"/>
      <c r="Q137" s="682">
        <v>0</v>
      </c>
      <c r="R137" s="671"/>
      <c r="S137" s="682">
        <v>0</v>
      </c>
      <c r="T137" s="706"/>
      <c r="U137" s="242">
        <v>0</v>
      </c>
    </row>
    <row r="138" spans="1:21" ht="14.4" customHeight="1" x14ac:dyDescent="0.3">
      <c r="A138" s="680">
        <v>50</v>
      </c>
      <c r="B138" s="671" t="s">
        <v>536</v>
      </c>
      <c r="C138" s="671">
        <v>89301501</v>
      </c>
      <c r="D138" s="703" t="s">
        <v>2486</v>
      </c>
      <c r="E138" s="704" t="s">
        <v>1924</v>
      </c>
      <c r="F138" s="671" t="s">
        <v>1912</v>
      </c>
      <c r="G138" s="671" t="s">
        <v>2004</v>
      </c>
      <c r="H138" s="671" t="s">
        <v>1039</v>
      </c>
      <c r="I138" s="671" t="s">
        <v>1095</v>
      </c>
      <c r="J138" s="671" t="s">
        <v>1096</v>
      </c>
      <c r="K138" s="671" t="s">
        <v>1809</v>
      </c>
      <c r="L138" s="705">
        <v>97.97</v>
      </c>
      <c r="M138" s="705">
        <v>97.97</v>
      </c>
      <c r="N138" s="671">
        <v>1</v>
      </c>
      <c r="O138" s="706">
        <v>0.5</v>
      </c>
      <c r="P138" s="705"/>
      <c r="Q138" s="682">
        <v>0</v>
      </c>
      <c r="R138" s="671"/>
      <c r="S138" s="682">
        <v>0</v>
      </c>
      <c r="T138" s="706"/>
      <c r="U138" s="242">
        <v>0</v>
      </c>
    </row>
    <row r="139" spans="1:21" ht="14.4" customHeight="1" x14ac:dyDescent="0.3">
      <c r="A139" s="680">
        <v>50</v>
      </c>
      <c r="B139" s="671" t="s">
        <v>536</v>
      </c>
      <c r="C139" s="671">
        <v>89301501</v>
      </c>
      <c r="D139" s="703" t="s">
        <v>2486</v>
      </c>
      <c r="E139" s="704" t="s">
        <v>1924</v>
      </c>
      <c r="F139" s="671" t="s">
        <v>1912</v>
      </c>
      <c r="G139" s="671" t="s">
        <v>2004</v>
      </c>
      <c r="H139" s="671" t="s">
        <v>1039</v>
      </c>
      <c r="I139" s="671" t="s">
        <v>2094</v>
      </c>
      <c r="J139" s="671" t="s">
        <v>1096</v>
      </c>
      <c r="K139" s="671" t="s">
        <v>1097</v>
      </c>
      <c r="L139" s="705">
        <v>0</v>
      </c>
      <c r="M139" s="705">
        <v>0</v>
      </c>
      <c r="N139" s="671">
        <v>1</v>
      </c>
      <c r="O139" s="706">
        <v>0.5</v>
      </c>
      <c r="P139" s="705">
        <v>0</v>
      </c>
      <c r="Q139" s="682"/>
      <c r="R139" s="671">
        <v>1</v>
      </c>
      <c r="S139" s="682">
        <v>1</v>
      </c>
      <c r="T139" s="706">
        <v>0.5</v>
      </c>
      <c r="U139" s="242">
        <v>1</v>
      </c>
    </row>
    <row r="140" spans="1:21" ht="14.4" customHeight="1" x14ac:dyDescent="0.3">
      <c r="A140" s="680">
        <v>50</v>
      </c>
      <c r="B140" s="671" t="s">
        <v>536</v>
      </c>
      <c r="C140" s="671">
        <v>89301501</v>
      </c>
      <c r="D140" s="703" t="s">
        <v>2486</v>
      </c>
      <c r="E140" s="704" t="s">
        <v>1924</v>
      </c>
      <c r="F140" s="671" t="s">
        <v>1912</v>
      </c>
      <c r="G140" s="671" t="s">
        <v>1963</v>
      </c>
      <c r="H140" s="671" t="s">
        <v>535</v>
      </c>
      <c r="I140" s="671" t="s">
        <v>2095</v>
      </c>
      <c r="J140" s="671" t="s">
        <v>1965</v>
      </c>
      <c r="K140" s="671" t="s">
        <v>1878</v>
      </c>
      <c r="L140" s="705">
        <v>134.83000000000001</v>
      </c>
      <c r="M140" s="705">
        <v>134.83000000000001</v>
      </c>
      <c r="N140" s="671">
        <v>1</v>
      </c>
      <c r="O140" s="706">
        <v>0.5</v>
      </c>
      <c r="P140" s="705">
        <v>134.83000000000001</v>
      </c>
      <c r="Q140" s="682">
        <v>1</v>
      </c>
      <c r="R140" s="671">
        <v>1</v>
      </c>
      <c r="S140" s="682">
        <v>1</v>
      </c>
      <c r="T140" s="706">
        <v>0.5</v>
      </c>
      <c r="U140" s="242">
        <v>1</v>
      </c>
    </row>
    <row r="141" spans="1:21" ht="14.4" customHeight="1" x14ac:dyDescent="0.3">
      <c r="A141" s="680">
        <v>50</v>
      </c>
      <c r="B141" s="671" t="s">
        <v>536</v>
      </c>
      <c r="C141" s="671">
        <v>89301501</v>
      </c>
      <c r="D141" s="703" t="s">
        <v>2486</v>
      </c>
      <c r="E141" s="704" t="s">
        <v>1924</v>
      </c>
      <c r="F141" s="671" t="s">
        <v>1912</v>
      </c>
      <c r="G141" s="671" t="s">
        <v>2096</v>
      </c>
      <c r="H141" s="671" t="s">
        <v>1039</v>
      </c>
      <c r="I141" s="671" t="s">
        <v>2097</v>
      </c>
      <c r="J141" s="671" t="s">
        <v>2098</v>
      </c>
      <c r="K141" s="671" t="s">
        <v>2099</v>
      </c>
      <c r="L141" s="705">
        <v>56.01</v>
      </c>
      <c r="M141" s="705">
        <v>56.01</v>
      </c>
      <c r="N141" s="671">
        <v>1</v>
      </c>
      <c r="O141" s="706">
        <v>0.5</v>
      </c>
      <c r="P141" s="705">
        <v>56.01</v>
      </c>
      <c r="Q141" s="682">
        <v>1</v>
      </c>
      <c r="R141" s="671">
        <v>1</v>
      </c>
      <c r="S141" s="682">
        <v>1</v>
      </c>
      <c r="T141" s="706">
        <v>0.5</v>
      </c>
      <c r="U141" s="242">
        <v>1</v>
      </c>
    </row>
    <row r="142" spans="1:21" ht="14.4" customHeight="1" x14ac:dyDescent="0.3">
      <c r="A142" s="680">
        <v>50</v>
      </c>
      <c r="B142" s="671" t="s">
        <v>536</v>
      </c>
      <c r="C142" s="671">
        <v>89301501</v>
      </c>
      <c r="D142" s="703" t="s">
        <v>2486</v>
      </c>
      <c r="E142" s="704" t="s">
        <v>1924</v>
      </c>
      <c r="F142" s="671" t="s">
        <v>1912</v>
      </c>
      <c r="G142" s="671" t="s">
        <v>1969</v>
      </c>
      <c r="H142" s="671" t="s">
        <v>1039</v>
      </c>
      <c r="I142" s="671" t="s">
        <v>1058</v>
      </c>
      <c r="J142" s="671" t="s">
        <v>1838</v>
      </c>
      <c r="K142" s="671" t="s">
        <v>1060</v>
      </c>
      <c r="L142" s="705">
        <v>134.83000000000001</v>
      </c>
      <c r="M142" s="705">
        <v>134.83000000000001</v>
      </c>
      <c r="N142" s="671">
        <v>1</v>
      </c>
      <c r="O142" s="706">
        <v>0.5</v>
      </c>
      <c r="P142" s="705"/>
      <c r="Q142" s="682">
        <v>0</v>
      </c>
      <c r="R142" s="671"/>
      <c r="S142" s="682">
        <v>0</v>
      </c>
      <c r="T142" s="706"/>
      <c r="U142" s="242">
        <v>0</v>
      </c>
    </row>
    <row r="143" spans="1:21" ht="14.4" customHeight="1" x14ac:dyDescent="0.3">
      <c r="A143" s="680">
        <v>50</v>
      </c>
      <c r="B143" s="671" t="s">
        <v>536</v>
      </c>
      <c r="C143" s="671">
        <v>89301501</v>
      </c>
      <c r="D143" s="703" t="s">
        <v>2486</v>
      </c>
      <c r="E143" s="704" t="s">
        <v>1924</v>
      </c>
      <c r="F143" s="671" t="s">
        <v>1912</v>
      </c>
      <c r="G143" s="671" t="s">
        <v>2012</v>
      </c>
      <c r="H143" s="671" t="s">
        <v>1039</v>
      </c>
      <c r="I143" s="671" t="s">
        <v>2077</v>
      </c>
      <c r="J143" s="671" t="s">
        <v>2078</v>
      </c>
      <c r="K143" s="671" t="s">
        <v>1842</v>
      </c>
      <c r="L143" s="705">
        <v>201.88</v>
      </c>
      <c r="M143" s="705">
        <v>201.88</v>
      </c>
      <c r="N143" s="671">
        <v>1</v>
      </c>
      <c r="O143" s="706">
        <v>0.5</v>
      </c>
      <c r="P143" s="705"/>
      <c r="Q143" s="682">
        <v>0</v>
      </c>
      <c r="R143" s="671"/>
      <c r="S143" s="682">
        <v>0</v>
      </c>
      <c r="T143" s="706"/>
      <c r="U143" s="242">
        <v>0</v>
      </c>
    </row>
    <row r="144" spans="1:21" ht="14.4" customHeight="1" x14ac:dyDescent="0.3">
      <c r="A144" s="680">
        <v>50</v>
      </c>
      <c r="B144" s="671" t="s">
        <v>536</v>
      </c>
      <c r="C144" s="671">
        <v>89301501</v>
      </c>
      <c r="D144" s="703" t="s">
        <v>2486</v>
      </c>
      <c r="E144" s="704" t="s">
        <v>1924</v>
      </c>
      <c r="F144" s="671" t="s">
        <v>1912</v>
      </c>
      <c r="G144" s="671" t="s">
        <v>1971</v>
      </c>
      <c r="H144" s="671" t="s">
        <v>535</v>
      </c>
      <c r="I144" s="671" t="s">
        <v>1972</v>
      </c>
      <c r="J144" s="671" t="s">
        <v>864</v>
      </c>
      <c r="K144" s="671" t="s">
        <v>1973</v>
      </c>
      <c r="L144" s="705">
        <v>112.13</v>
      </c>
      <c r="M144" s="705">
        <v>112.13</v>
      </c>
      <c r="N144" s="671">
        <v>1</v>
      </c>
      <c r="O144" s="706">
        <v>0.5</v>
      </c>
      <c r="P144" s="705">
        <v>112.13</v>
      </c>
      <c r="Q144" s="682">
        <v>1</v>
      </c>
      <c r="R144" s="671">
        <v>1</v>
      </c>
      <c r="S144" s="682">
        <v>1</v>
      </c>
      <c r="T144" s="706">
        <v>0.5</v>
      </c>
      <c r="U144" s="242">
        <v>1</v>
      </c>
    </row>
    <row r="145" spans="1:21" ht="14.4" customHeight="1" x14ac:dyDescent="0.3">
      <c r="A145" s="680">
        <v>50</v>
      </c>
      <c r="B145" s="671" t="s">
        <v>536</v>
      </c>
      <c r="C145" s="671">
        <v>89301501</v>
      </c>
      <c r="D145" s="703" t="s">
        <v>2486</v>
      </c>
      <c r="E145" s="704" t="s">
        <v>1924</v>
      </c>
      <c r="F145" s="671" t="s">
        <v>1912</v>
      </c>
      <c r="G145" s="671" t="s">
        <v>2100</v>
      </c>
      <c r="H145" s="671" t="s">
        <v>535</v>
      </c>
      <c r="I145" s="671" t="s">
        <v>706</v>
      </c>
      <c r="J145" s="671" t="s">
        <v>2101</v>
      </c>
      <c r="K145" s="671" t="s">
        <v>2102</v>
      </c>
      <c r="L145" s="705">
        <v>0</v>
      </c>
      <c r="M145" s="705">
        <v>0</v>
      </c>
      <c r="N145" s="671">
        <v>1</v>
      </c>
      <c r="O145" s="706">
        <v>1</v>
      </c>
      <c r="P145" s="705"/>
      <c r="Q145" s="682"/>
      <c r="R145" s="671"/>
      <c r="S145" s="682">
        <v>0</v>
      </c>
      <c r="T145" s="706"/>
      <c r="U145" s="242">
        <v>0</v>
      </c>
    </row>
    <row r="146" spans="1:21" ht="14.4" customHeight="1" x14ac:dyDescent="0.3">
      <c r="A146" s="680">
        <v>50</v>
      </c>
      <c r="B146" s="671" t="s">
        <v>536</v>
      </c>
      <c r="C146" s="671">
        <v>89301501</v>
      </c>
      <c r="D146" s="703" t="s">
        <v>2486</v>
      </c>
      <c r="E146" s="704" t="s">
        <v>1924</v>
      </c>
      <c r="F146" s="671" t="s">
        <v>1912</v>
      </c>
      <c r="G146" s="671" t="s">
        <v>1974</v>
      </c>
      <c r="H146" s="671" t="s">
        <v>1039</v>
      </c>
      <c r="I146" s="671" t="s">
        <v>2045</v>
      </c>
      <c r="J146" s="671" t="s">
        <v>2046</v>
      </c>
      <c r="K146" s="671" t="s">
        <v>2047</v>
      </c>
      <c r="L146" s="705">
        <v>156.25</v>
      </c>
      <c r="M146" s="705">
        <v>156.25</v>
      </c>
      <c r="N146" s="671">
        <v>1</v>
      </c>
      <c r="O146" s="706">
        <v>0.5</v>
      </c>
      <c r="P146" s="705">
        <v>156.25</v>
      </c>
      <c r="Q146" s="682">
        <v>1</v>
      </c>
      <c r="R146" s="671">
        <v>1</v>
      </c>
      <c r="S146" s="682">
        <v>1</v>
      </c>
      <c r="T146" s="706">
        <v>0.5</v>
      </c>
      <c r="U146" s="242">
        <v>1</v>
      </c>
    </row>
    <row r="147" spans="1:21" ht="14.4" customHeight="1" x14ac:dyDescent="0.3">
      <c r="A147" s="680">
        <v>50</v>
      </c>
      <c r="B147" s="671" t="s">
        <v>536</v>
      </c>
      <c r="C147" s="671">
        <v>89301501</v>
      </c>
      <c r="D147" s="703" t="s">
        <v>2486</v>
      </c>
      <c r="E147" s="704" t="s">
        <v>1925</v>
      </c>
      <c r="F147" s="671" t="s">
        <v>1912</v>
      </c>
      <c r="G147" s="671" t="s">
        <v>2103</v>
      </c>
      <c r="H147" s="671" t="s">
        <v>535</v>
      </c>
      <c r="I147" s="671" t="s">
        <v>2104</v>
      </c>
      <c r="J147" s="671" t="s">
        <v>2105</v>
      </c>
      <c r="K147" s="671" t="s">
        <v>2017</v>
      </c>
      <c r="L147" s="705">
        <v>26.97</v>
      </c>
      <c r="M147" s="705">
        <v>26.97</v>
      </c>
      <c r="N147" s="671">
        <v>1</v>
      </c>
      <c r="O147" s="706">
        <v>0.5</v>
      </c>
      <c r="P147" s="705"/>
      <c r="Q147" s="682">
        <v>0</v>
      </c>
      <c r="R147" s="671"/>
      <c r="S147" s="682">
        <v>0</v>
      </c>
      <c r="T147" s="706"/>
      <c r="U147" s="242">
        <v>0</v>
      </c>
    </row>
    <row r="148" spans="1:21" ht="14.4" customHeight="1" x14ac:dyDescent="0.3">
      <c r="A148" s="680">
        <v>50</v>
      </c>
      <c r="B148" s="671" t="s">
        <v>536</v>
      </c>
      <c r="C148" s="671">
        <v>89301501</v>
      </c>
      <c r="D148" s="703" t="s">
        <v>2486</v>
      </c>
      <c r="E148" s="704" t="s">
        <v>1925</v>
      </c>
      <c r="F148" s="671" t="s">
        <v>1912</v>
      </c>
      <c r="G148" s="671" t="s">
        <v>1952</v>
      </c>
      <c r="H148" s="671" t="s">
        <v>535</v>
      </c>
      <c r="I148" s="671" t="s">
        <v>2106</v>
      </c>
      <c r="J148" s="671" t="s">
        <v>2107</v>
      </c>
      <c r="K148" s="671" t="s">
        <v>2108</v>
      </c>
      <c r="L148" s="705">
        <v>12.26</v>
      </c>
      <c r="M148" s="705">
        <v>12.26</v>
      </c>
      <c r="N148" s="671">
        <v>1</v>
      </c>
      <c r="O148" s="706">
        <v>0.5</v>
      </c>
      <c r="P148" s="705"/>
      <c r="Q148" s="682">
        <v>0</v>
      </c>
      <c r="R148" s="671"/>
      <c r="S148" s="682">
        <v>0</v>
      </c>
      <c r="T148" s="706"/>
      <c r="U148" s="242">
        <v>0</v>
      </c>
    </row>
    <row r="149" spans="1:21" ht="14.4" customHeight="1" x14ac:dyDescent="0.3">
      <c r="A149" s="680">
        <v>50</v>
      </c>
      <c r="B149" s="671" t="s">
        <v>536</v>
      </c>
      <c r="C149" s="671">
        <v>89301501</v>
      </c>
      <c r="D149" s="703" t="s">
        <v>2486</v>
      </c>
      <c r="E149" s="704" t="s">
        <v>1926</v>
      </c>
      <c r="F149" s="671" t="s">
        <v>1912</v>
      </c>
      <c r="G149" s="671" t="s">
        <v>2109</v>
      </c>
      <c r="H149" s="671" t="s">
        <v>535</v>
      </c>
      <c r="I149" s="671" t="s">
        <v>2110</v>
      </c>
      <c r="J149" s="671" t="s">
        <v>714</v>
      </c>
      <c r="K149" s="671" t="s">
        <v>2111</v>
      </c>
      <c r="L149" s="705">
        <v>0</v>
      </c>
      <c r="M149" s="705">
        <v>0</v>
      </c>
      <c r="N149" s="671">
        <v>1</v>
      </c>
      <c r="O149" s="706">
        <v>1</v>
      </c>
      <c r="P149" s="705"/>
      <c r="Q149" s="682"/>
      <c r="R149" s="671"/>
      <c r="S149" s="682">
        <v>0</v>
      </c>
      <c r="T149" s="706"/>
      <c r="U149" s="242">
        <v>0</v>
      </c>
    </row>
    <row r="150" spans="1:21" ht="14.4" customHeight="1" x14ac:dyDescent="0.3">
      <c r="A150" s="680">
        <v>50</v>
      </c>
      <c r="B150" s="671" t="s">
        <v>536</v>
      </c>
      <c r="C150" s="671">
        <v>89301501</v>
      </c>
      <c r="D150" s="703" t="s">
        <v>2486</v>
      </c>
      <c r="E150" s="704" t="s">
        <v>1926</v>
      </c>
      <c r="F150" s="671" t="s">
        <v>1912</v>
      </c>
      <c r="G150" s="671" t="s">
        <v>1975</v>
      </c>
      <c r="H150" s="671" t="s">
        <v>1039</v>
      </c>
      <c r="I150" s="671" t="s">
        <v>1051</v>
      </c>
      <c r="J150" s="671" t="s">
        <v>1052</v>
      </c>
      <c r="K150" s="671" t="s">
        <v>1828</v>
      </c>
      <c r="L150" s="705">
        <v>75.28</v>
      </c>
      <c r="M150" s="705">
        <v>75.28</v>
      </c>
      <c r="N150" s="671">
        <v>1</v>
      </c>
      <c r="O150" s="706">
        <v>0.5</v>
      </c>
      <c r="P150" s="705"/>
      <c r="Q150" s="682">
        <v>0</v>
      </c>
      <c r="R150" s="671"/>
      <c r="S150" s="682">
        <v>0</v>
      </c>
      <c r="T150" s="706"/>
      <c r="U150" s="242">
        <v>0</v>
      </c>
    </row>
    <row r="151" spans="1:21" ht="14.4" customHeight="1" x14ac:dyDescent="0.3">
      <c r="A151" s="680">
        <v>50</v>
      </c>
      <c r="B151" s="671" t="s">
        <v>536</v>
      </c>
      <c r="C151" s="671">
        <v>89301501</v>
      </c>
      <c r="D151" s="703" t="s">
        <v>2486</v>
      </c>
      <c r="E151" s="704" t="s">
        <v>1926</v>
      </c>
      <c r="F151" s="671" t="s">
        <v>1912</v>
      </c>
      <c r="G151" s="671" t="s">
        <v>1934</v>
      </c>
      <c r="H151" s="671" t="s">
        <v>1039</v>
      </c>
      <c r="I151" s="671" t="s">
        <v>2112</v>
      </c>
      <c r="J151" s="671" t="s">
        <v>2113</v>
      </c>
      <c r="K151" s="671" t="s">
        <v>1844</v>
      </c>
      <c r="L151" s="705">
        <v>201.88</v>
      </c>
      <c r="M151" s="705">
        <v>201.88</v>
      </c>
      <c r="N151" s="671">
        <v>1</v>
      </c>
      <c r="O151" s="706">
        <v>1</v>
      </c>
      <c r="P151" s="705"/>
      <c r="Q151" s="682">
        <v>0</v>
      </c>
      <c r="R151" s="671"/>
      <c r="S151" s="682">
        <v>0</v>
      </c>
      <c r="T151" s="706"/>
      <c r="U151" s="242">
        <v>0</v>
      </c>
    </row>
    <row r="152" spans="1:21" ht="14.4" customHeight="1" x14ac:dyDescent="0.3">
      <c r="A152" s="680">
        <v>50</v>
      </c>
      <c r="B152" s="671" t="s">
        <v>536</v>
      </c>
      <c r="C152" s="671">
        <v>89301501</v>
      </c>
      <c r="D152" s="703" t="s">
        <v>2486</v>
      </c>
      <c r="E152" s="704" t="s">
        <v>1926</v>
      </c>
      <c r="F152" s="671" t="s">
        <v>1912</v>
      </c>
      <c r="G152" s="671" t="s">
        <v>1934</v>
      </c>
      <c r="H152" s="671" t="s">
        <v>1039</v>
      </c>
      <c r="I152" s="671" t="s">
        <v>1132</v>
      </c>
      <c r="J152" s="671" t="s">
        <v>1137</v>
      </c>
      <c r="K152" s="671" t="s">
        <v>1842</v>
      </c>
      <c r="L152" s="705">
        <v>130.59</v>
      </c>
      <c r="M152" s="705">
        <v>652.95000000000005</v>
      </c>
      <c r="N152" s="671">
        <v>5</v>
      </c>
      <c r="O152" s="706">
        <v>2.5</v>
      </c>
      <c r="P152" s="705">
        <v>130.59</v>
      </c>
      <c r="Q152" s="682">
        <v>0.19999999999999998</v>
      </c>
      <c r="R152" s="671">
        <v>1</v>
      </c>
      <c r="S152" s="682">
        <v>0.2</v>
      </c>
      <c r="T152" s="706">
        <v>0.5</v>
      </c>
      <c r="U152" s="242">
        <v>0.2</v>
      </c>
    </row>
    <row r="153" spans="1:21" ht="14.4" customHeight="1" x14ac:dyDescent="0.3">
      <c r="A153" s="680">
        <v>50</v>
      </c>
      <c r="B153" s="671" t="s">
        <v>536</v>
      </c>
      <c r="C153" s="671">
        <v>89301501</v>
      </c>
      <c r="D153" s="703" t="s">
        <v>2486</v>
      </c>
      <c r="E153" s="704" t="s">
        <v>1926</v>
      </c>
      <c r="F153" s="671" t="s">
        <v>1912</v>
      </c>
      <c r="G153" s="671" t="s">
        <v>1934</v>
      </c>
      <c r="H153" s="671" t="s">
        <v>1039</v>
      </c>
      <c r="I153" s="671" t="s">
        <v>1179</v>
      </c>
      <c r="J153" s="671" t="s">
        <v>1184</v>
      </c>
      <c r="K153" s="671" t="s">
        <v>1844</v>
      </c>
      <c r="L153" s="705">
        <v>201.88</v>
      </c>
      <c r="M153" s="705">
        <v>403.76</v>
      </c>
      <c r="N153" s="671">
        <v>2</v>
      </c>
      <c r="O153" s="706">
        <v>1.5</v>
      </c>
      <c r="P153" s="705"/>
      <c r="Q153" s="682">
        <v>0</v>
      </c>
      <c r="R153" s="671"/>
      <c r="S153" s="682">
        <v>0</v>
      </c>
      <c r="T153" s="706"/>
      <c r="U153" s="242">
        <v>0</v>
      </c>
    </row>
    <row r="154" spans="1:21" ht="14.4" customHeight="1" x14ac:dyDescent="0.3">
      <c r="A154" s="680">
        <v>50</v>
      </c>
      <c r="B154" s="671" t="s">
        <v>536</v>
      </c>
      <c r="C154" s="671">
        <v>89301501</v>
      </c>
      <c r="D154" s="703" t="s">
        <v>2486</v>
      </c>
      <c r="E154" s="704" t="s">
        <v>1926</v>
      </c>
      <c r="F154" s="671" t="s">
        <v>1912</v>
      </c>
      <c r="G154" s="671" t="s">
        <v>1935</v>
      </c>
      <c r="H154" s="671" t="s">
        <v>1039</v>
      </c>
      <c r="I154" s="671" t="s">
        <v>1088</v>
      </c>
      <c r="J154" s="671" t="s">
        <v>1089</v>
      </c>
      <c r="K154" s="671" t="s">
        <v>1090</v>
      </c>
      <c r="L154" s="705">
        <v>44.89</v>
      </c>
      <c r="M154" s="705">
        <v>269.33999999999997</v>
      </c>
      <c r="N154" s="671">
        <v>6</v>
      </c>
      <c r="O154" s="706">
        <v>3</v>
      </c>
      <c r="P154" s="705">
        <v>44.89</v>
      </c>
      <c r="Q154" s="682">
        <v>0.16666666666666669</v>
      </c>
      <c r="R154" s="671">
        <v>1</v>
      </c>
      <c r="S154" s="682">
        <v>0.16666666666666666</v>
      </c>
      <c r="T154" s="706">
        <v>0.5</v>
      </c>
      <c r="U154" s="242">
        <v>0.16666666666666666</v>
      </c>
    </row>
    <row r="155" spans="1:21" ht="14.4" customHeight="1" x14ac:dyDescent="0.3">
      <c r="A155" s="680">
        <v>50</v>
      </c>
      <c r="B155" s="671" t="s">
        <v>536</v>
      </c>
      <c r="C155" s="671">
        <v>89301501</v>
      </c>
      <c r="D155" s="703" t="s">
        <v>2486</v>
      </c>
      <c r="E155" s="704" t="s">
        <v>1926</v>
      </c>
      <c r="F155" s="671" t="s">
        <v>1912</v>
      </c>
      <c r="G155" s="671" t="s">
        <v>1939</v>
      </c>
      <c r="H155" s="671" t="s">
        <v>535</v>
      </c>
      <c r="I155" s="671" t="s">
        <v>745</v>
      </c>
      <c r="J155" s="671" t="s">
        <v>1941</v>
      </c>
      <c r="K155" s="671" t="s">
        <v>2054</v>
      </c>
      <c r="L155" s="705">
        <v>128.9</v>
      </c>
      <c r="M155" s="705">
        <v>257.8</v>
      </c>
      <c r="N155" s="671">
        <v>2</v>
      </c>
      <c r="O155" s="706">
        <v>1</v>
      </c>
      <c r="P155" s="705"/>
      <c r="Q155" s="682">
        <v>0</v>
      </c>
      <c r="R155" s="671"/>
      <c r="S155" s="682">
        <v>0</v>
      </c>
      <c r="T155" s="706"/>
      <c r="U155" s="242">
        <v>0</v>
      </c>
    </row>
    <row r="156" spans="1:21" ht="14.4" customHeight="1" x14ac:dyDescent="0.3">
      <c r="A156" s="680">
        <v>50</v>
      </c>
      <c r="B156" s="671" t="s">
        <v>536</v>
      </c>
      <c r="C156" s="671">
        <v>89301501</v>
      </c>
      <c r="D156" s="703" t="s">
        <v>2486</v>
      </c>
      <c r="E156" s="704" t="s">
        <v>1926</v>
      </c>
      <c r="F156" s="671" t="s">
        <v>1912</v>
      </c>
      <c r="G156" s="671" t="s">
        <v>1979</v>
      </c>
      <c r="H156" s="671" t="s">
        <v>535</v>
      </c>
      <c r="I156" s="671" t="s">
        <v>1980</v>
      </c>
      <c r="J156" s="671" t="s">
        <v>1981</v>
      </c>
      <c r="K156" s="671" t="s">
        <v>1982</v>
      </c>
      <c r="L156" s="705">
        <v>0</v>
      </c>
      <c r="M156" s="705">
        <v>0</v>
      </c>
      <c r="N156" s="671">
        <v>3</v>
      </c>
      <c r="O156" s="706">
        <v>1.5</v>
      </c>
      <c r="P156" s="705"/>
      <c r="Q156" s="682"/>
      <c r="R156" s="671"/>
      <c r="S156" s="682">
        <v>0</v>
      </c>
      <c r="T156" s="706"/>
      <c r="U156" s="242">
        <v>0</v>
      </c>
    </row>
    <row r="157" spans="1:21" ht="14.4" customHeight="1" x14ac:dyDescent="0.3">
      <c r="A157" s="680">
        <v>50</v>
      </c>
      <c r="B157" s="671" t="s">
        <v>536</v>
      </c>
      <c r="C157" s="671">
        <v>89301501</v>
      </c>
      <c r="D157" s="703" t="s">
        <v>2486</v>
      </c>
      <c r="E157" s="704" t="s">
        <v>1926</v>
      </c>
      <c r="F157" s="671" t="s">
        <v>1912</v>
      </c>
      <c r="G157" s="671" t="s">
        <v>2114</v>
      </c>
      <c r="H157" s="671" t="s">
        <v>535</v>
      </c>
      <c r="I157" s="671" t="s">
        <v>2115</v>
      </c>
      <c r="J157" s="671" t="s">
        <v>2116</v>
      </c>
      <c r="K157" s="671" t="s">
        <v>2117</v>
      </c>
      <c r="L157" s="705">
        <v>0</v>
      </c>
      <c r="M157" s="705">
        <v>0</v>
      </c>
      <c r="N157" s="671">
        <v>1</v>
      </c>
      <c r="O157" s="706">
        <v>1</v>
      </c>
      <c r="P157" s="705"/>
      <c r="Q157" s="682"/>
      <c r="R157" s="671"/>
      <c r="S157" s="682">
        <v>0</v>
      </c>
      <c r="T157" s="706"/>
      <c r="U157" s="242">
        <v>0</v>
      </c>
    </row>
    <row r="158" spans="1:21" ht="14.4" customHeight="1" x14ac:dyDescent="0.3">
      <c r="A158" s="680">
        <v>50</v>
      </c>
      <c r="B158" s="671" t="s">
        <v>536</v>
      </c>
      <c r="C158" s="671">
        <v>89301501</v>
      </c>
      <c r="D158" s="703" t="s">
        <v>2486</v>
      </c>
      <c r="E158" s="704" t="s">
        <v>1926</v>
      </c>
      <c r="F158" s="671" t="s">
        <v>1912</v>
      </c>
      <c r="G158" s="671" t="s">
        <v>2065</v>
      </c>
      <c r="H158" s="671" t="s">
        <v>535</v>
      </c>
      <c r="I158" s="671" t="s">
        <v>825</v>
      </c>
      <c r="J158" s="671" t="s">
        <v>826</v>
      </c>
      <c r="K158" s="671" t="s">
        <v>827</v>
      </c>
      <c r="L158" s="705">
        <v>24.22</v>
      </c>
      <c r="M158" s="705">
        <v>24.22</v>
      </c>
      <c r="N158" s="671">
        <v>1</v>
      </c>
      <c r="O158" s="706">
        <v>0.5</v>
      </c>
      <c r="P158" s="705"/>
      <c r="Q158" s="682">
        <v>0</v>
      </c>
      <c r="R158" s="671"/>
      <c r="S158" s="682">
        <v>0</v>
      </c>
      <c r="T158" s="706"/>
      <c r="U158" s="242">
        <v>0</v>
      </c>
    </row>
    <row r="159" spans="1:21" ht="14.4" customHeight="1" x14ac:dyDescent="0.3">
      <c r="A159" s="680">
        <v>50</v>
      </c>
      <c r="B159" s="671" t="s">
        <v>536</v>
      </c>
      <c r="C159" s="671">
        <v>89301501</v>
      </c>
      <c r="D159" s="703" t="s">
        <v>2486</v>
      </c>
      <c r="E159" s="704" t="s">
        <v>1926</v>
      </c>
      <c r="F159" s="671" t="s">
        <v>1912</v>
      </c>
      <c r="G159" s="671" t="s">
        <v>1951</v>
      </c>
      <c r="H159" s="671" t="s">
        <v>535</v>
      </c>
      <c r="I159" s="671" t="s">
        <v>878</v>
      </c>
      <c r="J159" s="671" t="s">
        <v>879</v>
      </c>
      <c r="K159" s="671" t="s">
        <v>880</v>
      </c>
      <c r="L159" s="705">
        <v>104.66</v>
      </c>
      <c r="M159" s="705">
        <v>523.29999999999995</v>
      </c>
      <c r="N159" s="671">
        <v>5</v>
      </c>
      <c r="O159" s="706">
        <v>2.5</v>
      </c>
      <c r="P159" s="705"/>
      <c r="Q159" s="682">
        <v>0</v>
      </c>
      <c r="R159" s="671"/>
      <c r="S159" s="682">
        <v>0</v>
      </c>
      <c r="T159" s="706"/>
      <c r="U159" s="242">
        <v>0</v>
      </c>
    </row>
    <row r="160" spans="1:21" ht="14.4" customHeight="1" x14ac:dyDescent="0.3">
      <c r="A160" s="680">
        <v>50</v>
      </c>
      <c r="B160" s="671" t="s">
        <v>536</v>
      </c>
      <c r="C160" s="671">
        <v>89301501</v>
      </c>
      <c r="D160" s="703" t="s">
        <v>2486</v>
      </c>
      <c r="E160" s="704" t="s">
        <v>1926</v>
      </c>
      <c r="F160" s="671" t="s">
        <v>1912</v>
      </c>
      <c r="G160" s="671" t="s">
        <v>1952</v>
      </c>
      <c r="H160" s="671" t="s">
        <v>535</v>
      </c>
      <c r="I160" s="671" t="s">
        <v>1987</v>
      </c>
      <c r="J160" s="671" t="s">
        <v>1988</v>
      </c>
      <c r="K160" s="671" t="s">
        <v>1989</v>
      </c>
      <c r="L160" s="705">
        <v>0</v>
      </c>
      <c r="M160" s="705">
        <v>0</v>
      </c>
      <c r="N160" s="671">
        <v>3</v>
      </c>
      <c r="O160" s="706">
        <v>1.5</v>
      </c>
      <c r="P160" s="705">
        <v>0</v>
      </c>
      <c r="Q160" s="682"/>
      <c r="R160" s="671">
        <v>1</v>
      </c>
      <c r="S160" s="682">
        <v>0.33333333333333331</v>
      </c>
      <c r="T160" s="706">
        <v>0.5</v>
      </c>
      <c r="U160" s="242">
        <v>0.33333333333333331</v>
      </c>
    </row>
    <row r="161" spans="1:21" ht="14.4" customHeight="1" x14ac:dyDescent="0.3">
      <c r="A161" s="680">
        <v>50</v>
      </c>
      <c r="B161" s="671" t="s">
        <v>536</v>
      </c>
      <c r="C161" s="671">
        <v>89301501</v>
      </c>
      <c r="D161" s="703" t="s">
        <v>2486</v>
      </c>
      <c r="E161" s="704" t="s">
        <v>1926</v>
      </c>
      <c r="F161" s="671" t="s">
        <v>1912</v>
      </c>
      <c r="G161" s="671" t="s">
        <v>1952</v>
      </c>
      <c r="H161" s="671" t="s">
        <v>535</v>
      </c>
      <c r="I161" s="671" t="s">
        <v>2034</v>
      </c>
      <c r="J161" s="671" t="s">
        <v>856</v>
      </c>
      <c r="K161" s="671" t="s">
        <v>2035</v>
      </c>
      <c r="L161" s="705">
        <v>30.65</v>
      </c>
      <c r="M161" s="705">
        <v>30.65</v>
      </c>
      <c r="N161" s="671">
        <v>1</v>
      </c>
      <c r="O161" s="706">
        <v>0.5</v>
      </c>
      <c r="P161" s="705"/>
      <c r="Q161" s="682">
        <v>0</v>
      </c>
      <c r="R161" s="671"/>
      <c r="S161" s="682">
        <v>0</v>
      </c>
      <c r="T161" s="706"/>
      <c r="U161" s="242">
        <v>0</v>
      </c>
    </row>
    <row r="162" spans="1:21" ht="14.4" customHeight="1" x14ac:dyDescent="0.3">
      <c r="A162" s="680">
        <v>50</v>
      </c>
      <c r="B162" s="671" t="s">
        <v>536</v>
      </c>
      <c r="C162" s="671">
        <v>89301501</v>
      </c>
      <c r="D162" s="703" t="s">
        <v>2486</v>
      </c>
      <c r="E162" s="704" t="s">
        <v>1926</v>
      </c>
      <c r="F162" s="671" t="s">
        <v>1912</v>
      </c>
      <c r="G162" s="671" t="s">
        <v>1952</v>
      </c>
      <c r="H162" s="671" t="s">
        <v>535</v>
      </c>
      <c r="I162" s="671" t="s">
        <v>855</v>
      </c>
      <c r="J162" s="671" t="s">
        <v>856</v>
      </c>
      <c r="K162" s="671" t="s">
        <v>857</v>
      </c>
      <c r="L162" s="705">
        <v>61.29</v>
      </c>
      <c r="M162" s="705">
        <v>122.58</v>
      </c>
      <c r="N162" s="671">
        <v>2</v>
      </c>
      <c r="O162" s="706">
        <v>1</v>
      </c>
      <c r="P162" s="705"/>
      <c r="Q162" s="682">
        <v>0</v>
      </c>
      <c r="R162" s="671"/>
      <c r="S162" s="682">
        <v>0</v>
      </c>
      <c r="T162" s="706"/>
      <c r="U162" s="242">
        <v>0</v>
      </c>
    </row>
    <row r="163" spans="1:21" ht="14.4" customHeight="1" x14ac:dyDescent="0.3">
      <c r="A163" s="680">
        <v>50</v>
      </c>
      <c r="B163" s="671" t="s">
        <v>536</v>
      </c>
      <c r="C163" s="671">
        <v>89301501</v>
      </c>
      <c r="D163" s="703" t="s">
        <v>2486</v>
      </c>
      <c r="E163" s="704" t="s">
        <v>1926</v>
      </c>
      <c r="F163" s="671" t="s">
        <v>1912</v>
      </c>
      <c r="G163" s="671" t="s">
        <v>1952</v>
      </c>
      <c r="H163" s="671" t="s">
        <v>535</v>
      </c>
      <c r="I163" s="671" t="s">
        <v>801</v>
      </c>
      <c r="J163" s="671" t="s">
        <v>1988</v>
      </c>
      <c r="K163" s="671" t="s">
        <v>2118</v>
      </c>
      <c r="L163" s="705">
        <v>12.26</v>
      </c>
      <c r="M163" s="705">
        <v>12.26</v>
      </c>
      <c r="N163" s="671">
        <v>1</v>
      </c>
      <c r="O163" s="706">
        <v>0.5</v>
      </c>
      <c r="P163" s="705"/>
      <c r="Q163" s="682">
        <v>0</v>
      </c>
      <c r="R163" s="671"/>
      <c r="S163" s="682">
        <v>0</v>
      </c>
      <c r="T163" s="706"/>
      <c r="U163" s="242">
        <v>0</v>
      </c>
    </row>
    <row r="164" spans="1:21" ht="14.4" customHeight="1" x14ac:dyDescent="0.3">
      <c r="A164" s="680">
        <v>50</v>
      </c>
      <c r="B164" s="671" t="s">
        <v>536</v>
      </c>
      <c r="C164" s="671">
        <v>89301501</v>
      </c>
      <c r="D164" s="703" t="s">
        <v>2486</v>
      </c>
      <c r="E164" s="704" t="s">
        <v>1926</v>
      </c>
      <c r="F164" s="671" t="s">
        <v>1912</v>
      </c>
      <c r="G164" s="671" t="s">
        <v>1952</v>
      </c>
      <c r="H164" s="671" t="s">
        <v>535</v>
      </c>
      <c r="I164" s="671" t="s">
        <v>867</v>
      </c>
      <c r="J164" s="671" t="s">
        <v>856</v>
      </c>
      <c r="K164" s="671" t="s">
        <v>868</v>
      </c>
      <c r="L164" s="705">
        <v>12.26</v>
      </c>
      <c r="M164" s="705">
        <v>12.26</v>
      </c>
      <c r="N164" s="671">
        <v>1</v>
      </c>
      <c r="O164" s="706">
        <v>0.5</v>
      </c>
      <c r="P164" s="705"/>
      <c r="Q164" s="682">
        <v>0</v>
      </c>
      <c r="R164" s="671"/>
      <c r="S164" s="682">
        <v>0</v>
      </c>
      <c r="T164" s="706"/>
      <c r="U164" s="242">
        <v>0</v>
      </c>
    </row>
    <row r="165" spans="1:21" ht="14.4" customHeight="1" x14ac:dyDescent="0.3">
      <c r="A165" s="680">
        <v>50</v>
      </c>
      <c r="B165" s="671" t="s">
        <v>536</v>
      </c>
      <c r="C165" s="671">
        <v>89301501</v>
      </c>
      <c r="D165" s="703" t="s">
        <v>2486</v>
      </c>
      <c r="E165" s="704" t="s">
        <v>1926</v>
      </c>
      <c r="F165" s="671" t="s">
        <v>1912</v>
      </c>
      <c r="G165" s="671" t="s">
        <v>2119</v>
      </c>
      <c r="H165" s="671" t="s">
        <v>535</v>
      </c>
      <c r="I165" s="671" t="s">
        <v>2120</v>
      </c>
      <c r="J165" s="671" t="s">
        <v>2121</v>
      </c>
      <c r="K165" s="671" t="s">
        <v>2122</v>
      </c>
      <c r="L165" s="705">
        <v>91.14</v>
      </c>
      <c r="M165" s="705">
        <v>91.14</v>
      </c>
      <c r="N165" s="671">
        <v>1</v>
      </c>
      <c r="O165" s="706">
        <v>1</v>
      </c>
      <c r="P165" s="705"/>
      <c r="Q165" s="682">
        <v>0</v>
      </c>
      <c r="R165" s="671"/>
      <c r="S165" s="682">
        <v>0</v>
      </c>
      <c r="T165" s="706"/>
      <c r="U165" s="242">
        <v>0</v>
      </c>
    </row>
    <row r="166" spans="1:21" ht="14.4" customHeight="1" x14ac:dyDescent="0.3">
      <c r="A166" s="680">
        <v>50</v>
      </c>
      <c r="B166" s="671" t="s">
        <v>536</v>
      </c>
      <c r="C166" s="671">
        <v>89301501</v>
      </c>
      <c r="D166" s="703" t="s">
        <v>2486</v>
      </c>
      <c r="E166" s="704" t="s">
        <v>1926</v>
      </c>
      <c r="F166" s="671" t="s">
        <v>1912</v>
      </c>
      <c r="G166" s="671" t="s">
        <v>2123</v>
      </c>
      <c r="H166" s="671" t="s">
        <v>535</v>
      </c>
      <c r="I166" s="671" t="s">
        <v>2124</v>
      </c>
      <c r="J166" s="671" t="s">
        <v>2125</v>
      </c>
      <c r="K166" s="671" t="s">
        <v>2126</v>
      </c>
      <c r="L166" s="705">
        <v>0</v>
      </c>
      <c r="M166" s="705">
        <v>0</v>
      </c>
      <c r="N166" s="671">
        <v>1</v>
      </c>
      <c r="O166" s="706">
        <v>1</v>
      </c>
      <c r="P166" s="705"/>
      <c r="Q166" s="682"/>
      <c r="R166" s="671"/>
      <c r="S166" s="682">
        <v>0</v>
      </c>
      <c r="T166" s="706"/>
      <c r="U166" s="242">
        <v>0</v>
      </c>
    </row>
    <row r="167" spans="1:21" ht="14.4" customHeight="1" x14ac:dyDescent="0.3">
      <c r="A167" s="680">
        <v>50</v>
      </c>
      <c r="B167" s="671" t="s">
        <v>536</v>
      </c>
      <c r="C167" s="671">
        <v>89301501</v>
      </c>
      <c r="D167" s="703" t="s">
        <v>2486</v>
      </c>
      <c r="E167" s="704" t="s">
        <v>1926</v>
      </c>
      <c r="F167" s="671" t="s">
        <v>1912</v>
      </c>
      <c r="G167" s="671" t="s">
        <v>1956</v>
      </c>
      <c r="H167" s="671" t="s">
        <v>535</v>
      </c>
      <c r="I167" s="671" t="s">
        <v>1957</v>
      </c>
      <c r="J167" s="671" t="s">
        <v>1958</v>
      </c>
      <c r="K167" s="671" t="s">
        <v>1959</v>
      </c>
      <c r="L167" s="705">
        <v>44.89</v>
      </c>
      <c r="M167" s="705">
        <v>44.89</v>
      </c>
      <c r="N167" s="671">
        <v>1</v>
      </c>
      <c r="O167" s="706">
        <v>0.5</v>
      </c>
      <c r="P167" s="705"/>
      <c r="Q167" s="682">
        <v>0</v>
      </c>
      <c r="R167" s="671"/>
      <c r="S167" s="682">
        <v>0</v>
      </c>
      <c r="T167" s="706"/>
      <c r="U167" s="242">
        <v>0</v>
      </c>
    </row>
    <row r="168" spans="1:21" ht="14.4" customHeight="1" x14ac:dyDescent="0.3">
      <c r="A168" s="680">
        <v>50</v>
      </c>
      <c r="B168" s="671" t="s">
        <v>536</v>
      </c>
      <c r="C168" s="671">
        <v>89301501</v>
      </c>
      <c r="D168" s="703" t="s">
        <v>2486</v>
      </c>
      <c r="E168" s="704" t="s">
        <v>1926</v>
      </c>
      <c r="F168" s="671" t="s">
        <v>1912</v>
      </c>
      <c r="G168" s="671" t="s">
        <v>1956</v>
      </c>
      <c r="H168" s="671" t="s">
        <v>535</v>
      </c>
      <c r="I168" s="671" t="s">
        <v>717</v>
      </c>
      <c r="J168" s="671" t="s">
        <v>949</v>
      </c>
      <c r="K168" s="671" t="s">
        <v>2040</v>
      </c>
      <c r="L168" s="705">
        <v>33.68</v>
      </c>
      <c r="M168" s="705">
        <v>33.68</v>
      </c>
      <c r="N168" s="671">
        <v>1</v>
      </c>
      <c r="O168" s="706">
        <v>0.5</v>
      </c>
      <c r="P168" s="705"/>
      <c r="Q168" s="682">
        <v>0</v>
      </c>
      <c r="R168" s="671"/>
      <c r="S168" s="682">
        <v>0</v>
      </c>
      <c r="T168" s="706"/>
      <c r="U168" s="242">
        <v>0</v>
      </c>
    </row>
    <row r="169" spans="1:21" ht="14.4" customHeight="1" x14ac:dyDescent="0.3">
      <c r="A169" s="680">
        <v>50</v>
      </c>
      <c r="B169" s="671" t="s">
        <v>536</v>
      </c>
      <c r="C169" s="671">
        <v>89301501</v>
      </c>
      <c r="D169" s="703" t="s">
        <v>2486</v>
      </c>
      <c r="E169" s="704" t="s">
        <v>1926</v>
      </c>
      <c r="F169" s="671" t="s">
        <v>1912</v>
      </c>
      <c r="G169" s="671" t="s">
        <v>2127</v>
      </c>
      <c r="H169" s="671" t="s">
        <v>535</v>
      </c>
      <c r="I169" s="671" t="s">
        <v>2128</v>
      </c>
      <c r="J169" s="671" t="s">
        <v>2129</v>
      </c>
      <c r="K169" s="671" t="s">
        <v>1933</v>
      </c>
      <c r="L169" s="705">
        <v>41.89</v>
      </c>
      <c r="M169" s="705">
        <v>41.89</v>
      </c>
      <c r="N169" s="671">
        <v>1</v>
      </c>
      <c r="O169" s="706">
        <v>0.5</v>
      </c>
      <c r="P169" s="705"/>
      <c r="Q169" s="682">
        <v>0</v>
      </c>
      <c r="R169" s="671"/>
      <c r="S169" s="682">
        <v>0</v>
      </c>
      <c r="T169" s="706"/>
      <c r="U169" s="242">
        <v>0</v>
      </c>
    </row>
    <row r="170" spans="1:21" ht="14.4" customHeight="1" x14ac:dyDescent="0.3">
      <c r="A170" s="680">
        <v>50</v>
      </c>
      <c r="B170" s="671" t="s">
        <v>536</v>
      </c>
      <c r="C170" s="671">
        <v>89301501</v>
      </c>
      <c r="D170" s="703" t="s">
        <v>2486</v>
      </c>
      <c r="E170" s="704" t="s">
        <v>1926</v>
      </c>
      <c r="F170" s="671" t="s">
        <v>1912</v>
      </c>
      <c r="G170" s="671" t="s">
        <v>2000</v>
      </c>
      <c r="H170" s="671" t="s">
        <v>1039</v>
      </c>
      <c r="I170" s="671" t="s">
        <v>1191</v>
      </c>
      <c r="J170" s="671" t="s">
        <v>1192</v>
      </c>
      <c r="K170" s="671" t="s">
        <v>1193</v>
      </c>
      <c r="L170" s="705">
        <v>55.38</v>
      </c>
      <c r="M170" s="705">
        <v>55.38</v>
      </c>
      <c r="N170" s="671">
        <v>1</v>
      </c>
      <c r="O170" s="706">
        <v>0.5</v>
      </c>
      <c r="P170" s="705"/>
      <c r="Q170" s="682">
        <v>0</v>
      </c>
      <c r="R170" s="671"/>
      <c r="S170" s="682">
        <v>0</v>
      </c>
      <c r="T170" s="706"/>
      <c r="U170" s="242">
        <v>0</v>
      </c>
    </row>
    <row r="171" spans="1:21" ht="14.4" customHeight="1" x14ac:dyDescent="0.3">
      <c r="A171" s="680">
        <v>50</v>
      </c>
      <c r="B171" s="671" t="s">
        <v>536</v>
      </c>
      <c r="C171" s="671">
        <v>89301501</v>
      </c>
      <c r="D171" s="703" t="s">
        <v>2486</v>
      </c>
      <c r="E171" s="704" t="s">
        <v>1926</v>
      </c>
      <c r="F171" s="671" t="s">
        <v>1912</v>
      </c>
      <c r="G171" s="671" t="s">
        <v>2000</v>
      </c>
      <c r="H171" s="671" t="s">
        <v>535</v>
      </c>
      <c r="I171" s="671" t="s">
        <v>2130</v>
      </c>
      <c r="J171" s="671" t="s">
        <v>2131</v>
      </c>
      <c r="K171" s="671" t="s">
        <v>2132</v>
      </c>
      <c r="L171" s="705">
        <v>51.69</v>
      </c>
      <c r="M171" s="705">
        <v>51.69</v>
      </c>
      <c r="N171" s="671">
        <v>1</v>
      </c>
      <c r="O171" s="706">
        <v>0.5</v>
      </c>
      <c r="P171" s="705"/>
      <c r="Q171" s="682">
        <v>0</v>
      </c>
      <c r="R171" s="671"/>
      <c r="S171" s="682">
        <v>0</v>
      </c>
      <c r="T171" s="706"/>
      <c r="U171" s="242">
        <v>0</v>
      </c>
    </row>
    <row r="172" spans="1:21" ht="14.4" customHeight="1" x14ac:dyDescent="0.3">
      <c r="A172" s="680">
        <v>50</v>
      </c>
      <c r="B172" s="671" t="s">
        <v>536</v>
      </c>
      <c r="C172" s="671">
        <v>89301501</v>
      </c>
      <c r="D172" s="703" t="s">
        <v>2486</v>
      </c>
      <c r="E172" s="704" t="s">
        <v>1926</v>
      </c>
      <c r="F172" s="671" t="s">
        <v>1912</v>
      </c>
      <c r="G172" s="671" t="s">
        <v>2004</v>
      </c>
      <c r="H172" s="671" t="s">
        <v>1039</v>
      </c>
      <c r="I172" s="671" t="s">
        <v>2133</v>
      </c>
      <c r="J172" s="671" t="s">
        <v>1041</v>
      </c>
      <c r="K172" s="671" t="s">
        <v>2134</v>
      </c>
      <c r="L172" s="705">
        <v>0</v>
      </c>
      <c r="M172" s="705">
        <v>0</v>
      </c>
      <c r="N172" s="671">
        <v>1</v>
      </c>
      <c r="O172" s="706">
        <v>0.5</v>
      </c>
      <c r="P172" s="705"/>
      <c r="Q172" s="682"/>
      <c r="R172" s="671"/>
      <c r="S172" s="682">
        <v>0</v>
      </c>
      <c r="T172" s="706"/>
      <c r="U172" s="242">
        <v>0</v>
      </c>
    </row>
    <row r="173" spans="1:21" ht="14.4" customHeight="1" x14ac:dyDescent="0.3">
      <c r="A173" s="680">
        <v>50</v>
      </c>
      <c r="B173" s="671" t="s">
        <v>536</v>
      </c>
      <c r="C173" s="671">
        <v>89301501</v>
      </c>
      <c r="D173" s="703" t="s">
        <v>2486</v>
      </c>
      <c r="E173" s="704" t="s">
        <v>1926</v>
      </c>
      <c r="F173" s="671" t="s">
        <v>1912</v>
      </c>
      <c r="G173" s="671" t="s">
        <v>1963</v>
      </c>
      <c r="H173" s="671" t="s">
        <v>535</v>
      </c>
      <c r="I173" s="671" t="s">
        <v>2071</v>
      </c>
      <c r="J173" s="671" t="s">
        <v>818</v>
      </c>
      <c r="K173" s="671" t="s">
        <v>1090</v>
      </c>
      <c r="L173" s="705">
        <v>67.42</v>
      </c>
      <c r="M173" s="705">
        <v>202.26</v>
      </c>
      <c r="N173" s="671">
        <v>3</v>
      </c>
      <c r="O173" s="706">
        <v>1.5</v>
      </c>
      <c r="P173" s="705">
        <v>67.42</v>
      </c>
      <c r="Q173" s="682">
        <v>0.33333333333333337</v>
      </c>
      <c r="R173" s="671">
        <v>1</v>
      </c>
      <c r="S173" s="682">
        <v>0.33333333333333331</v>
      </c>
      <c r="T173" s="706">
        <v>0.5</v>
      </c>
      <c r="U173" s="242">
        <v>0.33333333333333331</v>
      </c>
    </row>
    <row r="174" spans="1:21" ht="14.4" customHeight="1" x14ac:dyDescent="0.3">
      <c r="A174" s="680">
        <v>50</v>
      </c>
      <c r="B174" s="671" t="s">
        <v>536</v>
      </c>
      <c r="C174" s="671">
        <v>89301501</v>
      </c>
      <c r="D174" s="703" t="s">
        <v>2486</v>
      </c>
      <c r="E174" s="704" t="s">
        <v>1926</v>
      </c>
      <c r="F174" s="671" t="s">
        <v>1912</v>
      </c>
      <c r="G174" s="671" t="s">
        <v>1963</v>
      </c>
      <c r="H174" s="671" t="s">
        <v>535</v>
      </c>
      <c r="I174" s="671" t="s">
        <v>2095</v>
      </c>
      <c r="J174" s="671" t="s">
        <v>1965</v>
      </c>
      <c r="K174" s="671" t="s">
        <v>1878</v>
      </c>
      <c r="L174" s="705">
        <v>134.83000000000001</v>
      </c>
      <c r="M174" s="705">
        <v>134.83000000000001</v>
      </c>
      <c r="N174" s="671">
        <v>1</v>
      </c>
      <c r="O174" s="706">
        <v>0.5</v>
      </c>
      <c r="P174" s="705"/>
      <c r="Q174" s="682">
        <v>0</v>
      </c>
      <c r="R174" s="671"/>
      <c r="S174" s="682">
        <v>0</v>
      </c>
      <c r="T174" s="706"/>
      <c r="U174" s="242">
        <v>0</v>
      </c>
    </row>
    <row r="175" spans="1:21" ht="14.4" customHeight="1" x14ac:dyDescent="0.3">
      <c r="A175" s="680">
        <v>50</v>
      </c>
      <c r="B175" s="671" t="s">
        <v>536</v>
      </c>
      <c r="C175" s="671">
        <v>89301501</v>
      </c>
      <c r="D175" s="703" t="s">
        <v>2486</v>
      </c>
      <c r="E175" s="704" t="s">
        <v>1926</v>
      </c>
      <c r="F175" s="671" t="s">
        <v>1912</v>
      </c>
      <c r="G175" s="671" t="s">
        <v>2135</v>
      </c>
      <c r="H175" s="671" t="s">
        <v>535</v>
      </c>
      <c r="I175" s="671" t="s">
        <v>870</v>
      </c>
      <c r="J175" s="671" t="s">
        <v>871</v>
      </c>
      <c r="K175" s="671" t="s">
        <v>872</v>
      </c>
      <c r="L175" s="705">
        <v>203.38</v>
      </c>
      <c r="M175" s="705">
        <v>203.38</v>
      </c>
      <c r="N175" s="671">
        <v>1</v>
      </c>
      <c r="O175" s="706">
        <v>0.5</v>
      </c>
      <c r="P175" s="705"/>
      <c r="Q175" s="682">
        <v>0</v>
      </c>
      <c r="R175" s="671"/>
      <c r="S175" s="682">
        <v>0</v>
      </c>
      <c r="T175" s="706"/>
      <c r="U175" s="242">
        <v>0</v>
      </c>
    </row>
    <row r="176" spans="1:21" ht="14.4" customHeight="1" x14ac:dyDescent="0.3">
      <c r="A176" s="680">
        <v>50</v>
      </c>
      <c r="B176" s="671" t="s">
        <v>536</v>
      </c>
      <c r="C176" s="671">
        <v>89301501</v>
      </c>
      <c r="D176" s="703" t="s">
        <v>2486</v>
      </c>
      <c r="E176" s="704" t="s">
        <v>1926</v>
      </c>
      <c r="F176" s="671" t="s">
        <v>1912</v>
      </c>
      <c r="G176" s="671" t="s">
        <v>1969</v>
      </c>
      <c r="H176" s="671" t="s">
        <v>1039</v>
      </c>
      <c r="I176" s="671" t="s">
        <v>2011</v>
      </c>
      <c r="J176" s="671" t="s">
        <v>1044</v>
      </c>
      <c r="K176" s="671" t="s">
        <v>1950</v>
      </c>
      <c r="L176" s="705">
        <v>33.72</v>
      </c>
      <c r="M176" s="705">
        <v>67.44</v>
      </c>
      <c r="N176" s="671">
        <v>2</v>
      </c>
      <c r="O176" s="706">
        <v>1</v>
      </c>
      <c r="P176" s="705"/>
      <c r="Q176" s="682">
        <v>0</v>
      </c>
      <c r="R176" s="671"/>
      <c r="S176" s="682">
        <v>0</v>
      </c>
      <c r="T176" s="706"/>
      <c r="U176" s="242">
        <v>0</v>
      </c>
    </row>
    <row r="177" spans="1:21" ht="14.4" customHeight="1" x14ac:dyDescent="0.3">
      <c r="A177" s="680">
        <v>50</v>
      </c>
      <c r="B177" s="671" t="s">
        <v>536</v>
      </c>
      <c r="C177" s="671">
        <v>89301501</v>
      </c>
      <c r="D177" s="703" t="s">
        <v>2486</v>
      </c>
      <c r="E177" s="704" t="s">
        <v>1926</v>
      </c>
      <c r="F177" s="671" t="s">
        <v>1912</v>
      </c>
      <c r="G177" s="671" t="s">
        <v>1969</v>
      </c>
      <c r="H177" s="671" t="s">
        <v>1039</v>
      </c>
      <c r="I177" s="671" t="s">
        <v>1110</v>
      </c>
      <c r="J177" s="671" t="s">
        <v>1839</v>
      </c>
      <c r="K177" s="671" t="s">
        <v>1153</v>
      </c>
      <c r="L177" s="705">
        <v>67.42</v>
      </c>
      <c r="M177" s="705">
        <v>134.84</v>
      </c>
      <c r="N177" s="671">
        <v>2</v>
      </c>
      <c r="O177" s="706">
        <v>1</v>
      </c>
      <c r="P177" s="705"/>
      <c r="Q177" s="682">
        <v>0</v>
      </c>
      <c r="R177" s="671"/>
      <c r="S177" s="682">
        <v>0</v>
      </c>
      <c r="T177" s="706"/>
      <c r="U177" s="242">
        <v>0</v>
      </c>
    </row>
    <row r="178" spans="1:21" ht="14.4" customHeight="1" x14ac:dyDescent="0.3">
      <c r="A178" s="680">
        <v>50</v>
      </c>
      <c r="B178" s="671" t="s">
        <v>536</v>
      </c>
      <c r="C178" s="671">
        <v>89301501</v>
      </c>
      <c r="D178" s="703" t="s">
        <v>2486</v>
      </c>
      <c r="E178" s="704" t="s">
        <v>1926</v>
      </c>
      <c r="F178" s="671" t="s">
        <v>1912</v>
      </c>
      <c r="G178" s="671" t="s">
        <v>2012</v>
      </c>
      <c r="H178" s="671" t="s">
        <v>1039</v>
      </c>
      <c r="I178" s="671" t="s">
        <v>2077</v>
      </c>
      <c r="J178" s="671" t="s">
        <v>2078</v>
      </c>
      <c r="K178" s="671" t="s">
        <v>1842</v>
      </c>
      <c r="L178" s="705">
        <v>201.88</v>
      </c>
      <c r="M178" s="705">
        <v>201.88</v>
      </c>
      <c r="N178" s="671">
        <v>1</v>
      </c>
      <c r="O178" s="706">
        <v>0.5</v>
      </c>
      <c r="P178" s="705"/>
      <c r="Q178" s="682">
        <v>0</v>
      </c>
      <c r="R178" s="671"/>
      <c r="S178" s="682">
        <v>0</v>
      </c>
      <c r="T178" s="706"/>
      <c r="U178" s="242">
        <v>0</v>
      </c>
    </row>
    <row r="179" spans="1:21" ht="14.4" customHeight="1" x14ac:dyDescent="0.3">
      <c r="A179" s="680">
        <v>50</v>
      </c>
      <c r="B179" s="671" t="s">
        <v>536</v>
      </c>
      <c r="C179" s="671">
        <v>89301501</v>
      </c>
      <c r="D179" s="703" t="s">
        <v>2486</v>
      </c>
      <c r="E179" s="704" t="s">
        <v>1926</v>
      </c>
      <c r="F179" s="671" t="s">
        <v>1912</v>
      </c>
      <c r="G179" s="671" t="s">
        <v>1971</v>
      </c>
      <c r="H179" s="671" t="s">
        <v>535</v>
      </c>
      <c r="I179" s="671" t="s">
        <v>1972</v>
      </c>
      <c r="J179" s="671" t="s">
        <v>864</v>
      </c>
      <c r="K179" s="671" t="s">
        <v>1973</v>
      </c>
      <c r="L179" s="705">
        <v>112.13</v>
      </c>
      <c r="M179" s="705">
        <v>224.26</v>
      </c>
      <c r="N179" s="671">
        <v>2</v>
      </c>
      <c r="O179" s="706">
        <v>1</v>
      </c>
      <c r="P179" s="705"/>
      <c r="Q179" s="682">
        <v>0</v>
      </c>
      <c r="R179" s="671"/>
      <c r="S179" s="682">
        <v>0</v>
      </c>
      <c r="T179" s="706"/>
      <c r="U179" s="242">
        <v>0</v>
      </c>
    </row>
    <row r="180" spans="1:21" ht="14.4" customHeight="1" x14ac:dyDescent="0.3">
      <c r="A180" s="680">
        <v>50</v>
      </c>
      <c r="B180" s="671" t="s">
        <v>536</v>
      </c>
      <c r="C180" s="671">
        <v>89301501</v>
      </c>
      <c r="D180" s="703" t="s">
        <v>2486</v>
      </c>
      <c r="E180" s="704" t="s">
        <v>1926</v>
      </c>
      <c r="F180" s="671" t="s">
        <v>1912</v>
      </c>
      <c r="G180" s="671" t="s">
        <v>2014</v>
      </c>
      <c r="H180" s="671" t="s">
        <v>535</v>
      </c>
      <c r="I180" s="671" t="s">
        <v>2015</v>
      </c>
      <c r="J180" s="671" t="s">
        <v>2016</v>
      </c>
      <c r="K180" s="671" t="s">
        <v>2017</v>
      </c>
      <c r="L180" s="705">
        <v>43.99</v>
      </c>
      <c r="M180" s="705">
        <v>87.98</v>
      </c>
      <c r="N180" s="671">
        <v>2</v>
      </c>
      <c r="O180" s="706">
        <v>1.5</v>
      </c>
      <c r="P180" s="705">
        <v>43.99</v>
      </c>
      <c r="Q180" s="682">
        <v>0.5</v>
      </c>
      <c r="R180" s="671">
        <v>1</v>
      </c>
      <c r="S180" s="682">
        <v>0.5</v>
      </c>
      <c r="T180" s="706">
        <v>1</v>
      </c>
      <c r="U180" s="242">
        <v>0.66666666666666663</v>
      </c>
    </row>
    <row r="181" spans="1:21" ht="14.4" customHeight="1" x14ac:dyDescent="0.3">
      <c r="A181" s="680">
        <v>50</v>
      </c>
      <c r="B181" s="671" t="s">
        <v>536</v>
      </c>
      <c r="C181" s="671">
        <v>89301501</v>
      </c>
      <c r="D181" s="703" t="s">
        <v>2486</v>
      </c>
      <c r="E181" s="704" t="s">
        <v>1926</v>
      </c>
      <c r="F181" s="671" t="s">
        <v>1912</v>
      </c>
      <c r="G181" s="671" t="s">
        <v>2136</v>
      </c>
      <c r="H181" s="671" t="s">
        <v>535</v>
      </c>
      <c r="I181" s="671" t="s">
        <v>2137</v>
      </c>
      <c r="J181" s="671" t="s">
        <v>688</v>
      </c>
      <c r="K181" s="671" t="s">
        <v>2138</v>
      </c>
      <c r="L181" s="705">
        <v>0</v>
      </c>
      <c r="M181" s="705">
        <v>0</v>
      </c>
      <c r="N181" s="671">
        <v>1</v>
      </c>
      <c r="O181" s="706">
        <v>0.5</v>
      </c>
      <c r="P181" s="705"/>
      <c r="Q181" s="682"/>
      <c r="R181" s="671"/>
      <c r="S181" s="682">
        <v>0</v>
      </c>
      <c r="T181" s="706"/>
      <c r="U181" s="242">
        <v>0</v>
      </c>
    </row>
    <row r="182" spans="1:21" ht="14.4" customHeight="1" x14ac:dyDescent="0.3">
      <c r="A182" s="680">
        <v>50</v>
      </c>
      <c r="B182" s="671" t="s">
        <v>536</v>
      </c>
      <c r="C182" s="671">
        <v>89301501</v>
      </c>
      <c r="D182" s="703" t="s">
        <v>2486</v>
      </c>
      <c r="E182" s="704" t="s">
        <v>1926</v>
      </c>
      <c r="F182" s="671" t="s">
        <v>1912</v>
      </c>
      <c r="G182" s="671" t="s">
        <v>2139</v>
      </c>
      <c r="H182" s="671" t="s">
        <v>535</v>
      </c>
      <c r="I182" s="671" t="s">
        <v>2140</v>
      </c>
      <c r="J182" s="671" t="s">
        <v>2141</v>
      </c>
      <c r="K182" s="671" t="s">
        <v>2142</v>
      </c>
      <c r="L182" s="705">
        <v>157.76</v>
      </c>
      <c r="M182" s="705">
        <v>157.76</v>
      </c>
      <c r="N182" s="671">
        <v>1</v>
      </c>
      <c r="O182" s="706">
        <v>0.5</v>
      </c>
      <c r="P182" s="705"/>
      <c r="Q182" s="682">
        <v>0</v>
      </c>
      <c r="R182" s="671"/>
      <c r="S182" s="682">
        <v>0</v>
      </c>
      <c r="T182" s="706"/>
      <c r="U182" s="242">
        <v>0</v>
      </c>
    </row>
    <row r="183" spans="1:21" ht="14.4" customHeight="1" x14ac:dyDescent="0.3">
      <c r="A183" s="680">
        <v>50</v>
      </c>
      <c r="B183" s="671" t="s">
        <v>536</v>
      </c>
      <c r="C183" s="671">
        <v>89301501</v>
      </c>
      <c r="D183" s="703" t="s">
        <v>2486</v>
      </c>
      <c r="E183" s="704" t="s">
        <v>1926</v>
      </c>
      <c r="F183" s="671" t="s">
        <v>1912</v>
      </c>
      <c r="G183" s="671" t="s">
        <v>1974</v>
      </c>
      <c r="H183" s="671" t="s">
        <v>1039</v>
      </c>
      <c r="I183" s="671" t="s">
        <v>2045</v>
      </c>
      <c r="J183" s="671" t="s">
        <v>2046</v>
      </c>
      <c r="K183" s="671" t="s">
        <v>2047</v>
      </c>
      <c r="L183" s="705">
        <v>156.25</v>
      </c>
      <c r="M183" s="705">
        <v>312.5</v>
      </c>
      <c r="N183" s="671">
        <v>2</v>
      </c>
      <c r="O183" s="706">
        <v>1.5</v>
      </c>
      <c r="P183" s="705"/>
      <c r="Q183" s="682">
        <v>0</v>
      </c>
      <c r="R183" s="671"/>
      <c r="S183" s="682">
        <v>0</v>
      </c>
      <c r="T183" s="706"/>
      <c r="U183" s="242">
        <v>0</v>
      </c>
    </row>
    <row r="184" spans="1:21" ht="14.4" customHeight="1" x14ac:dyDescent="0.3">
      <c r="A184" s="680">
        <v>50</v>
      </c>
      <c r="B184" s="671" t="s">
        <v>536</v>
      </c>
      <c r="C184" s="671">
        <v>89301501</v>
      </c>
      <c r="D184" s="703" t="s">
        <v>2486</v>
      </c>
      <c r="E184" s="704" t="s">
        <v>1926</v>
      </c>
      <c r="F184" s="671" t="s">
        <v>1912</v>
      </c>
      <c r="G184" s="671" t="s">
        <v>1974</v>
      </c>
      <c r="H184" s="671" t="s">
        <v>1039</v>
      </c>
      <c r="I184" s="671" t="s">
        <v>1140</v>
      </c>
      <c r="J184" s="671" t="s">
        <v>1821</v>
      </c>
      <c r="K184" s="671" t="s">
        <v>1539</v>
      </c>
      <c r="L184" s="705">
        <v>193.14</v>
      </c>
      <c r="M184" s="705">
        <v>579.41999999999996</v>
      </c>
      <c r="N184" s="671">
        <v>3</v>
      </c>
      <c r="O184" s="706">
        <v>2</v>
      </c>
      <c r="P184" s="705"/>
      <c r="Q184" s="682">
        <v>0</v>
      </c>
      <c r="R184" s="671"/>
      <c r="S184" s="682">
        <v>0</v>
      </c>
      <c r="T184" s="706"/>
      <c r="U184" s="242">
        <v>0</v>
      </c>
    </row>
    <row r="185" spans="1:21" ht="14.4" customHeight="1" x14ac:dyDescent="0.3">
      <c r="A185" s="680">
        <v>50</v>
      </c>
      <c r="B185" s="671" t="s">
        <v>536</v>
      </c>
      <c r="C185" s="671">
        <v>89301501</v>
      </c>
      <c r="D185" s="703" t="s">
        <v>2486</v>
      </c>
      <c r="E185" s="704" t="s">
        <v>1927</v>
      </c>
      <c r="F185" s="671" t="s">
        <v>1912</v>
      </c>
      <c r="G185" s="671" t="s">
        <v>1935</v>
      </c>
      <c r="H185" s="671" t="s">
        <v>1039</v>
      </c>
      <c r="I185" s="671" t="s">
        <v>2143</v>
      </c>
      <c r="J185" s="671" t="s">
        <v>2144</v>
      </c>
      <c r="K185" s="671" t="s">
        <v>2145</v>
      </c>
      <c r="L185" s="705">
        <v>60.02</v>
      </c>
      <c r="M185" s="705">
        <v>60.02</v>
      </c>
      <c r="N185" s="671">
        <v>1</v>
      </c>
      <c r="O185" s="706">
        <v>0.5</v>
      </c>
      <c r="P185" s="705"/>
      <c r="Q185" s="682">
        <v>0</v>
      </c>
      <c r="R185" s="671"/>
      <c r="S185" s="682">
        <v>0</v>
      </c>
      <c r="T185" s="706"/>
      <c r="U185" s="242">
        <v>0</v>
      </c>
    </row>
    <row r="186" spans="1:21" ht="14.4" customHeight="1" x14ac:dyDescent="0.3">
      <c r="A186" s="680">
        <v>50</v>
      </c>
      <c r="B186" s="671" t="s">
        <v>536</v>
      </c>
      <c r="C186" s="671">
        <v>89301501</v>
      </c>
      <c r="D186" s="703" t="s">
        <v>2486</v>
      </c>
      <c r="E186" s="704" t="s">
        <v>1927</v>
      </c>
      <c r="F186" s="671" t="s">
        <v>1912</v>
      </c>
      <c r="G186" s="671" t="s">
        <v>1962</v>
      </c>
      <c r="H186" s="671" t="s">
        <v>1039</v>
      </c>
      <c r="I186" s="671" t="s">
        <v>1125</v>
      </c>
      <c r="J186" s="671" t="s">
        <v>1119</v>
      </c>
      <c r="K186" s="671" t="s">
        <v>1823</v>
      </c>
      <c r="L186" s="705">
        <v>2916.16</v>
      </c>
      <c r="M186" s="705">
        <v>2916.16</v>
      </c>
      <c r="N186" s="671">
        <v>1</v>
      </c>
      <c r="O186" s="706">
        <v>0.5</v>
      </c>
      <c r="P186" s="705"/>
      <c r="Q186" s="682">
        <v>0</v>
      </c>
      <c r="R186" s="671"/>
      <c r="S186" s="682">
        <v>0</v>
      </c>
      <c r="T186" s="706"/>
      <c r="U186" s="242">
        <v>0</v>
      </c>
    </row>
    <row r="187" spans="1:21" ht="14.4" customHeight="1" x14ac:dyDescent="0.3">
      <c r="A187" s="680">
        <v>50</v>
      </c>
      <c r="B187" s="671" t="s">
        <v>536</v>
      </c>
      <c r="C187" s="671">
        <v>89301501</v>
      </c>
      <c r="D187" s="703" t="s">
        <v>2486</v>
      </c>
      <c r="E187" s="704" t="s">
        <v>1927</v>
      </c>
      <c r="F187" s="671" t="s">
        <v>1912</v>
      </c>
      <c r="G187" s="671" t="s">
        <v>1974</v>
      </c>
      <c r="H187" s="671" t="s">
        <v>1039</v>
      </c>
      <c r="I187" s="671" t="s">
        <v>1140</v>
      </c>
      <c r="J187" s="671" t="s">
        <v>1821</v>
      </c>
      <c r="K187" s="671" t="s">
        <v>1539</v>
      </c>
      <c r="L187" s="705">
        <v>193.14</v>
      </c>
      <c r="M187" s="705">
        <v>193.14</v>
      </c>
      <c r="N187" s="671">
        <v>1</v>
      </c>
      <c r="O187" s="706">
        <v>1</v>
      </c>
      <c r="P187" s="705"/>
      <c r="Q187" s="682">
        <v>0</v>
      </c>
      <c r="R187" s="671"/>
      <c r="S187" s="682">
        <v>0</v>
      </c>
      <c r="T187" s="706"/>
      <c r="U187" s="242">
        <v>0</v>
      </c>
    </row>
    <row r="188" spans="1:21" ht="14.4" customHeight="1" x14ac:dyDescent="0.3">
      <c r="A188" s="680">
        <v>50</v>
      </c>
      <c r="B188" s="671" t="s">
        <v>536</v>
      </c>
      <c r="C188" s="671">
        <v>89301501</v>
      </c>
      <c r="D188" s="703" t="s">
        <v>2486</v>
      </c>
      <c r="E188" s="704" t="s">
        <v>1928</v>
      </c>
      <c r="F188" s="671" t="s">
        <v>1912</v>
      </c>
      <c r="G188" s="671" t="s">
        <v>2023</v>
      </c>
      <c r="H188" s="671" t="s">
        <v>1039</v>
      </c>
      <c r="I188" s="671" t="s">
        <v>1256</v>
      </c>
      <c r="J188" s="671" t="s">
        <v>1853</v>
      </c>
      <c r="K188" s="671" t="s">
        <v>1854</v>
      </c>
      <c r="L188" s="705">
        <v>333.31</v>
      </c>
      <c r="M188" s="705">
        <v>333.31</v>
      </c>
      <c r="N188" s="671">
        <v>1</v>
      </c>
      <c r="O188" s="706">
        <v>1</v>
      </c>
      <c r="P188" s="705"/>
      <c r="Q188" s="682">
        <v>0</v>
      </c>
      <c r="R188" s="671"/>
      <c r="S188" s="682">
        <v>0</v>
      </c>
      <c r="T188" s="706"/>
      <c r="U188" s="242">
        <v>0</v>
      </c>
    </row>
    <row r="189" spans="1:21" ht="14.4" customHeight="1" x14ac:dyDescent="0.3">
      <c r="A189" s="680">
        <v>50</v>
      </c>
      <c r="B189" s="671" t="s">
        <v>536</v>
      </c>
      <c r="C189" s="671">
        <v>89301501</v>
      </c>
      <c r="D189" s="703" t="s">
        <v>2486</v>
      </c>
      <c r="E189" s="704" t="s">
        <v>1928</v>
      </c>
      <c r="F189" s="671" t="s">
        <v>1912</v>
      </c>
      <c r="G189" s="671" t="s">
        <v>1934</v>
      </c>
      <c r="H189" s="671" t="s">
        <v>1039</v>
      </c>
      <c r="I189" s="671" t="s">
        <v>1132</v>
      </c>
      <c r="J189" s="671" t="s">
        <v>1137</v>
      </c>
      <c r="K189" s="671" t="s">
        <v>1842</v>
      </c>
      <c r="L189" s="705">
        <v>130.59</v>
      </c>
      <c r="M189" s="705">
        <v>130.59</v>
      </c>
      <c r="N189" s="671">
        <v>1</v>
      </c>
      <c r="O189" s="706">
        <v>0.5</v>
      </c>
      <c r="P189" s="705"/>
      <c r="Q189" s="682">
        <v>0</v>
      </c>
      <c r="R189" s="671"/>
      <c r="S189" s="682">
        <v>0</v>
      </c>
      <c r="T189" s="706"/>
      <c r="U189" s="242">
        <v>0</v>
      </c>
    </row>
    <row r="190" spans="1:21" ht="14.4" customHeight="1" x14ac:dyDescent="0.3">
      <c r="A190" s="680">
        <v>50</v>
      </c>
      <c r="B190" s="671" t="s">
        <v>536</v>
      </c>
      <c r="C190" s="671">
        <v>89301501</v>
      </c>
      <c r="D190" s="703" t="s">
        <v>2486</v>
      </c>
      <c r="E190" s="704" t="s">
        <v>1928</v>
      </c>
      <c r="F190" s="671" t="s">
        <v>1912</v>
      </c>
      <c r="G190" s="671" t="s">
        <v>1934</v>
      </c>
      <c r="H190" s="671" t="s">
        <v>1039</v>
      </c>
      <c r="I190" s="671" t="s">
        <v>1179</v>
      </c>
      <c r="J190" s="671" t="s">
        <v>1184</v>
      </c>
      <c r="K190" s="671" t="s">
        <v>1844</v>
      </c>
      <c r="L190" s="705">
        <v>201.88</v>
      </c>
      <c r="M190" s="705">
        <v>201.88</v>
      </c>
      <c r="N190" s="671">
        <v>1</v>
      </c>
      <c r="O190" s="706">
        <v>1</v>
      </c>
      <c r="P190" s="705"/>
      <c r="Q190" s="682">
        <v>0</v>
      </c>
      <c r="R190" s="671"/>
      <c r="S190" s="682">
        <v>0</v>
      </c>
      <c r="T190" s="706"/>
      <c r="U190" s="242">
        <v>0</v>
      </c>
    </row>
    <row r="191" spans="1:21" ht="14.4" customHeight="1" x14ac:dyDescent="0.3">
      <c r="A191" s="680">
        <v>50</v>
      </c>
      <c r="B191" s="671" t="s">
        <v>536</v>
      </c>
      <c r="C191" s="671">
        <v>89301501</v>
      </c>
      <c r="D191" s="703" t="s">
        <v>2486</v>
      </c>
      <c r="E191" s="704" t="s">
        <v>1928</v>
      </c>
      <c r="F191" s="671" t="s">
        <v>1912</v>
      </c>
      <c r="G191" s="671" t="s">
        <v>1935</v>
      </c>
      <c r="H191" s="671" t="s">
        <v>535</v>
      </c>
      <c r="I191" s="671" t="s">
        <v>2146</v>
      </c>
      <c r="J191" s="671" t="s">
        <v>2147</v>
      </c>
      <c r="K191" s="671" t="s">
        <v>2148</v>
      </c>
      <c r="L191" s="705">
        <v>31.43</v>
      </c>
      <c r="M191" s="705">
        <v>31.43</v>
      </c>
      <c r="N191" s="671">
        <v>1</v>
      </c>
      <c r="O191" s="706">
        <v>0.5</v>
      </c>
      <c r="P191" s="705"/>
      <c r="Q191" s="682">
        <v>0</v>
      </c>
      <c r="R191" s="671"/>
      <c r="S191" s="682">
        <v>0</v>
      </c>
      <c r="T191" s="706"/>
      <c r="U191" s="242">
        <v>0</v>
      </c>
    </row>
    <row r="192" spans="1:21" ht="14.4" customHeight="1" x14ac:dyDescent="0.3">
      <c r="A192" s="680">
        <v>50</v>
      </c>
      <c r="B192" s="671" t="s">
        <v>536</v>
      </c>
      <c r="C192" s="671">
        <v>89301501</v>
      </c>
      <c r="D192" s="703" t="s">
        <v>2486</v>
      </c>
      <c r="E192" s="704" t="s">
        <v>1928</v>
      </c>
      <c r="F192" s="671" t="s">
        <v>1912</v>
      </c>
      <c r="G192" s="671" t="s">
        <v>2026</v>
      </c>
      <c r="H192" s="671" t="s">
        <v>535</v>
      </c>
      <c r="I192" s="671" t="s">
        <v>2027</v>
      </c>
      <c r="J192" s="671" t="s">
        <v>2028</v>
      </c>
      <c r="K192" s="671" t="s">
        <v>2029</v>
      </c>
      <c r="L192" s="705">
        <v>0</v>
      </c>
      <c r="M192" s="705">
        <v>0</v>
      </c>
      <c r="N192" s="671">
        <v>1</v>
      </c>
      <c r="O192" s="706">
        <v>0.5</v>
      </c>
      <c r="P192" s="705"/>
      <c r="Q192" s="682"/>
      <c r="R192" s="671"/>
      <c r="S192" s="682">
        <v>0</v>
      </c>
      <c r="T192" s="706"/>
      <c r="U192" s="242">
        <v>0</v>
      </c>
    </row>
    <row r="193" spans="1:21" ht="14.4" customHeight="1" x14ac:dyDescent="0.3">
      <c r="A193" s="680">
        <v>50</v>
      </c>
      <c r="B193" s="671" t="s">
        <v>536</v>
      </c>
      <c r="C193" s="671">
        <v>89301501</v>
      </c>
      <c r="D193" s="703" t="s">
        <v>2486</v>
      </c>
      <c r="E193" s="704" t="s">
        <v>1928</v>
      </c>
      <c r="F193" s="671" t="s">
        <v>1912</v>
      </c>
      <c r="G193" s="671" t="s">
        <v>1951</v>
      </c>
      <c r="H193" s="671" t="s">
        <v>535</v>
      </c>
      <c r="I193" s="671" t="s">
        <v>2067</v>
      </c>
      <c r="J193" s="671" t="s">
        <v>2068</v>
      </c>
      <c r="K193" s="671" t="s">
        <v>880</v>
      </c>
      <c r="L193" s="705">
        <v>0</v>
      </c>
      <c r="M193" s="705">
        <v>0</v>
      </c>
      <c r="N193" s="671">
        <v>2</v>
      </c>
      <c r="O193" s="706">
        <v>1</v>
      </c>
      <c r="P193" s="705"/>
      <c r="Q193" s="682"/>
      <c r="R193" s="671"/>
      <c r="S193" s="682">
        <v>0</v>
      </c>
      <c r="T193" s="706"/>
      <c r="U193" s="242">
        <v>0</v>
      </c>
    </row>
    <row r="194" spans="1:21" ht="14.4" customHeight="1" x14ac:dyDescent="0.3">
      <c r="A194" s="680">
        <v>50</v>
      </c>
      <c r="B194" s="671" t="s">
        <v>536</v>
      </c>
      <c r="C194" s="671">
        <v>89301501</v>
      </c>
      <c r="D194" s="703" t="s">
        <v>2486</v>
      </c>
      <c r="E194" s="704" t="s">
        <v>1928</v>
      </c>
      <c r="F194" s="671" t="s">
        <v>1912</v>
      </c>
      <c r="G194" s="671" t="s">
        <v>1952</v>
      </c>
      <c r="H194" s="671" t="s">
        <v>535</v>
      </c>
      <c r="I194" s="671" t="s">
        <v>1987</v>
      </c>
      <c r="J194" s="671" t="s">
        <v>1988</v>
      </c>
      <c r="K194" s="671" t="s">
        <v>1989</v>
      </c>
      <c r="L194" s="705">
        <v>0</v>
      </c>
      <c r="M194" s="705">
        <v>0</v>
      </c>
      <c r="N194" s="671">
        <v>1</v>
      </c>
      <c r="O194" s="706">
        <v>0.5</v>
      </c>
      <c r="P194" s="705"/>
      <c r="Q194" s="682"/>
      <c r="R194" s="671"/>
      <c r="S194" s="682">
        <v>0</v>
      </c>
      <c r="T194" s="706"/>
      <c r="U194" s="242">
        <v>0</v>
      </c>
    </row>
    <row r="195" spans="1:21" ht="14.4" customHeight="1" x14ac:dyDescent="0.3">
      <c r="A195" s="680">
        <v>50</v>
      </c>
      <c r="B195" s="671" t="s">
        <v>536</v>
      </c>
      <c r="C195" s="671">
        <v>89301501</v>
      </c>
      <c r="D195" s="703" t="s">
        <v>2486</v>
      </c>
      <c r="E195" s="704" t="s">
        <v>1928</v>
      </c>
      <c r="F195" s="671" t="s">
        <v>1912</v>
      </c>
      <c r="G195" s="671" t="s">
        <v>1952</v>
      </c>
      <c r="H195" s="671" t="s">
        <v>535</v>
      </c>
      <c r="I195" s="671" t="s">
        <v>2149</v>
      </c>
      <c r="J195" s="671" t="s">
        <v>2107</v>
      </c>
      <c r="K195" s="671" t="s">
        <v>2150</v>
      </c>
      <c r="L195" s="705">
        <v>30.65</v>
      </c>
      <c r="M195" s="705">
        <v>30.65</v>
      </c>
      <c r="N195" s="671">
        <v>1</v>
      </c>
      <c r="O195" s="706">
        <v>0.5</v>
      </c>
      <c r="P195" s="705"/>
      <c r="Q195" s="682">
        <v>0</v>
      </c>
      <c r="R195" s="671"/>
      <c r="S195" s="682">
        <v>0</v>
      </c>
      <c r="T195" s="706"/>
      <c r="U195" s="242">
        <v>0</v>
      </c>
    </row>
    <row r="196" spans="1:21" ht="14.4" customHeight="1" x14ac:dyDescent="0.3">
      <c r="A196" s="680">
        <v>50</v>
      </c>
      <c r="B196" s="671" t="s">
        <v>536</v>
      </c>
      <c r="C196" s="671">
        <v>89301501</v>
      </c>
      <c r="D196" s="703" t="s">
        <v>2486</v>
      </c>
      <c r="E196" s="704" t="s">
        <v>1928</v>
      </c>
      <c r="F196" s="671" t="s">
        <v>1912</v>
      </c>
      <c r="G196" s="671" t="s">
        <v>1956</v>
      </c>
      <c r="H196" s="671" t="s">
        <v>535</v>
      </c>
      <c r="I196" s="671" t="s">
        <v>1960</v>
      </c>
      <c r="J196" s="671" t="s">
        <v>949</v>
      </c>
      <c r="K196" s="671" t="s">
        <v>1961</v>
      </c>
      <c r="L196" s="705">
        <v>0</v>
      </c>
      <c r="M196" s="705">
        <v>0</v>
      </c>
      <c r="N196" s="671">
        <v>1</v>
      </c>
      <c r="O196" s="706">
        <v>0.5</v>
      </c>
      <c r="P196" s="705"/>
      <c r="Q196" s="682"/>
      <c r="R196" s="671"/>
      <c r="S196" s="682">
        <v>0</v>
      </c>
      <c r="T196" s="706"/>
      <c r="U196" s="242">
        <v>0</v>
      </c>
    </row>
    <row r="197" spans="1:21" ht="14.4" customHeight="1" x14ac:dyDescent="0.3">
      <c r="A197" s="680">
        <v>50</v>
      </c>
      <c r="B197" s="671" t="s">
        <v>536</v>
      </c>
      <c r="C197" s="671">
        <v>89301501</v>
      </c>
      <c r="D197" s="703" t="s">
        <v>2486</v>
      </c>
      <c r="E197" s="704" t="s">
        <v>1928</v>
      </c>
      <c r="F197" s="671" t="s">
        <v>1912</v>
      </c>
      <c r="G197" s="671" t="s">
        <v>2000</v>
      </c>
      <c r="H197" s="671" t="s">
        <v>1039</v>
      </c>
      <c r="I197" s="671" t="s">
        <v>1191</v>
      </c>
      <c r="J197" s="671" t="s">
        <v>1192</v>
      </c>
      <c r="K197" s="671" t="s">
        <v>1193</v>
      </c>
      <c r="L197" s="705">
        <v>55.38</v>
      </c>
      <c r="M197" s="705">
        <v>55.38</v>
      </c>
      <c r="N197" s="671">
        <v>1</v>
      </c>
      <c r="O197" s="706">
        <v>0.5</v>
      </c>
      <c r="P197" s="705"/>
      <c r="Q197" s="682">
        <v>0</v>
      </c>
      <c r="R197" s="671"/>
      <c r="S197" s="682">
        <v>0</v>
      </c>
      <c r="T197" s="706"/>
      <c r="U197" s="242">
        <v>0</v>
      </c>
    </row>
    <row r="198" spans="1:21" ht="14.4" customHeight="1" x14ac:dyDescent="0.3">
      <c r="A198" s="680">
        <v>50</v>
      </c>
      <c r="B198" s="671" t="s">
        <v>536</v>
      </c>
      <c r="C198" s="671">
        <v>89301501</v>
      </c>
      <c r="D198" s="703" t="s">
        <v>2486</v>
      </c>
      <c r="E198" s="704" t="s">
        <v>1928</v>
      </c>
      <c r="F198" s="671" t="s">
        <v>1912</v>
      </c>
      <c r="G198" s="671" t="s">
        <v>1963</v>
      </c>
      <c r="H198" s="671" t="s">
        <v>535</v>
      </c>
      <c r="I198" s="671" t="s">
        <v>2071</v>
      </c>
      <c r="J198" s="671" t="s">
        <v>818</v>
      </c>
      <c r="K198" s="671" t="s">
        <v>1090</v>
      </c>
      <c r="L198" s="705">
        <v>67.42</v>
      </c>
      <c r="M198" s="705">
        <v>67.42</v>
      </c>
      <c r="N198" s="671">
        <v>1</v>
      </c>
      <c r="O198" s="706">
        <v>0.5</v>
      </c>
      <c r="P198" s="705"/>
      <c r="Q198" s="682">
        <v>0</v>
      </c>
      <c r="R198" s="671"/>
      <c r="S198" s="682">
        <v>0</v>
      </c>
      <c r="T198" s="706"/>
      <c r="U198" s="242">
        <v>0</v>
      </c>
    </row>
    <row r="199" spans="1:21" ht="14.4" customHeight="1" x14ac:dyDescent="0.3">
      <c r="A199" s="680">
        <v>50</v>
      </c>
      <c r="B199" s="671" t="s">
        <v>536</v>
      </c>
      <c r="C199" s="671">
        <v>89301501</v>
      </c>
      <c r="D199" s="703" t="s">
        <v>2486</v>
      </c>
      <c r="E199" s="704" t="s">
        <v>1928</v>
      </c>
      <c r="F199" s="671" t="s">
        <v>1912</v>
      </c>
      <c r="G199" s="671" t="s">
        <v>2043</v>
      </c>
      <c r="H199" s="671" t="s">
        <v>535</v>
      </c>
      <c r="I199" s="671" t="s">
        <v>1240</v>
      </c>
      <c r="J199" s="671" t="s">
        <v>1241</v>
      </c>
      <c r="K199" s="671" t="s">
        <v>2044</v>
      </c>
      <c r="L199" s="705">
        <v>23.46</v>
      </c>
      <c r="M199" s="705">
        <v>23.46</v>
      </c>
      <c r="N199" s="671">
        <v>1</v>
      </c>
      <c r="O199" s="706">
        <v>1</v>
      </c>
      <c r="P199" s="705"/>
      <c r="Q199" s="682">
        <v>0</v>
      </c>
      <c r="R199" s="671"/>
      <c r="S199" s="682">
        <v>0</v>
      </c>
      <c r="T199" s="706"/>
      <c r="U199" s="242">
        <v>0</v>
      </c>
    </row>
    <row r="200" spans="1:21" ht="14.4" customHeight="1" x14ac:dyDescent="0.3">
      <c r="A200" s="680">
        <v>50</v>
      </c>
      <c r="B200" s="671" t="s">
        <v>536</v>
      </c>
      <c r="C200" s="671">
        <v>89301501</v>
      </c>
      <c r="D200" s="703" t="s">
        <v>2486</v>
      </c>
      <c r="E200" s="704" t="s">
        <v>1929</v>
      </c>
      <c r="F200" s="671" t="s">
        <v>1912</v>
      </c>
      <c r="G200" s="671" t="s">
        <v>1934</v>
      </c>
      <c r="H200" s="671" t="s">
        <v>1039</v>
      </c>
      <c r="I200" s="671" t="s">
        <v>1179</v>
      </c>
      <c r="J200" s="671" t="s">
        <v>1184</v>
      </c>
      <c r="K200" s="671" t="s">
        <v>1844</v>
      </c>
      <c r="L200" s="705">
        <v>201.88</v>
      </c>
      <c r="M200" s="705">
        <v>201.88</v>
      </c>
      <c r="N200" s="671">
        <v>1</v>
      </c>
      <c r="O200" s="706">
        <v>0.5</v>
      </c>
      <c r="P200" s="705"/>
      <c r="Q200" s="682">
        <v>0</v>
      </c>
      <c r="R200" s="671"/>
      <c r="S200" s="682">
        <v>0</v>
      </c>
      <c r="T200" s="706"/>
      <c r="U200" s="242">
        <v>0</v>
      </c>
    </row>
    <row r="201" spans="1:21" ht="14.4" customHeight="1" x14ac:dyDescent="0.3">
      <c r="A201" s="680">
        <v>50</v>
      </c>
      <c r="B201" s="671" t="s">
        <v>536</v>
      </c>
      <c r="C201" s="671">
        <v>89301501</v>
      </c>
      <c r="D201" s="703" t="s">
        <v>2486</v>
      </c>
      <c r="E201" s="704" t="s">
        <v>1929</v>
      </c>
      <c r="F201" s="671" t="s">
        <v>1912</v>
      </c>
      <c r="G201" s="671" t="s">
        <v>1934</v>
      </c>
      <c r="H201" s="671" t="s">
        <v>1039</v>
      </c>
      <c r="I201" s="671" t="s">
        <v>2051</v>
      </c>
      <c r="J201" s="671" t="s">
        <v>1977</v>
      </c>
      <c r="K201" s="671" t="s">
        <v>1978</v>
      </c>
      <c r="L201" s="705">
        <v>312.54000000000002</v>
      </c>
      <c r="M201" s="705">
        <v>312.54000000000002</v>
      </c>
      <c r="N201" s="671">
        <v>1</v>
      </c>
      <c r="O201" s="706">
        <v>0.5</v>
      </c>
      <c r="P201" s="705"/>
      <c r="Q201" s="682">
        <v>0</v>
      </c>
      <c r="R201" s="671"/>
      <c r="S201" s="682">
        <v>0</v>
      </c>
      <c r="T201" s="706"/>
      <c r="U201" s="242">
        <v>0</v>
      </c>
    </row>
    <row r="202" spans="1:21" ht="14.4" customHeight="1" x14ac:dyDescent="0.3">
      <c r="A202" s="680">
        <v>50</v>
      </c>
      <c r="B202" s="671" t="s">
        <v>536</v>
      </c>
      <c r="C202" s="671">
        <v>89301501</v>
      </c>
      <c r="D202" s="703" t="s">
        <v>2486</v>
      </c>
      <c r="E202" s="704" t="s">
        <v>1929</v>
      </c>
      <c r="F202" s="671" t="s">
        <v>1912</v>
      </c>
      <c r="G202" s="671" t="s">
        <v>1951</v>
      </c>
      <c r="H202" s="671" t="s">
        <v>535</v>
      </c>
      <c r="I202" s="671" t="s">
        <v>878</v>
      </c>
      <c r="J202" s="671" t="s">
        <v>879</v>
      </c>
      <c r="K202" s="671" t="s">
        <v>880</v>
      </c>
      <c r="L202" s="705">
        <v>104.66</v>
      </c>
      <c r="M202" s="705">
        <v>104.66</v>
      </c>
      <c r="N202" s="671">
        <v>1</v>
      </c>
      <c r="O202" s="706">
        <v>0.5</v>
      </c>
      <c r="P202" s="705"/>
      <c r="Q202" s="682">
        <v>0</v>
      </c>
      <c r="R202" s="671"/>
      <c r="S202" s="682">
        <v>0</v>
      </c>
      <c r="T202" s="706"/>
      <c r="U202" s="242">
        <v>0</v>
      </c>
    </row>
    <row r="203" spans="1:21" ht="14.4" customHeight="1" x14ac:dyDescent="0.3">
      <c r="A203" s="680">
        <v>50</v>
      </c>
      <c r="B203" s="671" t="s">
        <v>536</v>
      </c>
      <c r="C203" s="671">
        <v>89301501</v>
      </c>
      <c r="D203" s="703" t="s">
        <v>2486</v>
      </c>
      <c r="E203" s="704" t="s">
        <v>1929</v>
      </c>
      <c r="F203" s="671" t="s">
        <v>1912</v>
      </c>
      <c r="G203" s="671" t="s">
        <v>1952</v>
      </c>
      <c r="H203" s="671" t="s">
        <v>535</v>
      </c>
      <c r="I203" s="671" t="s">
        <v>2034</v>
      </c>
      <c r="J203" s="671" t="s">
        <v>856</v>
      </c>
      <c r="K203" s="671" t="s">
        <v>2035</v>
      </c>
      <c r="L203" s="705">
        <v>30.65</v>
      </c>
      <c r="M203" s="705">
        <v>30.65</v>
      </c>
      <c r="N203" s="671">
        <v>1</v>
      </c>
      <c r="O203" s="706">
        <v>0.5</v>
      </c>
      <c r="P203" s="705"/>
      <c r="Q203" s="682">
        <v>0</v>
      </c>
      <c r="R203" s="671"/>
      <c r="S203" s="682">
        <v>0</v>
      </c>
      <c r="T203" s="706"/>
      <c r="U203" s="242">
        <v>0</v>
      </c>
    </row>
    <row r="204" spans="1:21" ht="14.4" customHeight="1" x14ac:dyDescent="0.3">
      <c r="A204" s="680">
        <v>50</v>
      </c>
      <c r="B204" s="671" t="s">
        <v>536</v>
      </c>
      <c r="C204" s="671">
        <v>89301501</v>
      </c>
      <c r="D204" s="703" t="s">
        <v>2486</v>
      </c>
      <c r="E204" s="704" t="s">
        <v>1929</v>
      </c>
      <c r="F204" s="671" t="s">
        <v>1912</v>
      </c>
      <c r="G204" s="671" t="s">
        <v>1952</v>
      </c>
      <c r="H204" s="671" t="s">
        <v>535</v>
      </c>
      <c r="I204" s="671" t="s">
        <v>2038</v>
      </c>
      <c r="J204" s="671" t="s">
        <v>1988</v>
      </c>
      <c r="K204" s="671" t="s">
        <v>2039</v>
      </c>
      <c r="L204" s="705">
        <v>34.31</v>
      </c>
      <c r="M204" s="705">
        <v>34.31</v>
      </c>
      <c r="N204" s="671">
        <v>1</v>
      </c>
      <c r="O204" s="706">
        <v>0.5</v>
      </c>
      <c r="P204" s="705"/>
      <c r="Q204" s="682">
        <v>0</v>
      </c>
      <c r="R204" s="671"/>
      <c r="S204" s="682">
        <v>0</v>
      </c>
      <c r="T204" s="706"/>
      <c r="U204" s="242">
        <v>0</v>
      </c>
    </row>
    <row r="205" spans="1:21" ht="14.4" customHeight="1" x14ac:dyDescent="0.3">
      <c r="A205" s="680">
        <v>50</v>
      </c>
      <c r="B205" s="671" t="s">
        <v>536</v>
      </c>
      <c r="C205" s="671">
        <v>89301501</v>
      </c>
      <c r="D205" s="703" t="s">
        <v>2486</v>
      </c>
      <c r="E205" s="704" t="s">
        <v>1929</v>
      </c>
      <c r="F205" s="671" t="s">
        <v>1912</v>
      </c>
      <c r="G205" s="671" t="s">
        <v>1956</v>
      </c>
      <c r="H205" s="671" t="s">
        <v>535</v>
      </c>
      <c r="I205" s="671" t="s">
        <v>721</v>
      </c>
      <c r="J205" s="671" t="s">
        <v>722</v>
      </c>
      <c r="K205" s="671" t="s">
        <v>723</v>
      </c>
      <c r="L205" s="705">
        <v>60.02</v>
      </c>
      <c r="M205" s="705">
        <v>60.02</v>
      </c>
      <c r="N205" s="671">
        <v>1</v>
      </c>
      <c r="O205" s="706">
        <v>0.5</v>
      </c>
      <c r="P205" s="705"/>
      <c r="Q205" s="682">
        <v>0</v>
      </c>
      <c r="R205" s="671"/>
      <c r="S205" s="682">
        <v>0</v>
      </c>
      <c r="T205" s="706"/>
      <c r="U205" s="242">
        <v>0</v>
      </c>
    </row>
    <row r="206" spans="1:21" ht="14.4" customHeight="1" x14ac:dyDescent="0.3">
      <c r="A206" s="680">
        <v>50</v>
      </c>
      <c r="B206" s="671" t="s">
        <v>536</v>
      </c>
      <c r="C206" s="671">
        <v>89301501</v>
      </c>
      <c r="D206" s="703" t="s">
        <v>2486</v>
      </c>
      <c r="E206" s="704" t="s">
        <v>1929</v>
      </c>
      <c r="F206" s="671" t="s">
        <v>1912</v>
      </c>
      <c r="G206" s="671" t="s">
        <v>2000</v>
      </c>
      <c r="H206" s="671" t="s">
        <v>1039</v>
      </c>
      <c r="I206" s="671" t="s">
        <v>1191</v>
      </c>
      <c r="J206" s="671" t="s">
        <v>1192</v>
      </c>
      <c r="K206" s="671" t="s">
        <v>1193</v>
      </c>
      <c r="L206" s="705">
        <v>55.38</v>
      </c>
      <c r="M206" s="705">
        <v>55.38</v>
      </c>
      <c r="N206" s="671">
        <v>1</v>
      </c>
      <c r="O206" s="706">
        <v>0.5</v>
      </c>
      <c r="P206" s="705"/>
      <c r="Q206" s="682">
        <v>0</v>
      </c>
      <c r="R206" s="671"/>
      <c r="S206" s="682">
        <v>0</v>
      </c>
      <c r="T206" s="706"/>
      <c r="U206" s="242">
        <v>0</v>
      </c>
    </row>
    <row r="207" spans="1:21" ht="14.4" customHeight="1" x14ac:dyDescent="0.3">
      <c r="A207" s="680">
        <v>50</v>
      </c>
      <c r="B207" s="671" t="s">
        <v>536</v>
      </c>
      <c r="C207" s="671">
        <v>89301501</v>
      </c>
      <c r="D207" s="703" t="s">
        <v>2486</v>
      </c>
      <c r="E207" s="704" t="s">
        <v>1929</v>
      </c>
      <c r="F207" s="671" t="s">
        <v>1912</v>
      </c>
      <c r="G207" s="671" t="s">
        <v>2004</v>
      </c>
      <c r="H207" s="671" t="s">
        <v>1039</v>
      </c>
      <c r="I207" s="671" t="s">
        <v>2094</v>
      </c>
      <c r="J207" s="671" t="s">
        <v>1096</v>
      </c>
      <c r="K207" s="671" t="s">
        <v>1097</v>
      </c>
      <c r="L207" s="705">
        <v>0</v>
      </c>
      <c r="M207" s="705">
        <v>0</v>
      </c>
      <c r="N207" s="671">
        <v>1</v>
      </c>
      <c r="O207" s="706">
        <v>0.5</v>
      </c>
      <c r="P207" s="705"/>
      <c r="Q207" s="682"/>
      <c r="R207" s="671"/>
      <c r="S207" s="682">
        <v>0</v>
      </c>
      <c r="T207" s="706"/>
      <c r="U207" s="242">
        <v>0</v>
      </c>
    </row>
    <row r="208" spans="1:21" ht="14.4" customHeight="1" x14ac:dyDescent="0.3">
      <c r="A208" s="680">
        <v>50</v>
      </c>
      <c r="B208" s="671" t="s">
        <v>536</v>
      </c>
      <c r="C208" s="671">
        <v>89301501</v>
      </c>
      <c r="D208" s="703" t="s">
        <v>2486</v>
      </c>
      <c r="E208" s="704" t="s">
        <v>1929</v>
      </c>
      <c r="F208" s="671" t="s">
        <v>1912</v>
      </c>
      <c r="G208" s="671" t="s">
        <v>1971</v>
      </c>
      <c r="H208" s="671" t="s">
        <v>535</v>
      </c>
      <c r="I208" s="671" t="s">
        <v>1972</v>
      </c>
      <c r="J208" s="671" t="s">
        <v>864</v>
      </c>
      <c r="K208" s="671" t="s">
        <v>1973</v>
      </c>
      <c r="L208" s="705">
        <v>112.13</v>
      </c>
      <c r="M208" s="705">
        <v>112.13</v>
      </c>
      <c r="N208" s="671">
        <v>1</v>
      </c>
      <c r="O208" s="706">
        <v>0.5</v>
      </c>
      <c r="P208" s="705"/>
      <c r="Q208" s="682">
        <v>0</v>
      </c>
      <c r="R208" s="671"/>
      <c r="S208" s="682">
        <v>0</v>
      </c>
      <c r="T208" s="706"/>
      <c r="U208" s="242">
        <v>0</v>
      </c>
    </row>
    <row r="209" spans="1:21" ht="14.4" customHeight="1" x14ac:dyDescent="0.3">
      <c r="A209" s="680">
        <v>50</v>
      </c>
      <c r="B209" s="671" t="s">
        <v>536</v>
      </c>
      <c r="C209" s="671">
        <v>89301501</v>
      </c>
      <c r="D209" s="703" t="s">
        <v>2486</v>
      </c>
      <c r="E209" s="704" t="s">
        <v>1929</v>
      </c>
      <c r="F209" s="671" t="s">
        <v>1912</v>
      </c>
      <c r="G209" s="671" t="s">
        <v>2014</v>
      </c>
      <c r="H209" s="671" t="s">
        <v>535</v>
      </c>
      <c r="I209" s="671" t="s">
        <v>2079</v>
      </c>
      <c r="J209" s="671" t="s">
        <v>2016</v>
      </c>
      <c r="K209" s="671" t="s">
        <v>2080</v>
      </c>
      <c r="L209" s="705">
        <v>219.94</v>
      </c>
      <c r="M209" s="705">
        <v>219.94</v>
      </c>
      <c r="N209" s="671">
        <v>1</v>
      </c>
      <c r="O209" s="706">
        <v>0.5</v>
      </c>
      <c r="P209" s="705"/>
      <c r="Q209" s="682">
        <v>0</v>
      </c>
      <c r="R209" s="671"/>
      <c r="S209" s="682">
        <v>0</v>
      </c>
      <c r="T209" s="706"/>
      <c r="U209" s="242">
        <v>0</v>
      </c>
    </row>
    <row r="210" spans="1:21" ht="14.4" customHeight="1" x14ac:dyDescent="0.3">
      <c r="A210" s="680">
        <v>50</v>
      </c>
      <c r="B210" s="671" t="s">
        <v>536</v>
      </c>
      <c r="C210" s="671">
        <v>89301501</v>
      </c>
      <c r="D210" s="703" t="s">
        <v>2486</v>
      </c>
      <c r="E210" s="704" t="s">
        <v>1929</v>
      </c>
      <c r="F210" s="671" t="s">
        <v>1912</v>
      </c>
      <c r="G210" s="671" t="s">
        <v>2151</v>
      </c>
      <c r="H210" s="671" t="s">
        <v>535</v>
      </c>
      <c r="I210" s="671" t="s">
        <v>671</v>
      </c>
      <c r="J210" s="671" t="s">
        <v>2152</v>
      </c>
      <c r="K210" s="671" t="s">
        <v>673</v>
      </c>
      <c r="L210" s="705">
        <v>129.94999999999999</v>
      </c>
      <c r="M210" s="705">
        <v>129.94999999999999</v>
      </c>
      <c r="N210" s="671">
        <v>1</v>
      </c>
      <c r="O210" s="706">
        <v>0.5</v>
      </c>
      <c r="P210" s="705"/>
      <c r="Q210" s="682">
        <v>0</v>
      </c>
      <c r="R210" s="671"/>
      <c r="S210" s="682">
        <v>0</v>
      </c>
      <c r="T210" s="706"/>
      <c r="U210" s="242">
        <v>0</v>
      </c>
    </row>
    <row r="211" spans="1:21" ht="14.4" customHeight="1" x14ac:dyDescent="0.3">
      <c r="A211" s="680">
        <v>50</v>
      </c>
      <c r="B211" s="671" t="s">
        <v>536</v>
      </c>
      <c r="C211" s="671">
        <v>89301501</v>
      </c>
      <c r="D211" s="703" t="s">
        <v>2486</v>
      </c>
      <c r="E211" s="704" t="s">
        <v>1929</v>
      </c>
      <c r="F211" s="671" t="s">
        <v>1912</v>
      </c>
      <c r="G211" s="671" t="s">
        <v>2153</v>
      </c>
      <c r="H211" s="671" t="s">
        <v>535</v>
      </c>
      <c r="I211" s="671" t="s">
        <v>2154</v>
      </c>
      <c r="J211" s="671" t="s">
        <v>2155</v>
      </c>
      <c r="K211" s="671" t="s">
        <v>2156</v>
      </c>
      <c r="L211" s="705">
        <v>0</v>
      </c>
      <c r="M211" s="705">
        <v>0</v>
      </c>
      <c r="N211" s="671">
        <v>1</v>
      </c>
      <c r="O211" s="706">
        <v>0.5</v>
      </c>
      <c r="P211" s="705"/>
      <c r="Q211" s="682"/>
      <c r="R211" s="671"/>
      <c r="S211" s="682">
        <v>0</v>
      </c>
      <c r="T211" s="706"/>
      <c r="U211" s="242">
        <v>0</v>
      </c>
    </row>
    <row r="212" spans="1:21" ht="14.4" customHeight="1" x14ac:dyDescent="0.3">
      <c r="A212" s="680">
        <v>50</v>
      </c>
      <c r="B212" s="671" t="s">
        <v>536</v>
      </c>
      <c r="C212" s="671">
        <v>89301501</v>
      </c>
      <c r="D212" s="703" t="s">
        <v>2486</v>
      </c>
      <c r="E212" s="704" t="s">
        <v>1929</v>
      </c>
      <c r="F212" s="671" t="s">
        <v>1912</v>
      </c>
      <c r="G212" s="671" t="s">
        <v>2020</v>
      </c>
      <c r="H212" s="671" t="s">
        <v>535</v>
      </c>
      <c r="I212" s="671" t="s">
        <v>725</v>
      </c>
      <c r="J212" s="671" t="s">
        <v>726</v>
      </c>
      <c r="K212" s="671" t="s">
        <v>727</v>
      </c>
      <c r="L212" s="705">
        <v>45.94</v>
      </c>
      <c r="M212" s="705">
        <v>45.94</v>
      </c>
      <c r="N212" s="671">
        <v>1</v>
      </c>
      <c r="O212" s="706">
        <v>1</v>
      </c>
      <c r="P212" s="705"/>
      <c r="Q212" s="682">
        <v>0</v>
      </c>
      <c r="R212" s="671"/>
      <c r="S212" s="682">
        <v>0</v>
      </c>
      <c r="T212" s="706"/>
      <c r="U212" s="242">
        <v>0</v>
      </c>
    </row>
    <row r="213" spans="1:21" ht="14.4" customHeight="1" x14ac:dyDescent="0.3">
      <c r="A213" s="680">
        <v>50</v>
      </c>
      <c r="B213" s="671" t="s">
        <v>536</v>
      </c>
      <c r="C213" s="671">
        <v>89301502</v>
      </c>
      <c r="D213" s="703" t="s">
        <v>2487</v>
      </c>
      <c r="E213" s="704" t="s">
        <v>1920</v>
      </c>
      <c r="F213" s="671" t="s">
        <v>1912</v>
      </c>
      <c r="G213" s="671" t="s">
        <v>2157</v>
      </c>
      <c r="H213" s="671" t="s">
        <v>535</v>
      </c>
      <c r="I213" s="671" t="s">
        <v>2158</v>
      </c>
      <c r="J213" s="671" t="s">
        <v>2159</v>
      </c>
      <c r="K213" s="671" t="s">
        <v>1874</v>
      </c>
      <c r="L213" s="705">
        <v>5.37</v>
      </c>
      <c r="M213" s="705">
        <v>32.22</v>
      </c>
      <c r="N213" s="671">
        <v>6</v>
      </c>
      <c r="O213" s="706">
        <v>1</v>
      </c>
      <c r="P213" s="705"/>
      <c r="Q213" s="682">
        <v>0</v>
      </c>
      <c r="R213" s="671"/>
      <c r="S213" s="682">
        <v>0</v>
      </c>
      <c r="T213" s="706"/>
      <c r="U213" s="242">
        <v>0</v>
      </c>
    </row>
    <row r="214" spans="1:21" ht="14.4" customHeight="1" x14ac:dyDescent="0.3">
      <c r="A214" s="680">
        <v>50</v>
      </c>
      <c r="B214" s="671" t="s">
        <v>536</v>
      </c>
      <c r="C214" s="671">
        <v>89301502</v>
      </c>
      <c r="D214" s="703" t="s">
        <v>2487</v>
      </c>
      <c r="E214" s="704" t="s">
        <v>1920</v>
      </c>
      <c r="F214" s="671" t="s">
        <v>1912</v>
      </c>
      <c r="G214" s="671" t="s">
        <v>1931</v>
      </c>
      <c r="H214" s="671" t="s">
        <v>1039</v>
      </c>
      <c r="I214" s="671" t="s">
        <v>2160</v>
      </c>
      <c r="J214" s="671" t="s">
        <v>1542</v>
      </c>
      <c r="K214" s="671" t="s">
        <v>1543</v>
      </c>
      <c r="L214" s="705">
        <v>270.69</v>
      </c>
      <c r="M214" s="705">
        <v>270.69</v>
      </c>
      <c r="N214" s="671">
        <v>1</v>
      </c>
      <c r="O214" s="706">
        <v>1</v>
      </c>
      <c r="P214" s="705">
        <v>270.69</v>
      </c>
      <c r="Q214" s="682">
        <v>1</v>
      </c>
      <c r="R214" s="671">
        <v>1</v>
      </c>
      <c r="S214" s="682">
        <v>1</v>
      </c>
      <c r="T214" s="706">
        <v>1</v>
      </c>
      <c r="U214" s="242">
        <v>1</v>
      </c>
    </row>
    <row r="215" spans="1:21" ht="14.4" customHeight="1" x14ac:dyDescent="0.3">
      <c r="A215" s="680">
        <v>50</v>
      </c>
      <c r="B215" s="671" t="s">
        <v>536</v>
      </c>
      <c r="C215" s="671">
        <v>89301502</v>
      </c>
      <c r="D215" s="703" t="s">
        <v>2487</v>
      </c>
      <c r="E215" s="704" t="s">
        <v>1920</v>
      </c>
      <c r="F215" s="671" t="s">
        <v>1912</v>
      </c>
      <c r="G215" s="671" t="s">
        <v>2023</v>
      </c>
      <c r="H215" s="671" t="s">
        <v>1039</v>
      </c>
      <c r="I215" s="671" t="s">
        <v>1256</v>
      </c>
      <c r="J215" s="671" t="s">
        <v>1853</v>
      </c>
      <c r="K215" s="671" t="s">
        <v>1854</v>
      </c>
      <c r="L215" s="705">
        <v>333.31</v>
      </c>
      <c r="M215" s="705">
        <v>2333.17</v>
      </c>
      <c r="N215" s="671">
        <v>7</v>
      </c>
      <c r="O215" s="706">
        <v>3.5</v>
      </c>
      <c r="P215" s="705">
        <v>999.93000000000006</v>
      </c>
      <c r="Q215" s="682">
        <v>0.4285714285714286</v>
      </c>
      <c r="R215" s="671">
        <v>3</v>
      </c>
      <c r="S215" s="682">
        <v>0.42857142857142855</v>
      </c>
      <c r="T215" s="706">
        <v>1.5</v>
      </c>
      <c r="U215" s="242">
        <v>0.42857142857142855</v>
      </c>
    </row>
    <row r="216" spans="1:21" ht="14.4" customHeight="1" x14ac:dyDescent="0.3">
      <c r="A216" s="680">
        <v>50</v>
      </c>
      <c r="B216" s="671" t="s">
        <v>536</v>
      </c>
      <c r="C216" s="671">
        <v>89301502</v>
      </c>
      <c r="D216" s="703" t="s">
        <v>2487</v>
      </c>
      <c r="E216" s="704" t="s">
        <v>1920</v>
      </c>
      <c r="F216" s="671" t="s">
        <v>1912</v>
      </c>
      <c r="G216" s="671" t="s">
        <v>1934</v>
      </c>
      <c r="H216" s="671" t="s">
        <v>1039</v>
      </c>
      <c r="I216" s="671" t="s">
        <v>1136</v>
      </c>
      <c r="J216" s="671" t="s">
        <v>1137</v>
      </c>
      <c r="K216" s="671" t="s">
        <v>1843</v>
      </c>
      <c r="L216" s="705">
        <v>435.3</v>
      </c>
      <c r="M216" s="705">
        <v>435.3</v>
      </c>
      <c r="N216" s="671">
        <v>1</v>
      </c>
      <c r="O216" s="706">
        <v>1</v>
      </c>
      <c r="P216" s="705">
        <v>435.3</v>
      </c>
      <c r="Q216" s="682">
        <v>1</v>
      </c>
      <c r="R216" s="671">
        <v>1</v>
      </c>
      <c r="S216" s="682">
        <v>1</v>
      </c>
      <c r="T216" s="706">
        <v>1</v>
      </c>
      <c r="U216" s="242">
        <v>1</v>
      </c>
    </row>
    <row r="217" spans="1:21" ht="14.4" customHeight="1" x14ac:dyDescent="0.3">
      <c r="A217" s="680">
        <v>50</v>
      </c>
      <c r="B217" s="671" t="s">
        <v>536</v>
      </c>
      <c r="C217" s="671">
        <v>89301502</v>
      </c>
      <c r="D217" s="703" t="s">
        <v>2487</v>
      </c>
      <c r="E217" s="704" t="s">
        <v>1920</v>
      </c>
      <c r="F217" s="671" t="s">
        <v>1912</v>
      </c>
      <c r="G217" s="671" t="s">
        <v>1935</v>
      </c>
      <c r="H217" s="671" t="s">
        <v>1039</v>
      </c>
      <c r="I217" s="671" t="s">
        <v>1088</v>
      </c>
      <c r="J217" s="671" t="s">
        <v>1089</v>
      </c>
      <c r="K217" s="671" t="s">
        <v>1090</v>
      </c>
      <c r="L217" s="705">
        <v>44.89</v>
      </c>
      <c r="M217" s="705">
        <v>448.90000000000003</v>
      </c>
      <c r="N217" s="671">
        <v>10</v>
      </c>
      <c r="O217" s="706">
        <v>2</v>
      </c>
      <c r="P217" s="705">
        <v>224.45000000000002</v>
      </c>
      <c r="Q217" s="682">
        <v>0.5</v>
      </c>
      <c r="R217" s="671">
        <v>5</v>
      </c>
      <c r="S217" s="682">
        <v>0.5</v>
      </c>
      <c r="T217" s="706">
        <v>1</v>
      </c>
      <c r="U217" s="242">
        <v>0.5</v>
      </c>
    </row>
    <row r="218" spans="1:21" ht="14.4" customHeight="1" x14ac:dyDescent="0.3">
      <c r="A218" s="680">
        <v>50</v>
      </c>
      <c r="B218" s="671" t="s">
        <v>536</v>
      </c>
      <c r="C218" s="671">
        <v>89301502</v>
      </c>
      <c r="D218" s="703" t="s">
        <v>2487</v>
      </c>
      <c r="E218" s="704" t="s">
        <v>1920</v>
      </c>
      <c r="F218" s="671" t="s">
        <v>1912</v>
      </c>
      <c r="G218" s="671" t="s">
        <v>1935</v>
      </c>
      <c r="H218" s="671" t="s">
        <v>535</v>
      </c>
      <c r="I218" s="671" t="s">
        <v>2052</v>
      </c>
      <c r="J218" s="671" t="s">
        <v>2053</v>
      </c>
      <c r="K218" s="671" t="s">
        <v>1090</v>
      </c>
      <c r="L218" s="705">
        <v>44.89</v>
      </c>
      <c r="M218" s="705">
        <v>134.67000000000002</v>
      </c>
      <c r="N218" s="671">
        <v>3</v>
      </c>
      <c r="O218" s="706">
        <v>0.5</v>
      </c>
      <c r="P218" s="705"/>
      <c r="Q218" s="682">
        <v>0</v>
      </c>
      <c r="R218" s="671"/>
      <c r="S218" s="682">
        <v>0</v>
      </c>
      <c r="T218" s="706"/>
      <c r="U218" s="242">
        <v>0</v>
      </c>
    </row>
    <row r="219" spans="1:21" ht="14.4" customHeight="1" x14ac:dyDescent="0.3">
      <c r="A219" s="680">
        <v>50</v>
      </c>
      <c r="B219" s="671" t="s">
        <v>536</v>
      </c>
      <c r="C219" s="671">
        <v>89301502</v>
      </c>
      <c r="D219" s="703" t="s">
        <v>2487</v>
      </c>
      <c r="E219" s="704" t="s">
        <v>1920</v>
      </c>
      <c r="F219" s="671" t="s">
        <v>1912</v>
      </c>
      <c r="G219" s="671" t="s">
        <v>2161</v>
      </c>
      <c r="H219" s="671" t="s">
        <v>535</v>
      </c>
      <c r="I219" s="671" t="s">
        <v>2162</v>
      </c>
      <c r="J219" s="671" t="s">
        <v>2163</v>
      </c>
      <c r="K219" s="671" t="s">
        <v>2164</v>
      </c>
      <c r="L219" s="705">
        <v>44.89</v>
      </c>
      <c r="M219" s="705">
        <v>89.78</v>
      </c>
      <c r="N219" s="671">
        <v>2</v>
      </c>
      <c r="O219" s="706">
        <v>0.5</v>
      </c>
      <c r="P219" s="705"/>
      <c r="Q219" s="682">
        <v>0</v>
      </c>
      <c r="R219" s="671"/>
      <c r="S219" s="682">
        <v>0</v>
      </c>
      <c r="T219" s="706"/>
      <c r="U219" s="242">
        <v>0</v>
      </c>
    </row>
    <row r="220" spans="1:21" ht="14.4" customHeight="1" x14ac:dyDescent="0.3">
      <c r="A220" s="680">
        <v>50</v>
      </c>
      <c r="B220" s="671" t="s">
        <v>536</v>
      </c>
      <c r="C220" s="671">
        <v>89301502</v>
      </c>
      <c r="D220" s="703" t="s">
        <v>2487</v>
      </c>
      <c r="E220" s="704" t="s">
        <v>1920</v>
      </c>
      <c r="F220" s="671" t="s">
        <v>1912</v>
      </c>
      <c r="G220" s="671" t="s">
        <v>2165</v>
      </c>
      <c r="H220" s="671" t="s">
        <v>1039</v>
      </c>
      <c r="I220" s="671" t="s">
        <v>2166</v>
      </c>
      <c r="J220" s="671" t="s">
        <v>2167</v>
      </c>
      <c r="K220" s="671" t="s">
        <v>2168</v>
      </c>
      <c r="L220" s="705">
        <v>2118.42</v>
      </c>
      <c r="M220" s="705">
        <v>10592.1</v>
      </c>
      <c r="N220" s="671">
        <v>5</v>
      </c>
      <c r="O220" s="706">
        <v>1.5</v>
      </c>
      <c r="P220" s="705">
        <v>6355.26</v>
      </c>
      <c r="Q220" s="682">
        <v>0.6</v>
      </c>
      <c r="R220" s="671">
        <v>3</v>
      </c>
      <c r="S220" s="682">
        <v>0.6</v>
      </c>
      <c r="T220" s="706">
        <v>0.5</v>
      </c>
      <c r="U220" s="242">
        <v>0.33333333333333331</v>
      </c>
    </row>
    <row r="221" spans="1:21" ht="14.4" customHeight="1" x14ac:dyDescent="0.3">
      <c r="A221" s="680">
        <v>50</v>
      </c>
      <c r="B221" s="671" t="s">
        <v>536</v>
      </c>
      <c r="C221" s="671">
        <v>89301502</v>
      </c>
      <c r="D221" s="703" t="s">
        <v>2487</v>
      </c>
      <c r="E221" s="704" t="s">
        <v>1920</v>
      </c>
      <c r="F221" s="671" t="s">
        <v>1912</v>
      </c>
      <c r="G221" s="671" t="s">
        <v>2165</v>
      </c>
      <c r="H221" s="671" t="s">
        <v>1039</v>
      </c>
      <c r="I221" s="671" t="s">
        <v>2169</v>
      </c>
      <c r="J221" s="671" t="s">
        <v>2170</v>
      </c>
      <c r="K221" s="671" t="s">
        <v>2171</v>
      </c>
      <c r="L221" s="705">
        <v>2118.4299999999998</v>
      </c>
      <c r="M221" s="705">
        <v>6355.2899999999991</v>
      </c>
      <c r="N221" s="671">
        <v>3</v>
      </c>
      <c r="O221" s="706">
        <v>1</v>
      </c>
      <c r="P221" s="705"/>
      <c r="Q221" s="682">
        <v>0</v>
      </c>
      <c r="R221" s="671"/>
      <c r="S221" s="682">
        <v>0</v>
      </c>
      <c r="T221" s="706"/>
      <c r="U221" s="242">
        <v>0</v>
      </c>
    </row>
    <row r="222" spans="1:21" ht="14.4" customHeight="1" x14ac:dyDescent="0.3">
      <c r="A222" s="680">
        <v>50</v>
      </c>
      <c r="B222" s="671" t="s">
        <v>536</v>
      </c>
      <c r="C222" s="671">
        <v>89301502</v>
      </c>
      <c r="D222" s="703" t="s">
        <v>2487</v>
      </c>
      <c r="E222" s="704" t="s">
        <v>1920</v>
      </c>
      <c r="F222" s="671" t="s">
        <v>1912</v>
      </c>
      <c r="G222" s="671" t="s">
        <v>2172</v>
      </c>
      <c r="H222" s="671" t="s">
        <v>535</v>
      </c>
      <c r="I222" s="671" t="s">
        <v>733</v>
      </c>
      <c r="J222" s="671" t="s">
        <v>2173</v>
      </c>
      <c r="K222" s="671" t="s">
        <v>2174</v>
      </c>
      <c r="L222" s="705">
        <v>36.89</v>
      </c>
      <c r="M222" s="705">
        <v>110.67</v>
      </c>
      <c r="N222" s="671">
        <v>3</v>
      </c>
      <c r="O222" s="706">
        <v>0.5</v>
      </c>
      <c r="P222" s="705"/>
      <c r="Q222" s="682">
        <v>0</v>
      </c>
      <c r="R222" s="671"/>
      <c r="S222" s="682">
        <v>0</v>
      </c>
      <c r="T222" s="706"/>
      <c r="U222" s="242">
        <v>0</v>
      </c>
    </row>
    <row r="223" spans="1:21" ht="14.4" customHeight="1" x14ac:dyDescent="0.3">
      <c r="A223" s="680">
        <v>50</v>
      </c>
      <c r="B223" s="671" t="s">
        <v>536</v>
      </c>
      <c r="C223" s="671">
        <v>89301502</v>
      </c>
      <c r="D223" s="703" t="s">
        <v>2487</v>
      </c>
      <c r="E223" s="704" t="s">
        <v>1920</v>
      </c>
      <c r="F223" s="671" t="s">
        <v>1912</v>
      </c>
      <c r="G223" s="671" t="s">
        <v>2175</v>
      </c>
      <c r="H223" s="671" t="s">
        <v>1039</v>
      </c>
      <c r="I223" s="671" t="s">
        <v>2176</v>
      </c>
      <c r="J223" s="671" t="s">
        <v>2177</v>
      </c>
      <c r="K223" s="671" t="s">
        <v>2178</v>
      </c>
      <c r="L223" s="705">
        <v>581.30999999999995</v>
      </c>
      <c r="M223" s="705">
        <v>581.30999999999995</v>
      </c>
      <c r="N223" s="671">
        <v>1</v>
      </c>
      <c r="O223" s="706">
        <v>0.5</v>
      </c>
      <c r="P223" s="705"/>
      <c r="Q223" s="682">
        <v>0</v>
      </c>
      <c r="R223" s="671"/>
      <c r="S223" s="682">
        <v>0</v>
      </c>
      <c r="T223" s="706"/>
      <c r="U223" s="242">
        <v>0</v>
      </c>
    </row>
    <row r="224" spans="1:21" ht="14.4" customHeight="1" x14ac:dyDescent="0.3">
      <c r="A224" s="680">
        <v>50</v>
      </c>
      <c r="B224" s="671" t="s">
        <v>536</v>
      </c>
      <c r="C224" s="671">
        <v>89301502</v>
      </c>
      <c r="D224" s="703" t="s">
        <v>2487</v>
      </c>
      <c r="E224" s="704" t="s">
        <v>1920</v>
      </c>
      <c r="F224" s="671" t="s">
        <v>1912</v>
      </c>
      <c r="G224" s="671" t="s">
        <v>1979</v>
      </c>
      <c r="H224" s="671" t="s">
        <v>535</v>
      </c>
      <c r="I224" s="671" t="s">
        <v>2179</v>
      </c>
      <c r="J224" s="671" t="s">
        <v>2180</v>
      </c>
      <c r="K224" s="671" t="s">
        <v>1983</v>
      </c>
      <c r="L224" s="705">
        <v>66.599999999999994</v>
      </c>
      <c r="M224" s="705">
        <v>133.19999999999999</v>
      </c>
      <c r="N224" s="671">
        <v>2</v>
      </c>
      <c r="O224" s="706">
        <v>0.5</v>
      </c>
      <c r="P224" s="705"/>
      <c r="Q224" s="682">
        <v>0</v>
      </c>
      <c r="R224" s="671"/>
      <c r="S224" s="682">
        <v>0</v>
      </c>
      <c r="T224" s="706"/>
      <c r="U224" s="242">
        <v>0</v>
      </c>
    </row>
    <row r="225" spans="1:21" ht="14.4" customHeight="1" x14ac:dyDescent="0.3">
      <c r="A225" s="680">
        <v>50</v>
      </c>
      <c r="B225" s="671" t="s">
        <v>536</v>
      </c>
      <c r="C225" s="671">
        <v>89301502</v>
      </c>
      <c r="D225" s="703" t="s">
        <v>2487</v>
      </c>
      <c r="E225" s="704" t="s">
        <v>1920</v>
      </c>
      <c r="F225" s="671" t="s">
        <v>1912</v>
      </c>
      <c r="G225" s="671" t="s">
        <v>1979</v>
      </c>
      <c r="H225" s="671" t="s">
        <v>535</v>
      </c>
      <c r="I225" s="671" t="s">
        <v>797</v>
      </c>
      <c r="J225" s="671" t="s">
        <v>1981</v>
      </c>
      <c r="K225" s="671" t="s">
        <v>1983</v>
      </c>
      <c r="L225" s="705">
        <v>66.599999999999994</v>
      </c>
      <c r="M225" s="705">
        <v>133.19999999999999</v>
      </c>
      <c r="N225" s="671">
        <v>2</v>
      </c>
      <c r="O225" s="706">
        <v>1</v>
      </c>
      <c r="P225" s="705"/>
      <c r="Q225" s="682">
        <v>0</v>
      </c>
      <c r="R225" s="671"/>
      <c r="S225" s="682">
        <v>0</v>
      </c>
      <c r="T225" s="706"/>
      <c r="U225" s="242">
        <v>0</v>
      </c>
    </row>
    <row r="226" spans="1:21" ht="14.4" customHeight="1" x14ac:dyDescent="0.3">
      <c r="A226" s="680">
        <v>50</v>
      </c>
      <c r="B226" s="671" t="s">
        <v>536</v>
      </c>
      <c r="C226" s="671">
        <v>89301502</v>
      </c>
      <c r="D226" s="703" t="s">
        <v>2487</v>
      </c>
      <c r="E226" s="704" t="s">
        <v>1920</v>
      </c>
      <c r="F226" s="671" t="s">
        <v>1912</v>
      </c>
      <c r="G226" s="671" t="s">
        <v>2181</v>
      </c>
      <c r="H226" s="671" t="s">
        <v>535</v>
      </c>
      <c r="I226" s="671" t="s">
        <v>2182</v>
      </c>
      <c r="J226" s="671" t="s">
        <v>2183</v>
      </c>
      <c r="K226" s="671" t="s">
        <v>2184</v>
      </c>
      <c r="L226" s="705">
        <v>163.9</v>
      </c>
      <c r="M226" s="705">
        <v>491.70000000000005</v>
      </c>
      <c r="N226" s="671">
        <v>3</v>
      </c>
      <c r="O226" s="706">
        <v>1</v>
      </c>
      <c r="P226" s="705">
        <v>491.70000000000005</v>
      </c>
      <c r="Q226" s="682">
        <v>1</v>
      </c>
      <c r="R226" s="671">
        <v>3</v>
      </c>
      <c r="S226" s="682">
        <v>1</v>
      </c>
      <c r="T226" s="706">
        <v>1</v>
      </c>
      <c r="U226" s="242">
        <v>1</v>
      </c>
    </row>
    <row r="227" spans="1:21" ht="14.4" customHeight="1" x14ac:dyDescent="0.3">
      <c r="A227" s="680">
        <v>50</v>
      </c>
      <c r="B227" s="671" t="s">
        <v>536</v>
      </c>
      <c r="C227" s="671">
        <v>89301502</v>
      </c>
      <c r="D227" s="703" t="s">
        <v>2487</v>
      </c>
      <c r="E227" s="704" t="s">
        <v>1920</v>
      </c>
      <c r="F227" s="671" t="s">
        <v>1912</v>
      </c>
      <c r="G227" s="671" t="s">
        <v>1984</v>
      </c>
      <c r="H227" s="671" t="s">
        <v>535</v>
      </c>
      <c r="I227" s="671" t="s">
        <v>851</v>
      </c>
      <c r="J227" s="671" t="s">
        <v>852</v>
      </c>
      <c r="K227" s="671" t="s">
        <v>853</v>
      </c>
      <c r="L227" s="705">
        <v>112.45</v>
      </c>
      <c r="M227" s="705">
        <v>112.45</v>
      </c>
      <c r="N227" s="671">
        <v>1</v>
      </c>
      <c r="O227" s="706">
        <v>0.5</v>
      </c>
      <c r="P227" s="705">
        <v>112.45</v>
      </c>
      <c r="Q227" s="682">
        <v>1</v>
      </c>
      <c r="R227" s="671">
        <v>1</v>
      </c>
      <c r="S227" s="682">
        <v>1</v>
      </c>
      <c r="T227" s="706">
        <v>0.5</v>
      </c>
      <c r="U227" s="242">
        <v>1</v>
      </c>
    </row>
    <row r="228" spans="1:21" ht="14.4" customHeight="1" x14ac:dyDescent="0.3">
      <c r="A228" s="680">
        <v>50</v>
      </c>
      <c r="B228" s="671" t="s">
        <v>536</v>
      </c>
      <c r="C228" s="671">
        <v>89301502</v>
      </c>
      <c r="D228" s="703" t="s">
        <v>2487</v>
      </c>
      <c r="E228" s="704" t="s">
        <v>1920</v>
      </c>
      <c r="F228" s="671" t="s">
        <v>1912</v>
      </c>
      <c r="G228" s="671" t="s">
        <v>1984</v>
      </c>
      <c r="H228" s="671" t="s">
        <v>535</v>
      </c>
      <c r="I228" s="671" t="s">
        <v>2185</v>
      </c>
      <c r="J228" s="671" t="s">
        <v>2186</v>
      </c>
      <c r="K228" s="671" t="s">
        <v>1218</v>
      </c>
      <c r="L228" s="705">
        <v>33.729999999999997</v>
      </c>
      <c r="M228" s="705">
        <v>67.459999999999994</v>
      </c>
      <c r="N228" s="671">
        <v>2</v>
      </c>
      <c r="O228" s="706">
        <v>0.5</v>
      </c>
      <c r="P228" s="705"/>
      <c r="Q228" s="682">
        <v>0</v>
      </c>
      <c r="R228" s="671"/>
      <c r="S228" s="682">
        <v>0</v>
      </c>
      <c r="T228" s="706"/>
      <c r="U228" s="242">
        <v>0</v>
      </c>
    </row>
    <row r="229" spans="1:21" ht="14.4" customHeight="1" x14ac:dyDescent="0.3">
      <c r="A229" s="680">
        <v>50</v>
      </c>
      <c r="B229" s="671" t="s">
        <v>536</v>
      </c>
      <c r="C229" s="671">
        <v>89301502</v>
      </c>
      <c r="D229" s="703" t="s">
        <v>2487</v>
      </c>
      <c r="E229" s="704" t="s">
        <v>1920</v>
      </c>
      <c r="F229" s="671" t="s">
        <v>1912</v>
      </c>
      <c r="G229" s="671" t="s">
        <v>2187</v>
      </c>
      <c r="H229" s="671" t="s">
        <v>535</v>
      </c>
      <c r="I229" s="671" t="s">
        <v>2188</v>
      </c>
      <c r="J229" s="671" t="s">
        <v>2189</v>
      </c>
      <c r="K229" s="671" t="s">
        <v>1997</v>
      </c>
      <c r="L229" s="705">
        <v>173.65</v>
      </c>
      <c r="M229" s="705">
        <v>520.95000000000005</v>
      </c>
      <c r="N229" s="671">
        <v>3</v>
      </c>
      <c r="O229" s="706">
        <v>0.5</v>
      </c>
      <c r="P229" s="705"/>
      <c r="Q229" s="682">
        <v>0</v>
      </c>
      <c r="R229" s="671"/>
      <c r="S229" s="682">
        <v>0</v>
      </c>
      <c r="T229" s="706"/>
      <c r="U229" s="242">
        <v>0</v>
      </c>
    </row>
    <row r="230" spans="1:21" ht="14.4" customHeight="1" x14ac:dyDescent="0.3">
      <c r="A230" s="680">
        <v>50</v>
      </c>
      <c r="B230" s="671" t="s">
        <v>536</v>
      </c>
      <c r="C230" s="671">
        <v>89301502</v>
      </c>
      <c r="D230" s="703" t="s">
        <v>2487</v>
      </c>
      <c r="E230" s="704" t="s">
        <v>1920</v>
      </c>
      <c r="F230" s="671" t="s">
        <v>1912</v>
      </c>
      <c r="G230" s="671" t="s">
        <v>2190</v>
      </c>
      <c r="H230" s="671" t="s">
        <v>1039</v>
      </c>
      <c r="I230" s="671" t="s">
        <v>2191</v>
      </c>
      <c r="J230" s="671" t="s">
        <v>2192</v>
      </c>
      <c r="K230" s="671" t="s">
        <v>2193</v>
      </c>
      <c r="L230" s="705">
        <v>116.8</v>
      </c>
      <c r="M230" s="705">
        <v>467.2</v>
      </c>
      <c r="N230" s="671">
        <v>4</v>
      </c>
      <c r="O230" s="706">
        <v>1.5</v>
      </c>
      <c r="P230" s="705">
        <v>467.2</v>
      </c>
      <c r="Q230" s="682">
        <v>1</v>
      </c>
      <c r="R230" s="671">
        <v>4</v>
      </c>
      <c r="S230" s="682">
        <v>1</v>
      </c>
      <c r="T230" s="706">
        <v>1.5</v>
      </c>
      <c r="U230" s="242">
        <v>1</v>
      </c>
    </row>
    <row r="231" spans="1:21" ht="14.4" customHeight="1" x14ac:dyDescent="0.3">
      <c r="A231" s="680">
        <v>50</v>
      </c>
      <c r="B231" s="671" t="s">
        <v>536</v>
      </c>
      <c r="C231" s="671">
        <v>89301502</v>
      </c>
      <c r="D231" s="703" t="s">
        <v>2487</v>
      </c>
      <c r="E231" s="704" t="s">
        <v>1920</v>
      </c>
      <c r="F231" s="671" t="s">
        <v>1912</v>
      </c>
      <c r="G231" s="671" t="s">
        <v>2194</v>
      </c>
      <c r="H231" s="671" t="s">
        <v>535</v>
      </c>
      <c r="I231" s="671" t="s">
        <v>2195</v>
      </c>
      <c r="J231" s="671" t="s">
        <v>2196</v>
      </c>
      <c r="K231" s="671" t="s">
        <v>2197</v>
      </c>
      <c r="L231" s="705">
        <v>0</v>
      </c>
      <c r="M231" s="705">
        <v>0</v>
      </c>
      <c r="N231" s="671">
        <v>1</v>
      </c>
      <c r="O231" s="706">
        <v>0.5</v>
      </c>
      <c r="P231" s="705">
        <v>0</v>
      </c>
      <c r="Q231" s="682"/>
      <c r="R231" s="671">
        <v>1</v>
      </c>
      <c r="S231" s="682">
        <v>1</v>
      </c>
      <c r="T231" s="706">
        <v>0.5</v>
      </c>
      <c r="U231" s="242">
        <v>1</v>
      </c>
    </row>
    <row r="232" spans="1:21" ht="14.4" customHeight="1" x14ac:dyDescent="0.3">
      <c r="A232" s="680">
        <v>50</v>
      </c>
      <c r="B232" s="671" t="s">
        <v>536</v>
      </c>
      <c r="C232" s="671">
        <v>89301502</v>
      </c>
      <c r="D232" s="703" t="s">
        <v>2487</v>
      </c>
      <c r="E232" s="704" t="s">
        <v>1920</v>
      </c>
      <c r="F232" s="671" t="s">
        <v>1912</v>
      </c>
      <c r="G232" s="671" t="s">
        <v>1951</v>
      </c>
      <c r="H232" s="671" t="s">
        <v>535</v>
      </c>
      <c r="I232" s="671" t="s">
        <v>878</v>
      </c>
      <c r="J232" s="671" t="s">
        <v>879</v>
      </c>
      <c r="K232" s="671" t="s">
        <v>880</v>
      </c>
      <c r="L232" s="705">
        <v>104.66</v>
      </c>
      <c r="M232" s="705">
        <v>1046.5999999999999</v>
      </c>
      <c r="N232" s="671">
        <v>10</v>
      </c>
      <c r="O232" s="706">
        <v>2.5</v>
      </c>
      <c r="P232" s="705">
        <v>627.96</v>
      </c>
      <c r="Q232" s="682">
        <v>0.60000000000000009</v>
      </c>
      <c r="R232" s="671">
        <v>6</v>
      </c>
      <c r="S232" s="682">
        <v>0.6</v>
      </c>
      <c r="T232" s="706">
        <v>1.5</v>
      </c>
      <c r="U232" s="242">
        <v>0.6</v>
      </c>
    </row>
    <row r="233" spans="1:21" ht="14.4" customHeight="1" x14ac:dyDescent="0.3">
      <c r="A233" s="680">
        <v>50</v>
      </c>
      <c r="B233" s="671" t="s">
        <v>536</v>
      </c>
      <c r="C233" s="671">
        <v>89301502</v>
      </c>
      <c r="D233" s="703" t="s">
        <v>2487</v>
      </c>
      <c r="E233" s="704" t="s">
        <v>1920</v>
      </c>
      <c r="F233" s="671" t="s">
        <v>1912</v>
      </c>
      <c r="G233" s="671" t="s">
        <v>1952</v>
      </c>
      <c r="H233" s="671" t="s">
        <v>535</v>
      </c>
      <c r="I233" s="671" t="s">
        <v>855</v>
      </c>
      <c r="J233" s="671" t="s">
        <v>856</v>
      </c>
      <c r="K233" s="671" t="s">
        <v>857</v>
      </c>
      <c r="L233" s="705">
        <v>61.29</v>
      </c>
      <c r="M233" s="705">
        <v>61.29</v>
      </c>
      <c r="N233" s="671">
        <v>1</v>
      </c>
      <c r="O233" s="706">
        <v>0.5</v>
      </c>
      <c r="P233" s="705">
        <v>61.29</v>
      </c>
      <c r="Q233" s="682">
        <v>1</v>
      </c>
      <c r="R233" s="671">
        <v>1</v>
      </c>
      <c r="S233" s="682">
        <v>1</v>
      </c>
      <c r="T233" s="706">
        <v>0.5</v>
      </c>
      <c r="U233" s="242">
        <v>1</v>
      </c>
    </row>
    <row r="234" spans="1:21" ht="14.4" customHeight="1" x14ac:dyDescent="0.3">
      <c r="A234" s="680">
        <v>50</v>
      </c>
      <c r="B234" s="671" t="s">
        <v>536</v>
      </c>
      <c r="C234" s="671">
        <v>89301502</v>
      </c>
      <c r="D234" s="703" t="s">
        <v>2487</v>
      </c>
      <c r="E234" s="704" t="s">
        <v>1920</v>
      </c>
      <c r="F234" s="671" t="s">
        <v>1912</v>
      </c>
      <c r="G234" s="671" t="s">
        <v>1990</v>
      </c>
      <c r="H234" s="671" t="s">
        <v>535</v>
      </c>
      <c r="I234" s="671" t="s">
        <v>914</v>
      </c>
      <c r="J234" s="671" t="s">
        <v>1994</v>
      </c>
      <c r="K234" s="671" t="s">
        <v>1995</v>
      </c>
      <c r="L234" s="705">
        <v>50.57</v>
      </c>
      <c r="M234" s="705">
        <v>50.57</v>
      </c>
      <c r="N234" s="671">
        <v>1</v>
      </c>
      <c r="O234" s="706">
        <v>0.5</v>
      </c>
      <c r="P234" s="705">
        <v>50.57</v>
      </c>
      <c r="Q234" s="682">
        <v>1</v>
      </c>
      <c r="R234" s="671">
        <v>1</v>
      </c>
      <c r="S234" s="682">
        <v>1</v>
      </c>
      <c r="T234" s="706">
        <v>0.5</v>
      </c>
      <c r="U234" s="242">
        <v>1</v>
      </c>
    </row>
    <row r="235" spans="1:21" ht="14.4" customHeight="1" x14ac:dyDescent="0.3">
      <c r="A235" s="680">
        <v>50</v>
      </c>
      <c r="B235" s="671" t="s">
        <v>536</v>
      </c>
      <c r="C235" s="671">
        <v>89301502</v>
      </c>
      <c r="D235" s="703" t="s">
        <v>2487</v>
      </c>
      <c r="E235" s="704" t="s">
        <v>1920</v>
      </c>
      <c r="F235" s="671" t="s">
        <v>1912</v>
      </c>
      <c r="G235" s="671" t="s">
        <v>2198</v>
      </c>
      <c r="H235" s="671" t="s">
        <v>1039</v>
      </c>
      <c r="I235" s="671" t="s">
        <v>2199</v>
      </c>
      <c r="J235" s="671" t="s">
        <v>2200</v>
      </c>
      <c r="K235" s="671" t="s">
        <v>2201</v>
      </c>
      <c r="L235" s="705">
        <v>431.14</v>
      </c>
      <c r="M235" s="705">
        <v>431.14</v>
      </c>
      <c r="N235" s="671">
        <v>1</v>
      </c>
      <c r="O235" s="706">
        <v>0.5</v>
      </c>
      <c r="P235" s="705">
        <v>431.14</v>
      </c>
      <c r="Q235" s="682">
        <v>1</v>
      </c>
      <c r="R235" s="671">
        <v>1</v>
      </c>
      <c r="S235" s="682">
        <v>1</v>
      </c>
      <c r="T235" s="706">
        <v>0.5</v>
      </c>
      <c r="U235" s="242">
        <v>1</v>
      </c>
    </row>
    <row r="236" spans="1:21" ht="14.4" customHeight="1" x14ac:dyDescent="0.3">
      <c r="A236" s="680">
        <v>50</v>
      </c>
      <c r="B236" s="671" t="s">
        <v>536</v>
      </c>
      <c r="C236" s="671">
        <v>89301502</v>
      </c>
      <c r="D236" s="703" t="s">
        <v>2487</v>
      </c>
      <c r="E236" s="704" t="s">
        <v>1920</v>
      </c>
      <c r="F236" s="671" t="s">
        <v>1912</v>
      </c>
      <c r="G236" s="671" t="s">
        <v>1956</v>
      </c>
      <c r="H236" s="671" t="s">
        <v>535</v>
      </c>
      <c r="I236" s="671" t="s">
        <v>2202</v>
      </c>
      <c r="J236" s="671" t="s">
        <v>676</v>
      </c>
      <c r="K236" s="671" t="s">
        <v>2203</v>
      </c>
      <c r="L236" s="705">
        <v>23.4</v>
      </c>
      <c r="M236" s="705">
        <v>46.8</v>
      </c>
      <c r="N236" s="671">
        <v>2</v>
      </c>
      <c r="O236" s="706">
        <v>1</v>
      </c>
      <c r="P236" s="705"/>
      <c r="Q236" s="682">
        <v>0</v>
      </c>
      <c r="R236" s="671"/>
      <c r="S236" s="682">
        <v>0</v>
      </c>
      <c r="T236" s="706"/>
      <c r="U236" s="242">
        <v>0</v>
      </c>
    </row>
    <row r="237" spans="1:21" ht="14.4" customHeight="1" x14ac:dyDescent="0.3">
      <c r="A237" s="680">
        <v>50</v>
      </c>
      <c r="B237" s="671" t="s">
        <v>536</v>
      </c>
      <c r="C237" s="671">
        <v>89301502</v>
      </c>
      <c r="D237" s="703" t="s">
        <v>2487</v>
      </c>
      <c r="E237" s="704" t="s">
        <v>1920</v>
      </c>
      <c r="F237" s="671" t="s">
        <v>1912</v>
      </c>
      <c r="G237" s="671" t="s">
        <v>1962</v>
      </c>
      <c r="H237" s="671" t="s">
        <v>1039</v>
      </c>
      <c r="I237" s="671" t="s">
        <v>1118</v>
      </c>
      <c r="J237" s="671" t="s">
        <v>1119</v>
      </c>
      <c r="K237" s="671" t="s">
        <v>1083</v>
      </c>
      <c r="L237" s="705">
        <v>1749.69</v>
      </c>
      <c r="M237" s="705">
        <v>6998.76</v>
      </c>
      <c r="N237" s="671">
        <v>4</v>
      </c>
      <c r="O237" s="706">
        <v>1.5</v>
      </c>
      <c r="P237" s="705">
        <v>6998.76</v>
      </c>
      <c r="Q237" s="682">
        <v>1</v>
      </c>
      <c r="R237" s="671">
        <v>4</v>
      </c>
      <c r="S237" s="682">
        <v>1</v>
      </c>
      <c r="T237" s="706">
        <v>1.5</v>
      </c>
      <c r="U237" s="242">
        <v>1</v>
      </c>
    </row>
    <row r="238" spans="1:21" ht="14.4" customHeight="1" x14ac:dyDescent="0.3">
      <c r="A238" s="680">
        <v>50</v>
      </c>
      <c r="B238" s="671" t="s">
        <v>536</v>
      </c>
      <c r="C238" s="671">
        <v>89301502</v>
      </c>
      <c r="D238" s="703" t="s">
        <v>2487</v>
      </c>
      <c r="E238" s="704" t="s">
        <v>1920</v>
      </c>
      <c r="F238" s="671" t="s">
        <v>1912</v>
      </c>
      <c r="G238" s="671" t="s">
        <v>1962</v>
      </c>
      <c r="H238" s="671" t="s">
        <v>1039</v>
      </c>
      <c r="I238" s="671" t="s">
        <v>1122</v>
      </c>
      <c r="J238" s="671" t="s">
        <v>1119</v>
      </c>
      <c r="K238" s="671" t="s">
        <v>1086</v>
      </c>
      <c r="L238" s="705">
        <v>2332.92</v>
      </c>
      <c r="M238" s="705">
        <v>2332.92</v>
      </c>
      <c r="N238" s="671">
        <v>1</v>
      </c>
      <c r="O238" s="706">
        <v>0.5</v>
      </c>
      <c r="P238" s="705">
        <v>2332.92</v>
      </c>
      <c r="Q238" s="682">
        <v>1</v>
      </c>
      <c r="R238" s="671">
        <v>1</v>
      </c>
      <c r="S238" s="682">
        <v>1</v>
      </c>
      <c r="T238" s="706">
        <v>0.5</v>
      </c>
      <c r="U238" s="242">
        <v>1</v>
      </c>
    </row>
    <row r="239" spans="1:21" ht="14.4" customHeight="1" x14ac:dyDescent="0.3">
      <c r="A239" s="680">
        <v>50</v>
      </c>
      <c r="B239" s="671" t="s">
        <v>536</v>
      </c>
      <c r="C239" s="671">
        <v>89301502</v>
      </c>
      <c r="D239" s="703" t="s">
        <v>2487</v>
      </c>
      <c r="E239" s="704" t="s">
        <v>1920</v>
      </c>
      <c r="F239" s="671" t="s">
        <v>1912</v>
      </c>
      <c r="G239" s="671" t="s">
        <v>2000</v>
      </c>
      <c r="H239" s="671" t="s">
        <v>1039</v>
      </c>
      <c r="I239" s="671" t="s">
        <v>1191</v>
      </c>
      <c r="J239" s="671" t="s">
        <v>1192</v>
      </c>
      <c r="K239" s="671" t="s">
        <v>1193</v>
      </c>
      <c r="L239" s="705">
        <v>55.38</v>
      </c>
      <c r="M239" s="705">
        <v>166.14000000000001</v>
      </c>
      <c r="N239" s="671">
        <v>3</v>
      </c>
      <c r="O239" s="706">
        <v>0.5</v>
      </c>
      <c r="P239" s="705">
        <v>166.14000000000001</v>
      </c>
      <c r="Q239" s="682">
        <v>1</v>
      </c>
      <c r="R239" s="671">
        <v>3</v>
      </c>
      <c r="S239" s="682">
        <v>1</v>
      </c>
      <c r="T239" s="706">
        <v>0.5</v>
      </c>
      <c r="U239" s="242">
        <v>1</v>
      </c>
    </row>
    <row r="240" spans="1:21" ht="14.4" customHeight="1" x14ac:dyDescent="0.3">
      <c r="A240" s="680">
        <v>50</v>
      </c>
      <c r="B240" s="671" t="s">
        <v>536</v>
      </c>
      <c r="C240" s="671">
        <v>89301502</v>
      </c>
      <c r="D240" s="703" t="s">
        <v>2487</v>
      </c>
      <c r="E240" s="704" t="s">
        <v>1920</v>
      </c>
      <c r="F240" s="671" t="s">
        <v>1912</v>
      </c>
      <c r="G240" s="671" t="s">
        <v>2004</v>
      </c>
      <c r="H240" s="671" t="s">
        <v>1039</v>
      </c>
      <c r="I240" s="671" t="s">
        <v>1095</v>
      </c>
      <c r="J240" s="671" t="s">
        <v>1096</v>
      </c>
      <c r="K240" s="671" t="s">
        <v>1809</v>
      </c>
      <c r="L240" s="705">
        <v>97.97</v>
      </c>
      <c r="M240" s="705">
        <v>195.94</v>
      </c>
      <c r="N240" s="671">
        <v>2</v>
      </c>
      <c r="O240" s="706">
        <v>1</v>
      </c>
      <c r="P240" s="705"/>
      <c r="Q240" s="682">
        <v>0</v>
      </c>
      <c r="R240" s="671"/>
      <c r="S240" s="682">
        <v>0</v>
      </c>
      <c r="T240" s="706"/>
      <c r="U240" s="242">
        <v>0</v>
      </c>
    </row>
    <row r="241" spans="1:21" ht="14.4" customHeight="1" x14ac:dyDescent="0.3">
      <c r="A241" s="680">
        <v>50</v>
      </c>
      <c r="B241" s="671" t="s">
        <v>536</v>
      </c>
      <c r="C241" s="671">
        <v>89301502</v>
      </c>
      <c r="D241" s="703" t="s">
        <v>2487</v>
      </c>
      <c r="E241" s="704" t="s">
        <v>1920</v>
      </c>
      <c r="F241" s="671" t="s">
        <v>1912</v>
      </c>
      <c r="G241" s="671" t="s">
        <v>2204</v>
      </c>
      <c r="H241" s="671" t="s">
        <v>535</v>
      </c>
      <c r="I241" s="671" t="s">
        <v>2205</v>
      </c>
      <c r="J241" s="671" t="s">
        <v>2206</v>
      </c>
      <c r="K241" s="671" t="s">
        <v>2207</v>
      </c>
      <c r="L241" s="705">
        <v>169</v>
      </c>
      <c r="M241" s="705">
        <v>338</v>
      </c>
      <c r="N241" s="671">
        <v>2</v>
      </c>
      <c r="O241" s="706">
        <v>0.5</v>
      </c>
      <c r="P241" s="705"/>
      <c r="Q241" s="682">
        <v>0</v>
      </c>
      <c r="R241" s="671"/>
      <c r="S241" s="682">
        <v>0</v>
      </c>
      <c r="T241" s="706"/>
      <c r="U241" s="242">
        <v>0</v>
      </c>
    </row>
    <row r="242" spans="1:21" ht="14.4" customHeight="1" x14ac:dyDescent="0.3">
      <c r="A242" s="680">
        <v>50</v>
      </c>
      <c r="B242" s="671" t="s">
        <v>536</v>
      </c>
      <c r="C242" s="671">
        <v>89301502</v>
      </c>
      <c r="D242" s="703" t="s">
        <v>2487</v>
      </c>
      <c r="E242" s="704" t="s">
        <v>1920</v>
      </c>
      <c r="F242" s="671" t="s">
        <v>1912</v>
      </c>
      <c r="G242" s="671" t="s">
        <v>1963</v>
      </c>
      <c r="H242" s="671" t="s">
        <v>535</v>
      </c>
      <c r="I242" s="671" t="s">
        <v>817</v>
      </c>
      <c r="J242" s="671" t="s">
        <v>818</v>
      </c>
      <c r="K242" s="671" t="s">
        <v>819</v>
      </c>
      <c r="L242" s="705">
        <v>202.25</v>
      </c>
      <c r="M242" s="705">
        <v>404.5</v>
      </c>
      <c r="N242" s="671">
        <v>2</v>
      </c>
      <c r="O242" s="706">
        <v>2</v>
      </c>
      <c r="P242" s="705">
        <v>202.25</v>
      </c>
      <c r="Q242" s="682">
        <v>0.5</v>
      </c>
      <c r="R242" s="671">
        <v>1</v>
      </c>
      <c r="S242" s="682">
        <v>0.5</v>
      </c>
      <c r="T242" s="706">
        <v>1</v>
      </c>
      <c r="U242" s="242">
        <v>0.5</v>
      </c>
    </row>
    <row r="243" spans="1:21" ht="14.4" customHeight="1" x14ac:dyDescent="0.3">
      <c r="A243" s="680">
        <v>50</v>
      </c>
      <c r="B243" s="671" t="s">
        <v>536</v>
      </c>
      <c r="C243" s="671">
        <v>89301502</v>
      </c>
      <c r="D243" s="703" t="s">
        <v>2487</v>
      </c>
      <c r="E243" s="704" t="s">
        <v>1920</v>
      </c>
      <c r="F243" s="671" t="s">
        <v>1912</v>
      </c>
      <c r="G243" s="671" t="s">
        <v>1963</v>
      </c>
      <c r="H243" s="671" t="s">
        <v>535</v>
      </c>
      <c r="I243" s="671" t="s">
        <v>2208</v>
      </c>
      <c r="J243" s="671" t="s">
        <v>1965</v>
      </c>
      <c r="K243" s="671" t="s">
        <v>2209</v>
      </c>
      <c r="L243" s="705">
        <v>404.48</v>
      </c>
      <c r="M243" s="705">
        <v>404.48</v>
      </c>
      <c r="N243" s="671">
        <v>1</v>
      </c>
      <c r="O243" s="706">
        <v>0.5</v>
      </c>
      <c r="P243" s="705"/>
      <c r="Q243" s="682">
        <v>0</v>
      </c>
      <c r="R243" s="671"/>
      <c r="S243" s="682">
        <v>0</v>
      </c>
      <c r="T243" s="706"/>
      <c r="U243" s="242">
        <v>0</v>
      </c>
    </row>
    <row r="244" spans="1:21" ht="14.4" customHeight="1" x14ac:dyDescent="0.3">
      <c r="A244" s="680">
        <v>50</v>
      </c>
      <c r="B244" s="671" t="s">
        <v>536</v>
      </c>
      <c r="C244" s="671">
        <v>89301502</v>
      </c>
      <c r="D244" s="703" t="s">
        <v>2487</v>
      </c>
      <c r="E244" s="704" t="s">
        <v>1920</v>
      </c>
      <c r="F244" s="671" t="s">
        <v>1912</v>
      </c>
      <c r="G244" s="671" t="s">
        <v>1963</v>
      </c>
      <c r="H244" s="671" t="s">
        <v>535</v>
      </c>
      <c r="I244" s="671" t="s">
        <v>2210</v>
      </c>
      <c r="J244" s="671" t="s">
        <v>2211</v>
      </c>
      <c r="K244" s="671" t="s">
        <v>2212</v>
      </c>
      <c r="L244" s="705">
        <v>202.25</v>
      </c>
      <c r="M244" s="705">
        <v>202.25</v>
      </c>
      <c r="N244" s="671">
        <v>1</v>
      </c>
      <c r="O244" s="706">
        <v>0.5</v>
      </c>
      <c r="P244" s="705"/>
      <c r="Q244" s="682">
        <v>0</v>
      </c>
      <c r="R244" s="671"/>
      <c r="S244" s="682">
        <v>0</v>
      </c>
      <c r="T244" s="706"/>
      <c r="U244" s="242">
        <v>0</v>
      </c>
    </row>
    <row r="245" spans="1:21" ht="14.4" customHeight="1" x14ac:dyDescent="0.3">
      <c r="A245" s="680">
        <v>50</v>
      </c>
      <c r="B245" s="671" t="s">
        <v>536</v>
      </c>
      <c r="C245" s="671">
        <v>89301502</v>
      </c>
      <c r="D245" s="703" t="s">
        <v>2487</v>
      </c>
      <c r="E245" s="704" t="s">
        <v>1920</v>
      </c>
      <c r="F245" s="671" t="s">
        <v>1912</v>
      </c>
      <c r="G245" s="671" t="s">
        <v>2135</v>
      </c>
      <c r="H245" s="671" t="s">
        <v>535</v>
      </c>
      <c r="I245" s="671" t="s">
        <v>992</v>
      </c>
      <c r="J245" s="671" t="s">
        <v>871</v>
      </c>
      <c r="K245" s="671" t="s">
        <v>993</v>
      </c>
      <c r="L245" s="705">
        <v>610.14</v>
      </c>
      <c r="M245" s="705">
        <v>610.14</v>
      </c>
      <c r="N245" s="671">
        <v>1</v>
      </c>
      <c r="O245" s="706">
        <v>0.5</v>
      </c>
      <c r="P245" s="705">
        <v>610.14</v>
      </c>
      <c r="Q245" s="682">
        <v>1</v>
      </c>
      <c r="R245" s="671">
        <v>1</v>
      </c>
      <c r="S245" s="682">
        <v>1</v>
      </c>
      <c r="T245" s="706">
        <v>0.5</v>
      </c>
      <c r="U245" s="242">
        <v>1</v>
      </c>
    </row>
    <row r="246" spans="1:21" ht="14.4" customHeight="1" x14ac:dyDescent="0.3">
      <c r="A246" s="680">
        <v>50</v>
      </c>
      <c r="B246" s="671" t="s">
        <v>536</v>
      </c>
      <c r="C246" s="671">
        <v>89301502</v>
      </c>
      <c r="D246" s="703" t="s">
        <v>2487</v>
      </c>
      <c r="E246" s="704" t="s">
        <v>1920</v>
      </c>
      <c r="F246" s="671" t="s">
        <v>1912</v>
      </c>
      <c r="G246" s="671" t="s">
        <v>2213</v>
      </c>
      <c r="H246" s="671" t="s">
        <v>535</v>
      </c>
      <c r="I246" s="671" t="s">
        <v>2214</v>
      </c>
      <c r="J246" s="671" t="s">
        <v>2215</v>
      </c>
      <c r="K246" s="671" t="s">
        <v>2216</v>
      </c>
      <c r="L246" s="705">
        <v>224.9</v>
      </c>
      <c r="M246" s="705">
        <v>224.9</v>
      </c>
      <c r="N246" s="671">
        <v>1</v>
      </c>
      <c r="O246" s="706">
        <v>1</v>
      </c>
      <c r="P246" s="705">
        <v>224.9</v>
      </c>
      <c r="Q246" s="682">
        <v>1</v>
      </c>
      <c r="R246" s="671">
        <v>1</v>
      </c>
      <c r="S246" s="682">
        <v>1</v>
      </c>
      <c r="T246" s="706">
        <v>1</v>
      </c>
      <c r="U246" s="242">
        <v>1</v>
      </c>
    </row>
    <row r="247" spans="1:21" ht="14.4" customHeight="1" x14ac:dyDescent="0.3">
      <c r="A247" s="680">
        <v>50</v>
      </c>
      <c r="B247" s="671" t="s">
        <v>536</v>
      </c>
      <c r="C247" s="671">
        <v>89301502</v>
      </c>
      <c r="D247" s="703" t="s">
        <v>2487</v>
      </c>
      <c r="E247" s="704" t="s">
        <v>1920</v>
      </c>
      <c r="F247" s="671" t="s">
        <v>1912</v>
      </c>
      <c r="G247" s="671" t="s">
        <v>2217</v>
      </c>
      <c r="H247" s="671" t="s">
        <v>535</v>
      </c>
      <c r="I247" s="671" t="s">
        <v>2218</v>
      </c>
      <c r="J247" s="671" t="s">
        <v>2219</v>
      </c>
      <c r="K247" s="671" t="s">
        <v>2220</v>
      </c>
      <c r="L247" s="705">
        <v>334.76</v>
      </c>
      <c r="M247" s="705">
        <v>2008.56</v>
      </c>
      <c r="N247" s="671">
        <v>6</v>
      </c>
      <c r="O247" s="706">
        <v>1</v>
      </c>
      <c r="P247" s="705">
        <v>2008.56</v>
      </c>
      <c r="Q247" s="682">
        <v>1</v>
      </c>
      <c r="R247" s="671">
        <v>6</v>
      </c>
      <c r="S247" s="682">
        <v>1</v>
      </c>
      <c r="T247" s="706">
        <v>1</v>
      </c>
      <c r="U247" s="242">
        <v>1</v>
      </c>
    </row>
    <row r="248" spans="1:21" ht="14.4" customHeight="1" x14ac:dyDescent="0.3">
      <c r="A248" s="680">
        <v>50</v>
      </c>
      <c r="B248" s="671" t="s">
        <v>536</v>
      </c>
      <c r="C248" s="671">
        <v>89301502</v>
      </c>
      <c r="D248" s="703" t="s">
        <v>2487</v>
      </c>
      <c r="E248" s="704" t="s">
        <v>1920</v>
      </c>
      <c r="F248" s="671" t="s">
        <v>1912</v>
      </c>
      <c r="G248" s="671" t="s">
        <v>1969</v>
      </c>
      <c r="H248" s="671" t="s">
        <v>1039</v>
      </c>
      <c r="I248" s="671" t="s">
        <v>1058</v>
      </c>
      <c r="J248" s="671" t="s">
        <v>1838</v>
      </c>
      <c r="K248" s="671" t="s">
        <v>1060</v>
      </c>
      <c r="L248" s="705">
        <v>134.83000000000001</v>
      </c>
      <c r="M248" s="705">
        <v>674.15000000000009</v>
      </c>
      <c r="N248" s="671">
        <v>5</v>
      </c>
      <c r="O248" s="706">
        <v>1</v>
      </c>
      <c r="P248" s="705">
        <v>269.66000000000003</v>
      </c>
      <c r="Q248" s="682">
        <v>0.39999999999999997</v>
      </c>
      <c r="R248" s="671">
        <v>2</v>
      </c>
      <c r="S248" s="682">
        <v>0.4</v>
      </c>
      <c r="T248" s="706">
        <v>0.5</v>
      </c>
      <c r="U248" s="242">
        <v>0.5</v>
      </c>
    </row>
    <row r="249" spans="1:21" ht="14.4" customHeight="1" x14ac:dyDescent="0.3">
      <c r="A249" s="680">
        <v>50</v>
      </c>
      <c r="B249" s="671" t="s">
        <v>536</v>
      </c>
      <c r="C249" s="671">
        <v>89301502</v>
      </c>
      <c r="D249" s="703" t="s">
        <v>2487</v>
      </c>
      <c r="E249" s="704" t="s">
        <v>1920</v>
      </c>
      <c r="F249" s="671" t="s">
        <v>1912</v>
      </c>
      <c r="G249" s="671" t="s">
        <v>1969</v>
      </c>
      <c r="H249" s="671" t="s">
        <v>1039</v>
      </c>
      <c r="I249" s="671" t="s">
        <v>1110</v>
      </c>
      <c r="J249" s="671" t="s">
        <v>1839</v>
      </c>
      <c r="K249" s="671" t="s">
        <v>1153</v>
      </c>
      <c r="L249" s="705">
        <v>67.42</v>
      </c>
      <c r="M249" s="705">
        <v>202.26</v>
      </c>
      <c r="N249" s="671">
        <v>3</v>
      </c>
      <c r="O249" s="706">
        <v>1</v>
      </c>
      <c r="P249" s="705">
        <v>202.26</v>
      </c>
      <c r="Q249" s="682">
        <v>1</v>
      </c>
      <c r="R249" s="671">
        <v>3</v>
      </c>
      <c r="S249" s="682">
        <v>1</v>
      </c>
      <c r="T249" s="706">
        <v>1</v>
      </c>
      <c r="U249" s="242">
        <v>1</v>
      </c>
    </row>
    <row r="250" spans="1:21" ht="14.4" customHeight="1" x14ac:dyDescent="0.3">
      <c r="A250" s="680">
        <v>50</v>
      </c>
      <c r="B250" s="671" t="s">
        <v>536</v>
      </c>
      <c r="C250" s="671">
        <v>89301502</v>
      </c>
      <c r="D250" s="703" t="s">
        <v>2487</v>
      </c>
      <c r="E250" s="704" t="s">
        <v>1920</v>
      </c>
      <c r="F250" s="671" t="s">
        <v>1912</v>
      </c>
      <c r="G250" s="671" t="s">
        <v>2221</v>
      </c>
      <c r="H250" s="671" t="s">
        <v>535</v>
      </c>
      <c r="I250" s="671" t="s">
        <v>2222</v>
      </c>
      <c r="J250" s="671" t="s">
        <v>742</v>
      </c>
      <c r="K250" s="671" t="s">
        <v>2223</v>
      </c>
      <c r="L250" s="705">
        <v>330.74</v>
      </c>
      <c r="M250" s="705">
        <v>330.74</v>
      </c>
      <c r="N250" s="671">
        <v>1</v>
      </c>
      <c r="O250" s="706">
        <v>0.5</v>
      </c>
      <c r="P250" s="705"/>
      <c r="Q250" s="682">
        <v>0</v>
      </c>
      <c r="R250" s="671"/>
      <c r="S250" s="682">
        <v>0</v>
      </c>
      <c r="T250" s="706"/>
      <c r="U250" s="242">
        <v>0</v>
      </c>
    </row>
    <row r="251" spans="1:21" ht="14.4" customHeight="1" x14ac:dyDescent="0.3">
      <c r="A251" s="680">
        <v>50</v>
      </c>
      <c r="B251" s="671" t="s">
        <v>536</v>
      </c>
      <c r="C251" s="671">
        <v>89301502</v>
      </c>
      <c r="D251" s="703" t="s">
        <v>2487</v>
      </c>
      <c r="E251" s="704" t="s">
        <v>1920</v>
      </c>
      <c r="F251" s="671" t="s">
        <v>1912</v>
      </c>
      <c r="G251" s="671" t="s">
        <v>2012</v>
      </c>
      <c r="H251" s="671" t="s">
        <v>1039</v>
      </c>
      <c r="I251" s="671" t="s">
        <v>2224</v>
      </c>
      <c r="J251" s="671" t="s">
        <v>2078</v>
      </c>
      <c r="K251" s="671" t="s">
        <v>2225</v>
      </c>
      <c r="L251" s="705">
        <v>605.65</v>
      </c>
      <c r="M251" s="705">
        <v>605.65</v>
      </c>
      <c r="N251" s="671">
        <v>1</v>
      </c>
      <c r="O251" s="706">
        <v>1</v>
      </c>
      <c r="P251" s="705"/>
      <c r="Q251" s="682">
        <v>0</v>
      </c>
      <c r="R251" s="671"/>
      <c r="S251" s="682">
        <v>0</v>
      </c>
      <c r="T251" s="706"/>
      <c r="U251" s="242">
        <v>0</v>
      </c>
    </row>
    <row r="252" spans="1:21" ht="14.4" customHeight="1" x14ac:dyDescent="0.3">
      <c r="A252" s="680">
        <v>50</v>
      </c>
      <c r="B252" s="671" t="s">
        <v>536</v>
      </c>
      <c r="C252" s="671">
        <v>89301502</v>
      </c>
      <c r="D252" s="703" t="s">
        <v>2487</v>
      </c>
      <c r="E252" s="704" t="s">
        <v>1920</v>
      </c>
      <c r="F252" s="671" t="s">
        <v>1912</v>
      </c>
      <c r="G252" s="671" t="s">
        <v>2012</v>
      </c>
      <c r="H252" s="671" t="s">
        <v>1039</v>
      </c>
      <c r="I252" s="671" t="s">
        <v>1187</v>
      </c>
      <c r="J252" s="671" t="s">
        <v>1188</v>
      </c>
      <c r="K252" s="671" t="s">
        <v>1189</v>
      </c>
      <c r="L252" s="705">
        <v>937.62</v>
      </c>
      <c r="M252" s="705">
        <v>937.62</v>
      </c>
      <c r="N252" s="671">
        <v>1</v>
      </c>
      <c r="O252" s="706">
        <v>0.5</v>
      </c>
      <c r="P252" s="705"/>
      <c r="Q252" s="682">
        <v>0</v>
      </c>
      <c r="R252" s="671"/>
      <c r="S252" s="682">
        <v>0</v>
      </c>
      <c r="T252" s="706"/>
      <c r="U252" s="242">
        <v>0</v>
      </c>
    </row>
    <row r="253" spans="1:21" ht="14.4" customHeight="1" x14ac:dyDescent="0.3">
      <c r="A253" s="680">
        <v>50</v>
      </c>
      <c r="B253" s="671" t="s">
        <v>536</v>
      </c>
      <c r="C253" s="671">
        <v>89301502</v>
      </c>
      <c r="D253" s="703" t="s">
        <v>2487</v>
      </c>
      <c r="E253" s="704" t="s">
        <v>1920</v>
      </c>
      <c r="F253" s="671" t="s">
        <v>1912</v>
      </c>
      <c r="G253" s="671" t="s">
        <v>1971</v>
      </c>
      <c r="H253" s="671" t="s">
        <v>535</v>
      </c>
      <c r="I253" s="671" t="s">
        <v>2226</v>
      </c>
      <c r="J253" s="671" t="s">
        <v>864</v>
      </c>
      <c r="K253" s="671" t="s">
        <v>2227</v>
      </c>
      <c r="L253" s="705">
        <v>0</v>
      </c>
      <c r="M253" s="705">
        <v>0</v>
      </c>
      <c r="N253" s="671">
        <v>2</v>
      </c>
      <c r="O253" s="706">
        <v>0.5</v>
      </c>
      <c r="P253" s="705">
        <v>0</v>
      </c>
      <c r="Q253" s="682"/>
      <c r="R253" s="671">
        <v>2</v>
      </c>
      <c r="S253" s="682">
        <v>1</v>
      </c>
      <c r="T253" s="706">
        <v>0.5</v>
      </c>
      <c r="U253" s="242">
        <v>1</v>
      </c>
    </row>
    <row r="254" spans="1:21" ht="14.4" customHeight="1" x14ac:dyDescent="0.3">
      <c r="A254" s="680">
        <v>50</v>
      </c>
      <c r="B254" s="671" t="s">
        <v>536</v>
      </c>
      <c r="C254" s="671">
        <v>89301502</v>
      </c>
      <c r="D254" s="703" t="s">
        <v>2487</v>
      </c>
      <c r="E254" s="704" t="s">
        <v>1920</v>
      </c>
      <c r="F254" s="671" t="s">
        <v>1912</v>
      </c>
      <c r="G254" s="671" t="s">
        <v>2228</v>
      </c>
      <c r="H254" s="671" t="s">
        <v>1039</v>
      </c>
      <c r="I254" s="671" t="s">
        <v>2229</v>
      </c>
      <c r="J254" s="671" t="s">
        <v>2230</v>
      </c>
      <c r="K254" s="671" t="s">
        <v>2231</v>
      </c>
      <c r="L254" s="705">
        <v>108.83</v>
      </c>
      <c r="M254" s="705">
        <v>108.83</v>
      </c>
      <c r="N254" s="671">
        <v>1</v>
      </c>
      <c r="O254" s="706">
        <v>0.5</v>
      </c>
      <c r="P254" s="705"/>
      <c r="Q254" s="682">
        <v>0</v>
      </c>
      <c r="R254" s="671"/>
      <c r="S254" s="682">
        <v>0</v>
      </c>
      <c r="T254" s="706"/>
      <c r="U254" s="242">
        <v>0</v>
      </c>
    </row>
    <row r="255" spans="1:21" ht="14.4" customHeight="1" x14ac:dyDescent="0.3">
      <c r="A255" s="680">
        <v>50</v>
      </c>
      <c r="B255" s="671" t="s">
        <v>536</v>
      </c>
      <c r="C255" s="671">
        <v>89301502</v>
      </c>
      <c r="D255" s="703" t="s">
        <v>2487</v>
      </c>
      <c r="E255" s="704" t="s">
        <v>1920</v>
      </c>
      <c r="F255" s="671" t="s">
        <v>1912</v>
      </c>
      <c r="G255" s="671" t="s">
        <v>2232</v>
      </c>
      <c r="H255" s="671" t="s">
        <v>1039</v>
      </c>
      <c r="I255" s="671" t="s">
        <v>2233</v>
      </c>
      <c r="J255" s="671" t="s">
        <v>2234</v>
      </c>
      <c r="K255" s="671" t="s">
        <v>2235</v>
      </c>
      <c r="L255" s="705">
        <v>479.04</v>
      </c>
      <c r="M255" s="705">
        <v>479.04</v>
      </c>
      <c r="N255" s="671">
        <v>1</v>
      </c>
      <c r="O255" s="706">
        <v>0.5</v>
      </c>
      <c r="P255" s="705"/>
      <c r="Q255" s="682">
        <v>0</v>
      </c>
      <c r="R255" s="671"/>
      <c r="S255" s="682">
        <v>0</v>
      </c>
      <c r="T255" s="706"/>
      <c r="U255" s="242">
        <v>0</v>
      </c>
    </row>
    <row r="256" spans="1:21" ht="14.4" customHeight="1" x14ac:dyDescent="0.3">
      <c r="A256" s="680">
        <v>50</v>
      </c>
      <c r="B256" s="671" t="s">
        <v>536</v>
      </c>
      <c r="C256" s="671">
        <v>89301502</v>
      </c>
      <c r="D256" s="703" t="s">
        <v>2487</v>
      </c>
      <c r="E256" s="704" t="s">
        <v>1920</v>
      </c>
      <c r="F256" s="671" t="s">
        <v>1912</v>
      </c>
      <c r="G256" s="671" t="s">
        <v>2151</v>
      </c>
      <c r="H256" s="671" t="s">
        <v>535</v>
      </c>
      <c r="I256" s="671" t="s">
        <v>2236</v>
      </c>
      <c r="J256" s="671" t="s">
        <v>2152</v>
      </c>
      <c r="K256" s="671" t="s">
        <v>2237</v>
      </c>
      <c r="L256" s="705">
        <v>0</v>
      </c>
      <c r="M256" s="705">
        <v>0</v>
      </c>
      <c r="N256" s="671">
        <v>1</v>
      </c>
      <c r="O256" s="706">
        <v>0.5</v>
      </c>
      <c r="P256" s="705"/>
      <c r="Q256" s="682"/>
      <c r="R256" s="671"/>
      <c r="S256" s="682">
        <v>0</v>
      </c>
      <c r="T256" s="706"/>
      <c r="U256" s="242">
        <v>0</v>
      </c>
    </row>
    <row r="257" spans="1:21" ht="14.4" customHeight="1" x14ac:dyDescent="0.3">
      <c r="A257" s="680">
        <v>50</v>
      </c>
      <c r="B257" s="671" t="s">
        <v>536</v>
      </c>
      <c r="C257" s="671">
        <v>89301502</v>
      </c>
      <c r="D257" s="703" t="s">
        <v>2487</v>
      </c>
      <c r="E257" s="704" t="s">
        <v>1920</v>
      </c>
      <c r="F257" s="671" t="s">
        <v>1912</v>
      </c>
      <c r="G257" s="671" t="s">
        <v>2136</v>
      </c>
      <c r="H257" s="671" t="s">
        <v>535</v>
      </c>
      <c r="I257" s="671" t="s">
        <v>2238</v>
      </c>
      <c r="J257" s="671" t="s">
        <v>688</v>
      </c>
      <c r="K257" s="671" t="s">
        <v>2239</v>
      </c>
      <c r="L257" s="705">
        <v>110.66</v>
      </c>
      <c r="M257" s="705">
        <v>442.64</v>
      </c>
      <c r="N257" s="671">
        <v>4</v>
      </c>
      <c r="O257" s="706">
        <v>0.5</v>
      </c>
      <c r="P257" s="705"/>
      <c r="Q257" s="682">
        <v>0</v>
      </c>
      <c r="R257" s="671"/>
      <c r="S257" s="682">
        <v>0</v>
      </c>
      <c r="T257" s="706"/>
      <c r="U257" s="242">
        <v>0</v>
      </c>
    </row>
    <row r="258" spans="1:21" ht="14.4" customHeight="1" x14ac:dyDescent="0.3">
      <c r="A258" s="680">
        <v>50</v>
      </c>
      <c r="B258" s="671" t="s">
        <v>536</v>
      </c>
      <c r="C258" s="671">
        <v>89301502</v>
      </c>
      <c r="D258" s="703" t="s">
        <v>2487</v>
      </c>
      <c r="E258" s="704" t="s">
        <v>1920</v>
      </c>
      <c r="F258" s="671" t="s">
        <v>1912</v>
      </c>
      <c r="G258" s="671" t="s">
        <v>2240</v>
      </c>
      <c r="H258" s="671" t="s">
        <v>535</v>
      </c>
      <c r="I258" s="671" t="s">
        <v>679</v>
      </c>
      <c r="J258" s="671" t="s">
        <v>680</v>
      </c>
      <c r="K258" s="671" t="s">
        <v>681</v>
      </c>
      <c r="L258" s="705">
        <v>157.01</v>
      </c>
      <c r="M258" s="705">
        <v>942.06</v>
      </c>
      <c r="N258" s="671">
        <v>6</v>
      </c>
      <c r="O258" s="706">
        <v>1</v>
      </c>
      <c r="P258" s="705"/>
      <c r="Q258" s="682">
        <v>0</v>
      </c>
      <c r="R258" s="671"/>
      <c r="S258" s="682">
        <v>0</v>
      </c>
      <c r="T258" s="706"/>
      <c r="U258" s="242">
        <v>0</v>
      </c>
    </row>
    <row r="259" spans="1:21" ht="14.4" customHeight="1" x14ac:dyDescent="0.3">
      <c r="A259" s="680">
        <v>50</v>
      </c>
      <c r="B259" s="671" t="s">
        <v>536</v>
      </c>
      <c r="C259" s="671">
        <v>89301502</v>
      </c>
      <c r="D259" s="703" t="s">
        <v>2487</v>
      </c>
      <c r="E259" s="704" t="s">
        <v>1920</v>
      </c>
      <c r="F259" s="671" t="s">
        <v>1912</v>
      </c>
      <c r="G259" s="671" t="s">
        <v>2241</v>
      </c>
      <c r="H259" s="671" t="s">
        <v>535</v>
      </c>
      <c r="I259" s="671" t="s">
        <v>2242</v>
      </c>
      <c r="J259" s="671" t="s">
        <v>2243</v>
      </c>
      <c r="K259" s="671" t="s">
        <v>2244</v>
      </c>
      <c r="L259" s="705">
        <v>1179.43</v>
      </c>
      <c r="M259" s="705">
        <v>2358.86</v>
      </c>
      <c r="N259" s="671">
        <v>2</v>
      </c>
      <c r="O259" s="706">
        <v>0.5</v>
      </c>
      <c r="P259" s="705">
        <v>2358.86</v>
      </c>
      <c r="Q259" s="682">
        <v>1</v>
      </c>
      <c r="R259" s="671">
        <v>2</v>
      </c>
      <c r="S259" s="682">
        <v>1</v>
      </c>
      <c r="T259" s="706">
        <v>0.5</v>
      </c>
      <c r="U259" s="242">
        <v>1</v>
      </c>
    </row>
    <row r="260" spans="1:21" ht="14.4" customHeight="1" x14ac:dyDescent="0.3">
      <c r="A260" s="680">
        <v>50</v>
      </c>
      <c r="B260" s="671" t="s">
        <v>536</v>
      </c>
      <c r="C260" s="671">
        <v>89301502</v>
      </c>
      <c r="D260" s="703" t="s">
        <v>2487</v>
      </c>
      <c r="E260" s="704" t="s">
        <v>1920</v>
      </c>
      <c r="F260" s="671" t="s">
        <v>1912</v>
      </c>
      <c r="G260" s="671" t="s">
        <v>1974</v>
      </c>
      <c r="H260" s="671" t="s">
        <v>1039</v>
      </c>
      <c r="I260" s="671" t="s">
        <v>1140</v>
      </c>
      <c r="J260" s="671" t="s">
        <v>1821</v>
      </c>
      <c r="K260" s="671" t="s">
        <v>1539</v>
      </c>
      <c r="L260" s="705">
        <v>193.14</v>
      </c>
      <c r="M260" s="705">
        <v>386.28</v>
      </c>
      <c r="N260" s="671">
        <v>2</v>
      </c>
      <c r="O260" s="706">
        <v>1</v>
      </c>
      <c r="P260" s="705"/>
      <c r="Q260" s="682">
        <v>0</v>
      </c>
      <c r="R260" s="671"/>
      <c r="S260" s="682">
        <v>0</v>
      </c>
      <c r="T260" s="706"/>
      <c r="U260" s="242">
        <v>0</v>
      </c>
    </row>
    <row r="261" spans="1:21" ht="14.4" customHeight="1" x14ac:dyDescent="0.3">
      <c r="A261" s="680">
        <v>50</v>
      </c>
      <c r="B261" s="671" t="s">
        <v>536</v>
      </c>
      <c r="C261" s="671">
        <v>89301502</v>
      </c>
      <c r="D261" s="703" t="s">
        <v>2487</v>
      </c>
      <c r="E261" s="704" t="s">
        <v>1920</v>
      </c>
      <c r="F261" s="671" t="s">
        <v>1912</v>
      </c>
      <c r="G261" s="671" t="s">
        <v>2245</v>
      </c>
      <c r="H261" s="671" t="s">
        <v>535</v>
      </c>
      <c r="I261" s="671" t="s">
        <v>2246</v>
      </c>
      <c r="J261" s="671" t="s">
        <v>2247</v>
      </c>
      <c r="K261" s="671" t="s">
        <v>2145</v>
      </c>
      <c r="L261" s="705">
        <v>0</v>
      </c>
      <c r="M261" s="705">
        <v>0</v>
      </c>
      <c r="N261" s="671">
        <v>1</v>
      </c>
      <c r="O261" s="706">
        <v>0.5</v>
      </c>
      <c r="P261" s="705"/>
      <c r="Q261" s="682"/>
      <c r="R261" s="671"/>
      <c r="S261" s="682">
        <v>0</v>
      </c>
      <c r="T261" s="706"/>
      <c r="U261" s="242">
        <v>0</v>
      </c>
    </row>
    <row r="262" spans="1:21" ht="14.4" customHeight="1" x14ac:dyDescent="0.3">
      <c r="A262" s="680">
        <v>50</v>
      </c>
      <c r="B262" s="671" t="s">
        <v>536</v>
      </c>
      <c r="C262" s="671">
        <v>89301502</v>
      </c>
      <c r="D262" s="703" t="s">
        <v>2487</v>
      </c>
      <c r="E262" s="704" t="s">
        <v>1920</v>
      </c>
      <c r="F262" s="671" t="s">
        <v>1913</v>
      </c>
      <c r="G262" s="671" t="s">
        <v>2248</v>
      </c>
      <c r="H262" s="671" t="s">
        <v>535</v>
      </c>
      <c r="I262" s="671" t="s">
        <v>2249</v>
      </c>
      <c r="J262" s="671" t="s">
        <v>2250</v>
      </c>
      <c r="K262" s="671" t="s">
        <v>2251</v>
      </c>
      <c r="L262" s="705">
        <v>600</v>
      </c>
      <c r="M262" s="705">
        <v>600</v>
      </c>
      <c r="N262" s="671">
        <v>1</v>
      </c>
      <c r="O262" s="706">
        <v>1</v>
      </c>
      <c r="P262" s="705"/>
      <c r="Q262" s="682">
        <v>0</v>
      </c>
      <c r="R262" s="671"/>
      <c r="S262" s="682">
        <v>0</v>
      </c>
      <c r="T262" s="706"/>
      <c r="U262" s="242">
        <v>0</v>
      </c>
    </row>
    <row r="263" spans="1:21" ht="14.4" customHeight="1" x14ac:dyDescent="0.3">
      <c r="A263" s="680">
        <v>50</v>
      </c>
      <c r="B263" s="671" t="s">
        <v>536</v>
      </c>
      <c r="C263" s="671">
        <v>89301502</v>
      </c>
      <c r="D263" s="703" t="s">
        <v>2487</v>
      </c>
      <c r="E263" s="704" t="s">
        <v>1921</v>
      </c>
      <c r="F263" s="671" t="s">
        <v>1912</v>
      </c>
      <c r="G263" s="671" t="s">
        <v>2025</v>
      </c>
      <c r="H263" s="671" t="s">
        <v>1039</v>
      </c>
      <c r="I263" s="671" t="s">
        <v>1271</v>
      </c>
      <c r="J263" s="671" t="s">
        <v>1272</v>
      </c>
      <c r="K263" s="671" t="s">
        <v>1860</v>
      </c>
      <c r="L263" s="705">
        <v>69.86</v>
      </c>
      <c r="M263" s="705">
        <v>69.86</v>
      </c>
      <c r="N263" s="671">
        <v>1</v>
      </c>
      <c r="O263" s="706">
        <v>1</v>
      </c>
      <c r="P263" s="705">
        <v>69.86</v>
      </c>
      <c r="Q263" s="682">
        <v>1</v>
      </c>
      <c r="R263" s="671">
        <v>1</v>
      </c>
      <c r="S263" s="682">
        <v>1</v>
      </c>
      <c r="T263" s="706">
        <v>1</v>
      </c>
      <c r="U263" s="242">
        <v>1</v>
      </c>
    </row>
    <row r="264" spans="1:21" ht="14.4" customHeight="1" x14ac:dyDescent="0.3">
      <c r="A264" s="680">
        <v>50</v>
      </c>
      <c r="B264" s="671" t="s">
        <v>536</v>
      </c>
      <c r="C264" s="671">
        <v>89301502</v>
      </c>
      <c r="D264" s="703" t="s">
        <v>2487</v>
      </c>
      <c r="E264" s="704" t="s">
        <v>1922</v>
      </c>
      <c r="F264" s="671" t="s">
        <v>1912</v>
      </c>
      <c r="G264" s="671" t="s">
        <v>2025</v>
      </c>
      <c r="H264" s="671" t="s">
        <v>535</v>
      </c>
      <c r="I264" s="671" t="s">
        <v>2252</v>
      </c>
      <c r="J264" s="671" t="s">
        <v>2253</v>
      </c>
      <c r="K264" s="671" t="s">
        <v>1860</v>
      </c>
      <c r="L264" s="705">
        <v>69.86</v>
      </c>
      <c r="M264" s="705">
        <v>69.86</v>
      </c>
      <c r="N264" s="671">
        <v>1</v>
      </c>
      <c r="O264" s="706">
        <v>1</v>
      </c>
      <c r="P264" s="705">
        <v>69.86</v>
      </c>
      <c r="Q264" s="682">
        <v>1</v>
      </c>
      <c r="R264" s="671">
        <v>1</v>
      </c>
      <c r="S264" s="682">
        <v>1</v>
      </c>
      <c r="T264" s="706">
        <v>1</v>
      </c>
      <c r="U264" s="242">
        <v>1</v>
      </c>
    </row>
    <row r="265" spans="1:21" ht="14.4" customHeight="1" x14ac:dyDescent="0.3">
      <c r="A265" s="680">
        <v>50</v>
      </c>
      <c r="B265" s="671" t="s">
        <v>536</v>
      </c>
      <c r="C265" s="671">
        <v>89301502</v>
      </c>
      <c r="D265" s="703" t="s">
        <v>2487</v>
      </c>
      <c r="E265" s="704" t="s">
        <v>1923</v>
      </c>
      <c r="F265" s="671" t="s">
        <v>1912</v>
      </c>
      <c r="G265" s="671" t="s">
        <v>2254</v>
      </c>
      <c r="H265" s="671" t="s">
        <v>1039</v>
      </c>
      <c r="I265" s="671" t="s">
        <v>1267</v>
      </c>
      <c r="J265" s="671" t="s">
        <v>1268</v>
      </c>
      <c r="K265" s="671" t="s">
        <v>1860</v>
      </c>
      <c r="L265" s="705">
        <v>184.22</v>
      </c>
      <c r="M265" s="705">
        <v>184.22</v>
      </c>
      <c r="N265" s="671">
        <v>1</v>
      </c>
      <c r="O265" s="706">
        <v>0.5</v>
      </c>
      <c r="P265" s="705"/>
      <c r="Q265" s="682">
        <v>0</v>
      </c>
      <c r="R265" s="671"/>
      <c r="S265" s="682">
        <v>0</v>
      </c>
      <c r="T265" s="706"/>
      <c r="U265" s="242">
        <v>0</v>
      </c>
    </row>
    <row r="266" spans="1:21" ht="14.4" customHeight="1" x14ac:dyDescent="0.3">
      <c r="A266" s="680">
        <v>50</v>
      </c>
      <c r="B266" s="671" t="s">
        <v>536</v>
      </c>
      <c r="C266" s="671">
        <v>89301502</v>
      </c>
      <c r="D266" s="703" t="s">
        <v>2487</v>
      </c>
      <c r="E266" s="704" t="s">
        <v>1923</v>
      </c>
      <c r="F266" s="671" t="s">
        <v>1912</v>
      </c>
      <c r="G266" s="671" t="s">
        <v>2255</v>
      </c>
      <c r="H266" s="671" t="s">
        <v>535</v>
      </c>
      <c r="I266" s="671" t="s">
        <v>2256</v>
      </c>
      <c r="J266" s="671" t="s">
        <v>657</v>
      </c>
      <c r="K266" s="671" t="s">
        <v>1818</v>
      </c>
      <c r="L266" s="705">
        <v>115.3</v>
      </c>
      <c r="M266" s="705">
        <v>115.3</v>
      </c>
      <c r="N266" s="671">
        <v>1</v>
      </c>
      <c r="O266" s="706">
        <v>0.5</v>
      </c>
      <c r="P266" s="705"/>
      <c r="Q266" s="682">
        <v>0</v>
      </c>
      <c r="R266" s="671"/>
      <c r="S266" s="682">
        <v>0</v>
      </c>
      <c r="T266" s="706"/>
      <c r="U266" s="242">
        <v>0</v>
      </c>
    </row>
    <row r="267" spans="1:21" ht="14.4" customHeight="1" x14ac:dyDescent="0.3">
      <c r="A267" s="680">
        <v>50</v>
      </c>
      <c r="B267" s="671" t="s">
        <v>536</v>
      </c>
      <c r="C267" s="671">
        <v>89301502</v>
      </c>
      <c r="D267" s="703" t="s">
        <v>2487</v>
      </c>
      <c r="E267" s="704" t="s">
        <v>1923</v>
      </c>
      <c r="F267" s="671" t="s">
        <v>1912</v>
      </c>
      <c r="G267" s="671" t="s">
        <v>2190</v>
      </c>
      <c r="H267" s="671" t="s">
        <v>1039</v>
      </c>
      <c r="I267" s="671" t="s">
        <v>2257</v>
      </c>
      <c r="J267" s="671" t="s">
        <v>2258</v>
      </c>
      <c r="K267" s="671" t="s">
        <v>2259</v>
      </c>
      <c r="L267" s="705">
        <v>87.6</v>
      </c>
      <c r="M267" s="705">
        <v>175.2</v>
      </c>
      <c r="N267" s="671">
        <v>2</v>
      </c>
      <c r="O267" s="706">
        <v>0.5</v>
      </c>
      <c r="P267" s="705">
        <v>175.2</v>
      </c>
      <c r="Q267" s="682">
        <v>1</v>
      </c>
      <c r="R267" s="671">
        <v>2</v>
      </c>
      <c r="S267" s="682">
        <v>1</v>
      </c>
      <c r="T267" s="706">
        <v>0.5</v>
      </c>
      <c r="U267" s="242">
        <v>1</v>
      </c>
    </row>
    <row r="268" spans="1:21" ht="14.4" customHeight="1" x14ac:dyDescent="0.3">
      <c r="A268" s="680">
        <v>50</v>
      </c>
      <c r="B268" s="671" t="s">
        <v>536</v>
      </c>
      <c r="C268" s="671">
        <v>89301502</v>
      </c>
      <c r="D268" s="703" t="s">
        <v>2487</v>
      </c>
      <c r="E268" s="704" t="s">
        <v>1923</v>
      </c>
      <c r="F268" s="671" t="s">
        <v>1912</v>
      </c>
      <c r="G268" s="671" t="s">
        <v>2260</v>
      </c>
      <c r="H268" s="671" t="s">
        <v>1039</v>
      </c>
      <c r="I268" s="671" t="s">
        <v>2261</v>
      </c>
      <c r="J268" s="671" t="s">
        <v>2262</v>
      </c>
      <c r="K268" s="671" t="s">
        <v>2263</v>
      </c>
      <c r="L268" s="705">
        <v>0</v>
      </c>
      <c r="M268" s="705">
        <v>0</v>
      </c>
      <c r="N268" s="671">
        <v>5</v>
      </c>
      <c r="O268" s="706">
        <v>1.5</v>
      </c>
      <c r="P268" s="705">
        <v>0</v>
      </c>
      <c r="Q268" s="682"/>
      <c r="R268" s="671">
        <v>5</v>
      </c>
      <c r="S268" s="682">
        <v>1</v>
      </c>
      <c r="T268" s="706">
        <v>1.5</v>
      </c>
      <c r="U268" s="242">
        <v>1</v>
      </c>
    </row>
    <row r="269" spans="1:21" ht="14.4" customHeight="1" x14ac:dyDescent="0.3">
      <c r="A269" s="680">
        <v>50</v>
      </c>
      <c r="B269" s="671" t="s">
        <v>536</v>
      </c>
      <c r="C269" s="671">
        <v>89301502</v>
      </c>
      <c r="D269" s="703" t="s">
        <v>2487</v>
      </c>
      <c r="E269" s="704" t="s">
        <v>1924</v>
      </c>
      <c r="F269" s="671" t="s">
        <v>1912</v>
      </c>
      <c r="G269" s="671" t="s">
        <v>2109</v>
      </c>
      <c r="H269" s="671" t="s">
        <v>535</v>
      </c>
      <c r="I269" s="671" t="s">
        <v>2264</v>
      </c>
      <c r="J269" s="671" t="s">
        <v>2265</v>
      </c>
      <c r="K269" s="671" t="s">
        <v>2266</v>
      </c>
      <c r="L269" s="705">
        <v>138.5</v>
      </c>
      <c r="M269" s="705">
        <v>277</v>
      </c>
      <c r="N269" s="671">
        <v>2</v>
      </c>
      <c r="O269" s="706">
        <v>0.5</v>
      </c>
      <c r="P269" s="705">
        <v>277</v>
      </c>
      <c r="Q269" s="682">
        <v>1</v>
      </c>
      <c r="R269" s="671">
        <v>2</v>
      </c>
      <c r="S269" s="682">
        <v>1</v>
      </c>
      <c r="T269" s="706">
        <v>0.5</v>
      </c>
      <c r="U269" s="242">
        <v>1</v>
      </c>
    </row>
    <row r="270" spans="1:21" ht="14.4" customHeight="1" x14ac:dyDescent="0.3">
      <c r="A270" s="680">
        <v>50</v>
      </c>
      <c r="B270" s="671" t="s">
        <v>536</v>
      </c>
      <c r="C270" s="671">
        <v>89301502</v>
      </c>
      <c r="D270" s="703" t="s">
        <v>2487</v>
      </c>
      <c r="E270" s="704" t="s">
        <v>1924</v>
      </c>
      <c r="F270" s="671" t="s">
        <v>1912</v>
      </c>
      <c r="G270" s="671" t="s">
        <v>2267</v>
      </c>
      <c r="H270" s="671" t="s">
        <v>1039</v>
      </c>
      <c r="I270" s="671" t="s">
        <v>2268</v>
      </c>
      <c r="J270" s="671" t="s">
        <v>2269</v>
      </c>
      <c r="K270" s="671" t="s">
        <v>2270</v>
      </c>
      <c r="L270" s="705">
        <v>95.25</v>
      </c>
      <c r="M270" s="705">
        <v>285.75</v>
      </c>
      <c r="N270" s="671">
        <v>3</v>
      </c>
      <c r="O270" s="706">
        <v>1</v>
      </c>
      <c r="P270" s="705">
        <v>190.5</v>
      </c>
      <c r="Q270" s="682">
        <v>0.66666666666666663</v>
      </c>
      <c r="R270" s="671">
        <v>2</v>
      </c>
      <c r="S270" s="682">
        <v>0.66666666666666663</v>
      </c>
      <c r="T270" s="706">
        <v>0.5</v>
      </c>
      <c r="U270" s="242">
        <v>0.5</v>
      </c>
    </row>
    <row r="271" spans="1:21" ht="14.4" customHeight="1" x14ac:dyDescent="0.3">
      <c r="A271" s="680">
        <v>50</v>
      </c>
      <c r="B271" s="671" t="s">
        <v>536</v>
      </c>
      <c r="C271" s="671">
        <v>89301502</v>
      </c>
      <c r="D271" s="703" t="s">
        <v>2487</v>
      </c>
      <c r="E271" s="704" t="s">
        <v>1924</v>
      </c>
      <c r="F271" s="671" t="s">
        <v>1912</v>
      </c>
      <c r="G271" s="671" t="s">
        <v>2157</v>
      </c>
      <c r="H271" s="671" t="s">
        <v>1039</v>
      </c>
      <c r="I271" s="671" t="s">
        <v>2271</v>
      </c>
      <c r="J271" s="671" t="s">
        <v>2272</v>
      </c>
      <c r="K271" s="671" t="s">
        <v>2273</v>
      </c>
      <c r="L271" s="705">
        <v>10.73</v>
      </c>
      <c r="M271" s="705">
        <v>21.46</v>
      </c>
      <c r="N271" s="671">
        <v>2</v>
      </c>
      <c r="O271" s="706">
        <v>0.5</v>
      </c>
      <c r="P271" s="705"/>
      <c r="Q271" s="682">
        <v>0</v>
      </c>
      <c r="R271" s="671"/>
      <c r="S271" s="682">
        <v>0</v>
      </c>
      <c r="T271" s="706"/>
      <c r="U271" s="242">
        <v>0</v>
      </c>
    </row>
    <row r="272" spans="1:21" ht="14.4" customHeight="1" x14ac:dyDescent="0.3">
      <c r="A272" s="680">
        <v>50</v>
      </c>
      <c r="B272" s="671" t="s">
        <v>536</v>
      </c>
      <c r="C272" s="671">
        <v>89301502</v>
      </c>
      <c r="D272" s="703" t="s">
        <v>2487</v>
      </c>
      <c r="E272" s="704" t="s">
        <v>1924</v>
      </c>
      <c r="F272" s="671" t="s">
        <v>1912</v>
      </c>
      <c r="G272" s="671" t="s">
        <v>2157</v>
      </c>
      <c r="H272" s="671" t="s">
        <v>1039</v>
      </c>
      <c r="I272" s="671" t="s">
        <v>2274</v>
      </c>
      <c r="J272" s="671" t="s">
        <v>2275</v>
      </c>
      <c r="K272" s="671" t="s">
        <v>2276</v>
      </c>
      <c r="L272" s="705">
        <v>17.690000000000001</v>
      </c>
      <c r="M272" s="705">
        <v>70.760000000000005</v>
      </c>
      <c r="N272" s="671">
        <v>4</v>
      </c>
      <c r="O272" s="706">
        <v>1.5</v>
      </c>
      <c r="P272" s="705">
        <v>35.380000000000003</v>
      </c>
      <c r="Q272" s="682">
        <v>0.5</v>
      </c>
      <c r="R272" s="671">
        <v>2</v>
      </c>
      <c r="S272" s="682">
        <v>0.5</v>
      </c>
      <c r="T272" s="706">
        <v>0.5</v>
      </c>
      <c r="U272" s="242">
        <v>0.33333333333333331</v>
      </c>
    </row>
    <row r="273" spans="1:21" ht="14.4" customHeight="1" x14ac:dyDescent="0.3">
      <c r="A273" s="680">
        <v>50</v>
      </c>
      <c r="B273" s="671" t="s">
        <v>536</v>
      </c>
      <c r="C273" s="671">
        <v>89301502</v>
      </c>
      <c r="D273" s="703" t="s">
        <v>2487</v>
      </c>
      <c r="E273" s="704" t="s">
        <v>1924</v>
      </c>
      <c r="F273" s="671" t="s">
        <v>1912</v>
      </c>
      <c r="G273" s="671" t="s">
        <v>1975</v>
      </c>
      <c r="H273" s="671" t="s">
        <v>1039</v>
      </c>
      <c r="I273" s="671" t="s">
        <v>1055</v>
      </c>
      <c r="J273" s="671" t="s">
        <v>1052</v>
      </c>
      <c r="K273" s="671" t="s">
        <v>1829</v>
      </c>
      <c r="L273" s="705">
        <v>150.55000000000001</v>
      </c>
      <c r="M273" s="705">
        <v>752.75</v>
      </c>
      <c r="N273" s="671">
        <v>5</v>
      </c>
      <c r="O273" s="706">
        <v>1</v>
      </c>
      <c r="P273" s="705">
        <v>752.75</v>
      </c>
      <c r="Q273" s="682">
        <v>1</v>
      </c>
      <c r="R273" s="671">
        <v>5</v>
      </c>
      <c r="S273" s="682">
        <v>1</v>
      </c>
      <c r="T273" s="706">
        <v>1</v>
      </c>
      <c r="U273" s="242">
        <v>1</v>
      </c>
    </row>
    <row r="274" spans="1:21" ht="14.4" customHeight="1" x14ac:dyDescent="0.3">
      <c r="A274" s="680">
        <v>50</v>
      </c>
      <c r="B274" s="671" t="s">
        <v>536</v>
      </c>
      <c r="C274" s="671">
        <v>89301502</v>
      </c>
      <c r="D274" s="703" t="s">
        <v>2487</v>
      </c>
      <c r="E274" s="704" t="s">
        <v>1924</v>
      </c>
      <c r="F274" s="671" t="s">
        <v>1912</v>
      </c>
      <c r="G274" s="671" t="s">
        <v>1931</v>
      </c>
      <c r="H274" s="671" t="s">
        <v>1039</v>
      </c>
      <c r="I274" s="671" t="s">
        <v>2160</v>
      </c>
      <c r="J274" s="671" t="s">
        <v>1542</v>
      </c>
      <c r="K274" s="671" t="s">
        <v>1543</v>
      </c>
      <c r="L274" s="705">
        <v>270.69</v>
      </c>
      <c r="M274" s="705">
        <v>270.69</v>
      </c>
      <c r="N274" s="671">
        <v>1</v>
      </c>
      <c r="O274" s="706">
        <v>0.5</v>
      </c>
      <c r="P274" s="705"/>
      <c r="Q274" s="682">
        <v>0</v>
      </c>
      <c r="R274" s="671"/>
      <c r="S274" s="682">
        <v>0</v>
      </c>
      <c r="T274" s="706"/>
      <c r="U274" s="242">
        <v>0</v>
      </c>
    </row>
    <row r="275" spans="1:21" ht="14.4" customHeight="1" x14ac:dyDescent="0.3">
      <c r="A275" s="680">
        <v>50</v>
      </c>
      <c r="B275" s="671" t="s">
        <v>536</v>
      </c>
      <c r="C275" s="671">
        <v>89301502</v>
      </c>
      <c r="D275" s="703" t="s">
        <v>2487</v>
      </c>
      <c r="E275" s="704" t="s">
        <v>1924</v>
      </c>
      <c r="F275" s="671" t="s">
        <v>1912</v>
      </c>
      <c r="G275" s="671" t="s">
        <v>1931</v>
      </c>
      <c r="H275" s="671" t="s">
        <v>535</v>
      </c>
      <c r="I275" s="671" t="s">
        <v>2277</v>
      </c>
      <c r="J275" s="671" t="s">
        <v>2278</v>
      </c>
      <c r="K275" s="671" t="s">
        <v>1543</v>
      </c>
      <c r="L275" s="705">
        <v>270.69</v>
      </c>
      <c r="M275" s="705">
        <v>270.69</v>
      </c>
      <c r="N275" s="671">
        <v>1</v>
      </c>
      <c r="O275" s="706">
        <v>0.5</v>
      </c>
      <c r="P275" s="705"/>
      <c r="Q275" s="682">
        <v>0</v>
      </c>
      <c r="R275" s="671"/>
      <c r="S275" s="682">
        <v>0</v>
      </c>
      <c r="T275" s="706"/>
      <c r="U275" s="242">
        <v>0</v>
      </c>
    </row>
    <row r="276" spans="1:21" ht="14.4" customHeight="1" x14ac:dyDescent="0.3">
      <c r="A276" s="680">
        <v>50</v>
      </c>
      <c r="B276" s="671" t="s">
        <v>536</v>
      </c>
      <c r="C276" s="671">
        <v>89301502</v>
      </c>
      <c r="D276" s="703" t="s">
        <v>2487</v>
      </c>
      <c r="E276" s="704" t="s">
        <v>1924</v>
      </c>
      <c r="F276" s="671" t="s">
        <v>1912</v>
      </c>
      <c r="G276" s="671" t="s">
        <v>2279</v>
      </c>
      <c r="H276" s="671" t="s">
        <v>535</v>
      </c>
      <c r="I276" s="671" t="s">
        <v>1627</v>
      </c>
      <c r="J276" s="671" t="s">
        <v>1628</v>
      </c>
      <c r="K276" s="671" t="s">
        <v>2280</v>
      </c>
      <c r="L276" s="705">
        <v>68.819999999999993</v>
      </c>
      <c r="M276" s="705">
        <v>206.45999999999998</v>
      </c>
      <c r="N276" s="671">
        <v>3</v>
      </c>
      <c r="O276" s="706">
        <v>0.5</v>
      </c>
      <c r="P276" s="705">
        <v>206.45999999999998</v>
      </c>
      <c r="Q276" s="682">
        <v>1</v>
      </c>
      <c r="R276" s="671">
        <v>3</v>
      </c>
      <c r="S276" s="682">
        <v>1</v>
      </c>
      <c r="T276" s="706">
        <v>0.5</v>
      </c>
      <c r="U276" s="242">
        <v>1</v>
      </c>
    </row>
    <row r="277" spans="1:21" ht="14.4" customHeight="1" x14ac:dyDescent="0.3">
      <c r="A277" s="680">
        <v>50</v>
      </c>
      <c r="B277" s="671" t="s">
        <v>536</v>
      </c>
      <c r="C277" s="671">
        <v>89301502</v>
      </c>
      <c r="D277" s="703" t="s">
        <v>2487</v>
      </c>
      <c r="E277" s="704" t="s">
        <v>1924</v>
      </c>
      <c r="F277" s="671" t="s">
        <v>1912</v>
      </c>
      <c r="G277" s="671" t="s">
        <v>1934</v>
      </c>
      <c r="H277" s="671" t="s">
        <v>1039</v>
      </c>
      <c r="I277" s="671" t="s">
        <v>1976</v>
      </c>
      <c r="J277" s="671" t="s">
        <v>1977</v>
      </c>
      <c r="K277" s="671" t="s">
        <v>1978</v>
      </c>
      <c r="L277" s="705">
        <v>312.54000000000002</v>
      </c>
      <c r="M277" s="705">
        <v>937.62000000000012</v>
      </c>
      <c r="N277" s="671">
        <v>3</v>
      </c>
      <c r="O277" s="706">
        <v>0.5</v>
      </c>
      <c r="P277" s="705"/>
      <c r="Q277" s="682">
        <v>0</v>
      </c>
      <c r="R277" s="671"/>
      <c r="S277" s="682">
        <v>0</v>
      </c>
      <c r="T277" s="706"/>
      <c r="U277" s="242">
        <v>0</v>
      </c>
    </row>
    <row r="278" spans="1:21" ht="14.4" customHeight="1" x14ac:dyDescent="0.3">
      <c r="A278" s="680">
        <v>50</v>
      </c>
      <c r="B278" s="671" t="s">
        <v>536</v>
      </c>
      <c r="C278" s="671">
        <v>89301502</v>
      </c>
      <c r="D278" s="703" t="s">
        <v>2487</v>
      </c>
      <c r="E278" s="704" t="s">
        <v>1924</v>
      </c>
      <c r="F278" s="671" t="s">
        <v>1912</v>
      </c>
      <c r="G278" s="671" t="s">
        <v>1934</v>
      </c>
      <c r="H278" s="671" t="s">
        <v>1039</v>
      </c>
      <c r="I278" s="671" t="s">
        <v>1136</v>
      </c>
      <c r="J278" s="671" t="s">
        <v>1137</v>
      </c>
      <c r="K278" s="671" t="s">
        <v>1843</v>
      </c>
      <c r="L278" s="705">
        <v>435.3</v>
      </c>
      <c r="M278" s="705">
        <v>1741.2</v>
      </c>
      <c r="N278" s="671">
        <v>4</v>
      </c>
      <c r="O278" s="706">
        <v>2</v>
      </c>
      <c r="P278" s="705">
        <v>870.6</v>
      </c>
      <c r="Q278" s="682">
        <v>0.5</v>
      </c>
      <c r="R278" s="671">
        <v>2</v>
      </c>
      <c r="S278" s="682">
        <v>0.5</v>
      </c>
      <c r="T278" s="706">
        <v>1</v>
      </c>
      <c r="U278" s="242">
        <v>0.5</v>
      </c>
    </row>
    <row r="279" spans="1:21" ht="14.4" customHeight="1" x14ac:dyDescent="0.3">
      <c r="A279" s="680">
        <v>50</v>
      </c>
      <c r="B279" s="671" t="s">
        <v>536</v>
      </c>
      <c r="C279" s="671">
        <v>89301502</v>
      </c>
      <c r="D279" s="703" t="s">
        <v>2487</v>
      </c>
      <c r="E279" s="704" t="s">
        <v>1924</v>
      </c>
      <c r="F279" s="671" t="s">
        <v>1912</v>
      </c>
      <c r="G279" s="671" t="s">
        <v>1934</v>
      </c>
      <c r="H279" s="671" t="s">
        <v>1039</v>
      </c>
      <c r="I279" s="671" t="s">
        <v>1183</v>
      </c>
      <c r="J279" s="671" t="s">
        <v>1184</v>
      </c>
      <c r="K279" s="671" t="s">
        <v>1845</v>
      </c>
      <c r="L279" s="705">
        <v>672.94</v>
      </c>
      <c r="M279" s="705">
        <v>1345.88</v>
      </c>
      <c r="N279" s="671">
        <v>2</v>
      </c>
      <c r="O279" s="706">
        <v>1.5</v>
      </c>
      <c r="P279" s="705"/>
      <c r="Q279" s="682">
        <v>0</v>
      </c>
      <c r="R279" s="671"/>
      <c r="S279" s="682">
        <v>0</v>
      </c>
      <c r="T279" s="706"/>
      <c r="U279" s="242">
        <v>0</v>
      </c>
    </row>
    <row r="280" spans="1:21" ht="14.4" customHeight="1" x14ac:dyDescent="0.3">
      <c r="A280" s="680">
        <v>50</v>
      </c>
      <c r="B280" s="671" t="s">
        <v>536</v>
      </c>
      <c r="C280" s="671">
        <v>89301502</v>
      </c>
      <c r="D280" s="703" t="s">
        <v>2487</v>
      </c>
      <c r="E280" s="704" t="s">
        <v>1924</v>
      </c>
      <c r="F280" s="671" t="s">
        <v>1912</v>
      </c>
      <c r="G280" s="671" t="s">
        <v>2281</v>
      </c>
      <c r="H280" s="671" t="s">
        <v>1039</v>
      </c>
      <c r="I280" s="671" t="s">
        <v>2282</v>
      </c>
      <c r="J280" s="671" t="s">
        <v>2283</v>
      </c>
      <c r="K280" s="671" t="s">
        <v>993</v>
      </c>
      <c r="L280" s="705">
        <v>772.93</v>
      </c>
      <c r="M280" s="705">
        <v>1545.86</v>
      </c>
      <c r="N280" s="671">
        <v>2</v>
      </c>
      <c r="O280" s="706">
        <v>1.5</v>
      </c>
      <c r="P280" s="705">
        <v>772.93</v>
      </c>
      <c r="Q280" s="682">
        <v>0.5</v>
      </c>
      <c r="R280" s="671">
        <v>1</v>
      </c>
      <c r="S280" s="682">
        <v>0.5</v>
      </c>
      <c r="T280" s="706">
        <v>1</v>
      </c>
      <c r="U280" s="242">
        <v>0.66666666666666663</v>
      </c>
    </row>
    <row r="281" spans="1:21" ht="14.4" customHeight="1" x14ac:dyDescent="0.3">
      <c r="A281" s="680">
        <v>50</v>
      </c>
      <c r="B281" s="671" t="s">
        <v>536</v>
      </c>
      <c r="C281" s="671">
        <v>89301502</v>
      </c>
      <c r="D281" s="703" t="s">
        <v>2487</v>
      </c>
      <c r="E281" s="704" t="s">
        <v>1924</v>
      </c>
      <c r="F281" s="671" t="s">
        <v>1912</v>
      </c>
      <c r="G281" s="671" t="s">
        <v>2284</v>
      </c>
      <c r="H281" s="671" t="s">
        <v>1039</v>
      </c>
      <c r="I281" s="671" t="s">
        <v>1656</v>
      </c>
      <c r="J281" s="671" t="s">
        <v>1657</v>
      </c>
      <c r="K281" s="671" t="s">
        <v>1658</v>
      </c>
      <c r="L281" s="705">
        <v>222.25</v>
      </c>
      <c r="M281" s="705">
        <v>444.5</v>
      </c>
      <c r="N281" s="671">
        <v>2</v>
      </c>
      <c r="O281" s="706">
        <v>0.5</v>
      </c>
      <c r="P281" s="705">
        <v>444.5</v>
      </c>
      <c r="Q281" s="682">
        <v>1</v>
      </c>
      <c r="R281" s="671">
        <v>2</v>
      </c>
      <c r="S281" s="682">
        <v>1</v>
      </c>
      <c r="T281" s="706">
        <v>0.5</v>
      </c>
      <c r="U281" s="242">
        <v>1</v>
      </c>
    </row>
    <row r="282" spans="1:21" ht="14.4" customHeight="1" x14ac:dyDescent="0.3">
      <c r="A282" s="680">
        <v>50</v>
      </c>
      <c r="B282" s="671" t="s">
        <v>536</v>
      </c>
      <c r="C282" s="671">
        <v>89301502</v>
      </c>
      <c r="D282" s="703" t="s">
        <v>2487</v>
      </c>
      <c r="E282" s="704" t="s">
        <v>1924</v>
      </c>
      <c r="F282" s="671" t="s">
        <v>1912</v>
      </c>
      <c r="G282" s="671" t="s">
        <v>2024</v>
      </c>
      <c r="H282" s="671" t="s">
        <v>1039</v>
      </c>
      <c r="I282" s="671" t="s">
        <v>1099</v>
      </c>
      <c r="J282" s="671" t="s">
        <v>1100</v>
      </c>
      <c r="K282" s="671" t="s">
        <v>1101</v>
      </c>
      <c r="L282" s="705">
        <v>41.89</v>
      </c>
      <c r="M282" s="705">
        <v>83.78</v>
      </c>
      <c r="N282" s="671">
        <v>2</v>
      </c>
      <c r="O282" s="706">
        <v>0.5</v>
      </c>
      <c r="P282" s="705"/>
      <c r="Q282" s="682">
        <v>0</v>
      </c>
      <c r="R282" s="671"/>
      <c r="S282" s="682">
        <v>0</v>
      </c>
      <c r="T282" s="706"/>
      <c r="U282" s="242">
        <v>0</v>
      </c>
    </row>
    <row r="283" spans="1:21" ht="14.4" customHeight="1" x14ac:dyDescent="0.3">
      <c r="A283" s="680">
        <v>50</v>
      </c>
      <c r="B283" s="671" t="s">
        <v>536</v>
      </c>
      <c r="C283" s="671">
        <v>89301502</v>
      </c>
      <c r="D283" s="703" t="s">
        <v>2487</v>
      </c>
      <c r="E283" s="704" t="s">
        <v>1924</v>
      </c>
      <c r="F283" s="671" t="s">
        <v>1912</v>
      </c>
      <c r="G283" s="671" t="s">
        <v>2024</v>
      </c>
      <c r="H283" s="671" t="s">
        <v>1039</v>
      </c>
      <c r="I283" s="671" t="s">
        <v>1103</v>
      </c>
      <c r="J283" s="671" t="s">
        <v>1100</v>
      </c>
      <c r="K283" s="671" t="s">
        <v>1104</v>
      </c>
      <c r="L283" s="705">
        <v>146.63</v>
      </c>
      <c r="M283" s="705">
        <v>146.63</v>
      </c>
      <c r="N283" s="671">
        <v>1</v>
      </c>
      <c r="O283" s="706">
        <v>0.5</v>
      </c>
      <c r="P283" s="705">
        <v>146.63</v>
      </c>
      <c r="Q283" s="682">
        <v>1</v>
      </c>
      <c r="R283" s="671">
        <v>1</v>
      </c>
      <c r="S283" s="682">
        <v>1</v>
      </c>
      <c r="T283" s="706">
        <v>0.5</v>
      </c>
      <c r="U283" s="242">
        <v>1</v>
      </c>
    </row>
    <row r="284" spans="1:21" ht="14.4" customHeight="1" x14ac:dyDescent="0.3">
      <c r="A284" s="680">
        <v>50</v>
      </c>
      <c r="B284" s="671" t="s">
        <v>536</v>
      </c>
      <c r="C284" s="671">
        <v>89301502</v>
      </c>
      <c r="D284" s="703" t="s">
        <v>2487</v>
      </c>
      <c r="E284" s="704" t="s">
        <v>1924</v>
      </c>
      <c r="F284" s="671" t="s">
        <v>1912</v>
      </c>
      <c r="G284" s="671" t="s">
        <v>1935</v>
      </c>
      <c r="H284" s="671" t="s">
        <v>535</v>
      </c>
      <c r="I284" s="671" t="s">
        <v>2285</v>
      </c>
      <c r="J284" s="671" t="s">
        <v>1089</v>
      </c>
      <c r="K284" s="671" t="s">
        <v>819</v>
      </c>
      <c r="L284" s="705">
        <v>134.66</v>
      </c>
      <c r="M284" s="705">
        <v>134.66</v>
      </c>
      <c r="N284" s="671">
        <v>1</v>
      </c>
      <c r="O284" s="706">
        <v>1</v>
      </c>
      <c r="P284" s="705">
        <v>134.66</v>
      </c>
      <c r="Q284" s="682">
        <v>1</v>
      </c>
      <c r="R284" s="671">
        <v>1</v>
      </c>
      <c r="S284" s="682">
        <v>1</v>
      </c>
      <c r="T284" s="706">
        <v>1</v>
      </c>
      <c r="U284" s="242">
        <v>1</v>
      </c>
    </row>
    <row r="285" spans="1:21" ht="14.4" customHeight="1" x14ac:dyDescent="0.3">
      <c r="A285" s="680">
        <v>50</v>
      </c>
      <c r="B285" s="671" t="s">
        <v>536</v>
      </c>
      <c r="C285" s="671">
        <v>89301502</v>
      </c>
      <c r="D285" s="703" t="s">
        <v>2487</v>
      </c>
      <c r="E285" s="704" t="s">
        <v>1924</v>
      </c>
      <c r="F285" s="671" t="s">
        <v>1912</v>
      </c>
      <c r="G285" s="671" t="s">
        <v>1935</v>
      </c>
      <c r="H285" s="671" t="s">
        <v>1039</v>
      </c>
      <c r="I285" s="671" t="s">
        <v>1088</v>
      </c>
      <c r="J285" s="671" t="s">
        <v>1089</v>
      </c>
      <c r="K285" s="671" t="s">
        <v>1090</v>
      </c>
      <c r="L285" s="705">
        <v>44.89</v>
      </c>
      <c r="M285" s="705">
        <v>628.46</v>
      </c>
      <c r="N285" s="671">
        <v>14</v>
      </c>
      <c r="O285" s="706">
        <v>5</v>
      </c>
      <c r="P285" s="705">
        <v>224.45000000000002</v>
      </c>
      <c r="Q285" s="682">
        <v>0.35714285714285715</v>
      </c>
      <c r="R285" s="671">
        <v>5</v>
      </c>
      <c r="S285" s="682">
        <v>0.35714285714285715</v>
      </c>
      <c r="T285" s="706">
        <v>2</v>
      </c>
      <c r="U285" s="242">
        <v>0.4</v>
      </c>
    </row>
    <row r="286" spans="1:21" ht="14.4" customHeight="1" x14ac:dyDescent="0.3">
      <c r="A286" s="680">
        <v>50</v>
      </c>
      <c r="B286" s="671" t="s">
        <v>536</v>
      </c>
      <c r="C286" s="671">
        <v>89301502</v>
      </c>
      <c r="D286" s="703" t="s">
        <v>2487</v>
      </c>
      <c r="E286" s="704" t="s">
        <v>1924</v>
      </c>
      <c r="F286" s="671" t="s">
        <v>1912</v>
      </c>
      <c r="G286" s="671" t="s">
        <v>1935</v>
      </c>
      <c r="H286" s="671" t="s">
        <v>535</v>
      </c>
      <c r="I286" s="671" t="s">
        <v>2052</v>
      </c>
      <c r="J286" s="671" t="s">
        <v>2053</v>
      </c>
      <c r="K286" s="671" t="s">
        <v>1090</v>
      </c>
      <c r="L286" s="705">
        <v>44.89</v>
      </c>
      <c r="M286" s="705">
        <v>89.78</v>
      </c>
      <c r="N286" s="671">
        <v>2</v>
      </c>
      <c r="O286" s="706">
        <v>1</v>
      </c>
      <c r="P286" s="705"/>
      <c r="Q286" s="682">
        <v>0</v>
      </c>
      <c r="R286" s="671"/>
      <c r="S286" s="682">
        <v>0</v>
      </c>
      <c r="T286" s="706"/>
      <c r="U286" s="242">
        <v>0</v>
      </c>
    </row>
    <row r="287" spans="1:21" ht="14.4" customHeight="1" x14ac:dyDescent="0.3">
      <c r="A287" s="680">
        <v>50</v>
      </c>
      <c r="B287" s="671" t="s">
        <v>536</v>
      </c>
      <c r="C287" s="671">
        <v>89301502</v>
      </c>
      <c r="D287" s="703" t="s">
        <v>2487</v>
      </c>
      <c r="E287" s="704" t="s">
        <v>1924</v>
      </c>
      <c r="F287" s="671" t="s">
        <v>1912</v>
      </c>
      <c r="G287" s="671" t="s">
        <v>2286</v>
      </c>
      <c r="H287" s="671" t="s">
        <v>535</v>
      </c>
      <c r="I287" s="671" t="s">
        <v>749</v>
      </c>
      <c r="J287" s="671" t="s">
        <v>2287</v>
      </c>
      <c r="K287" s="671" t="s">
        <v>1149</v>
      </c>
      <c r="L287" s="705">
        <v>0</v>
      </c>
      <c r="M287" s="705">
        <v>0</v>
      </c>
      <c r="N287" s="671">
        <v>2</v>
      </c>
      <c r="O287" s="706">
        <v>1</v>
      </c>
      <c r="P287" s="705"/>
      <c r="Q287" s="682"/>
      <c r="R287" s="671"/>
      <c r="S287" s="682">
        <v>0</v>
      </c>
      <c r="T287" s="706"/>
      <c r="U287" s="242">
        <v>0</v>
      </c>
    </row>
    <row r="288" spans="1:21" ht="14.4" customHeight="1" x14ac:dyDescent="0.3">
      <c r="A288" s="680">
        <v>50</v>
      </c>
      <c r="B288" s="671" t="s">
        <v>536</v>
      </c>
      <c r="C288" s="671">
        <v>89301502</v>
      </c>
      <c r="D288" s="703" t="s">
        <v>2487</v>
      </c>
      <c r="E288" s="704" t="s">
        <v>1924</v>
      </c>
      <c r="F288" s="671" t="s">
        <v>1912</v>
      </c>
      <c r="G288" s="671" t="s">
        <v>2288</v>
      </c>
      <c r="H288" s="671" t="s">
        <v>535</v>
      </c>
      <c r="I288" s="671" t="s">
        <v>2289</v>
      </c>
      <c r="J288" s="671" t="s">
        <v>2290</v>
      </c>
      <c r="K288" s="671" t="s">
        <v>2291</v>
      </c>
      <c r="L288" s="705">
        <v>0</v>
      </c>
      <c r="M288" s="705">
        <v>0</v>
      </c>
      <c r="N288" s="671">
        <v>1</v>
      </c>
      <c r="O288" s="706">
        <v>0.5</v>
      </c>
      <c r="P288" s="705"/>
      <c r="Q288" s="682"/>
      <c r="R288" s="671"/>
      <c r="S288" s="682">
        <v>0</v>
      </c>
      <c r="T288" s="706"/>
      <c r="U288" s="242">
        <v>0</v>
      </c>
    </row>
    <row r="289" spans="1:21" ht="14.4" customHeight="1" x14ac:dyDescent="0.3">
      <c r="A289" s="680">
        <v>50</v>
      </c>
      <c r="B289" s="671" t="s">
        <v>536</v>
      </c>
      <c r="C289" s="671">
        <v>89301502</v>
      </c>
      <c r="D289" s="703" t="s">
        <v>2487</v>
      </c>
      <c r="E289" s="704" t="s">
        <v>1924</v>
      </c>
      <c r="F289" s="671" t="s">
        <v>1912</v>
      </c>
      <c r="G289" s="671" t="s">
        <v>1936</v>
      </c>
      <c r="H289" s="671" t="s">
        <v>535</v>
      </c>
      <c r="I289" s="671" t="s">
        <v>2292</v>
      </c>
      <c r="J289" s="671" t="s">
        <v>2293</v>
      </c>
      <c r="K289" s="671" t="s">
        <v>1842</v>
      </c>
      <c r="L289" s="705">
        <v>216.16</v>
      </c>
      <c r="M289" s="705">
        <v>648.48</v>
      </c>
      <c r="N289" s="671">
        <v>3</v>
      </c>
      <c r="O289" s="706">
        <v>0.5</v>
      </c>
      <c r="P289" s="705">
        <v>648.48</v>
      </c>
      <c r="Q289" s="682">
        <v>1</v>
      </c>
      <c r="R289" s="671">
        <v>3</v>
      </c>
      <c r="S289" s="682">
        <v>1</v>
      </c>
      <c r="T289" s="706">
        <v>0.5</v>
      </c>
      <c r="U289" s="242">
        <v>1</v>
      </c>
    </row>
    <row r="290" spans="1:21" ht="14.4" customHeight="1" x14ac:dyDescent="0.3">
      <c r="A290" s="680">
        <v>50</v>
      </c>
      <c r="B290" s="671" t="s">
        <v>536</v>
      </c>
      <c r="C290" s="671">
        <v>89301502</v>
      </c>
      <c r="D290" s="703" t="s">
        <v>2487</v>
      </c>
      <c r="E290" s="704" t="s">
        <v>1924</v>
      </c>
      <c r="F290" s="671" t="s">
        <v>1912</v>
      </c>
      <c r="G290" s="671" t="s">
        <v>2165</v>
      </c>
      <c r="H290" s="671" t="s">
        <v>1039</v>
      </c>
      <c r="I290" s="671" t="s">
        <v>2166</v>
      </c>
      <c r="J290" s="671" t="s">
        <v>2167</v>
      </c>
      <c r="K290" s="671" t="s">
        <v>2168</v>
      </c>
      <c r="L290" s="705">
        <v>2118.42</v>
      </c>
      <c r="M290" s="705">
        <v>10592.1</v>
      </c>
      <c r="N290" s="671">
        <v>5</v>
      </c>
      <c r="O290" s="706">
        <v>2</v>
      </c>
      <c r="P290" s="705">
        <v>6355.26</v>
      </c>
      <c r="Q290" s="682">
        <v>0.6</v>
      </c>
      <c r="R290" s="671">
        <v>3</v>
      </c>
      <c r="S290" s="682">
        <v>0.6</v>
      </c>
      <c r="T290" s="706">
        <v>1</v>
      </c>
      <c r="U290" s="242">
        <v>0.5</v>
      </c>
    </row>
    <row r="291" spans="1:21" ht="14.4" customHeight="1" x14ac:dyDescent="0.3">
      <c r="A291" s="680">
        <v>50</v>
      </c>
      <c r="B291" s="671" t="s">
        <v>536</v>
      </c>
      <c r="C291" s="671">
        <v>89301502</v>
      </c>
      <c r="D291" s="703" t="s">
        <v>2487</v>
      </c>
      <c r="E291" s="704" t="s">
        <v>1924</v>
      </c>
      <c r="F291" s="671" t="s">
        <v>1912</v>
      </c>
      <c r="G291" s="671" t="s">
        <v>2255</v>
      </c>
      <c r="H291" s="671" t="s">
        <v>535</v>
      </c>
      <c r="I291" s="671" t="s">
        <v>656</v>
      </c>
      <c r="J291" s="671" t="s">
        <v>657</v>
      </c>
      <c r="K291" s="671" t="s">
        <v>1818</v>
      </c>
      <c r="L291" s="705">
        <v>115.3</v>
      </c>
      <c r="M291" s="705">
        <v>230.6</v>
      </c>
      <c r="N291" s="671">
        <v>2</v>
      </c>
      <c r="O291" s="706">
        <v>0.5</v>
      </c>
      <c r="P291" s="705"/>
      <c r="Q291" s="682">
        <v>0</v>
      </c>
      <c r="R291" s="671"/>
      <c r="S291" s="682">
        <v>0</v>
      </c>
      <c r="T291" s="706"/>
      <c r="U291" s="242">
        <v>0</v>
      </c>
    </row>
    <row r="292" spans="1:21" ht="14.4" customHeight="1" x14ac:dyDescent="0.3">
      <c r="A292" s="680">
        <v>50</v>
      </c>
      <c r="B292" s="671" t="s">
        <v>536</v>
      </c>
      <c r="C292" s="671">
        <v>89301502</v>
      </c>
      <c r="D292" s="703" t="s">
        <v>2487</v>
      </c>
      <c r="E292" s="704" t="s">
        <v>1924</v>
      </c>
      <c r="F292" s="671" t="s">
        <v>1912</v>
      </c>
      <c r="G292" s="671" t="s">
        <v>2294</v>
      </c>
      <c r="H292" s="671" t="s">
        <v>535</v>
      </c>
      <c r="I292" s="671" t="s">
        <v>753</v>
      </c>
      <c r="J292" s="671" t="s">
        <v>754</v>
      </c>
      <c r="K292" s="671" t="s">
        <v>857</v>
      </c>
      <c r="L292" s="705">
        <v>0</v>
      </c>
      <c r="M292" s="705">
        <v>0</v>
      </c>
      <c r="N292" s="671">
        <v>2</v>
      </c>
      <c r="O292" s="706">
        <v>1</v>
      </c>
      <c r="P292" s="705">
        <v>0</v>
      </c>
      <c r="Q292" s="682"/>
      <c r="R292" s="671">
        <v>2</v>
      </c>
      <c r="S292" s="682">
        <v>1</v>
      </c>
      <c r="T292" s="706">
        <v>1</v>
      </c>
      <c r="U292" s="242">
        <v>1</v>
      </c>
    </row>
    <row r="293" spans="1:21" ht="14.4" customHeight="1" x14ac:dyDescent="0.3">
      <c r="A293" s="680">
        <v>50</v>
      </c>
      <c r="B293" s="671" t="s">
        <v>536</v>
      </c>
      <c r="C293" s="671">
        <v>89301502</v>
      </c>
      <c r="D293" s="703" t="s">
        <v>2487</v>
      </c>
      <c r="E293" s="704" t="s">
        <v>1924</v>
      </c>
      <c r="F293" s="671" t="s">
        <v>1912</v>
      </c>
      <c r="G293" s="671" t="s">
        <v>2088</v>
      </c>
      <c r="H293" s="671" t="s">
        <v>535</v>
      </c>
      <c r="I293" s="671" t="s">
        <v>2295</v>
      </c>
      <c r="J293" s="671" t="s">
        <v>2296</v>
      </c>
      <c r="K293" s="671" t="s">
        <v>2297</v>
      </c>
      <c r="L293" s="705">
        <v>0</v>
      </c>
      <c r="M293" s="705">
        <v>0</v>
      </c>
      <c r="N293" s="671">
        <v>1</v>
      </c>
      <c r="O293" s="706">
        <v>0.5</v>
      </c>
      <c r="P293" s="705">
        <v>0</v>
      </c>
      <c r="Q293" s="682"/>
      <c r="R293" s="671">
        <v>1</v>
      </c>
      <c r="S293" s="682">
        <v>1</v>
      </c>
      <c r="T293" s="706">
        <v>0.5</v>
      </c>
      <c r="U293" s="242">
        <v>1</v>
      </c>
    </row>
    <row r="294" spans="1:21" ht="14.4" customHeight="1" x14ac:dyDescent="0.3">
      <c r="A294" s="680">
        <v>50</v>
      </c>
      <c r="B294" s="671" t="s">
        <v>536</v>
      </c>
      <c r="C294" s="671">
        <v>89301502</v>
      </c>
      <c r="D294" s="703" t="s">
        <v>2487</v>
      </c>
      <c r="E294" s="704" t="s">
        <v>1924</v>
      </c>
      <c r="F294" s="671" t="s">
        <v>1912</v>
      </c>
      <c r="G294" s="671" t="s">
        <v>2088</v>
      </c>
      <c r="H294" s="671" t="s">
        <v>535</v>
      </c>
      <c r="I294" s="671" t="s">
        <v>2298</v>
      </c>
      <c r="J294" s="671" t="s">
        <v>2296</v>
      </c>
      <c r="K294" s="671" t="s">
        <v>2299</v>
      </c>
      <c r="L294" s="705">
        <v>201.75</v>
      </c>
      <c r="M294" s="705">
        <v>807</v>
      </c>
      <c r="N294" s="671">
        <v>4</v>
      </c>
      <c r="O294" s="706">
        <v>1</v>
      </c>
      <c r="P294" s="705">
        <v>807</v>
      </c>
      <c r="Q294" s="682">
        <v>1</v>
      </c>
      <c r="R294" s="671">
        <v>4</v>
      </c>
      <c r="S294" s="682">
        <v>1</v>
      </c>
      <c r="T294" s="706">
        <v>1</v>
      </c>
      <c r="U294" s="242">
        <v>1</v>
      </c>
    </row>
    <row r="295" spans="1:21" ht="14.4" customHeight="1" x14ac:dyDescent="0.3">
      <c r="A295" s="680">
        <v>50</v>
      </c>
      <c r="B295" s="671" t="s">
        <v>536</v>
      </c>
      <c r="C295" s="671">
        <v>89301502</v>
      </c>
      <c r="D295" s="703" t="s">
        <v>2487</v>
      </c>
      <c r="E295" s="704" t="s">
        <v>1924</v>
      </c>
      <c r="F295" s="671" t="s">
        <v>1912</v>
      </c>
      <c r="G295" s="671" t="s">
        <v>2300</v>
      </c>
      <c r="H295" s="671" t="s">
        <v>535</v>
      </c>
      <c r="I295" s="671" t="s">
        <v>2301</v>
      </c>
      <c r="J295" s="671" t="s">
        <v>2302</v>
      </c>
      <c r="K295" s="671" t="s">
        <v>2303</v>
      </c>
      <c r="L295" s="705">
        <v>0</v>
      </c>
      <c r="M295" s="705">
        <v>0</v>
      </c>
      <c r="N295" s="671">
        <v>3</v>
      </c>
      <c r="O295" s="706">
        <v>0.5</v>
      </c>
      <c r="P295" s="705"/>
      <c r="Q295" s="682"/>
      <c r="R295" s="671"/>
      <c r="S295" s="682">
        <v>0</v>
      </c>
      <c r="T295" s="706"/>
      <c r="U295" s="242">
        <v>0</v>
      </c>
    </row>
    <row r="296" spans="1:21" ht="14.4" customHeight="1" x14ac:dyDescent="0.3">
      <c r="A296" s="680">
        <v>50</v>
      </c>
      <c r="B296" s="671" t="s">
        <v>536</v>
      </c>
      <c r="C296" s="671">
        <v>89301502</v>
      </c>
      <c r="D296" s="703" t="s">
        <v>2487</v>
      </c>
      <c r="E296" s="704" t="s">
        <v>1924</v>
      </c>
      <c r="F296" s="671" t="s">
        <v>1912</v>
      </c>
      <c r="G296" s="671" t="s">
        <v>1979</v>
      </c>
      <c r="H296" s="671" t="s">
        <v>535</v>
      </c>
      <c r="I296" s="671" t="s">
        <v>797</v>
      </c>
      <c r="J296" s="671" t="s">
        <v>1981</v>
      </c>
      <c r="K296" s="671" t="s">
        <v>1983</v>
      </c>
      <c r="L296" s="705">
        <v>66.599999999999994</v>
      </c>
      <c r="M296" s="705">
        <v>199.79999999999998</v>
      </c>
      <c r="N296" s="671">
        <v>3</v>
      </c>
      <c r="O296" s="706">
        <v>1</v>
      </c>
      <c r="P296" s="705">
        <v>133.19999999999999</v>
      </c>
      <c r="Q296" s="682">
        <v>0.66666666666666663</v>
      </c>
      <c r="R296" s="671">
        <v>2</v>
      </c>
      <c r="S296" s="682">
        <v>0.66666666666666663</v>
      </c>
      <c r="T296" s="706">
        <v>0.5</v>
      </c>
      <c r="U296" s="242">
        <v>0.5</v>
      </c>
    </row>
    <row r="297" spans="1:21" ht="14.4" customHeight="1" x14ac:dyDescent="0.3">
      <c r="A297" s="680">
        <v>50</v>
      </c>
      <c r="B297" s="671" t="s">
        <v>536</v>
      </c>
      <c r="C297" s="671">
        <v>89301502</v>
      </c>
      <c r="D297" s="703" t="s">
        <v>2487</v>
      </c>
      <c r="E297" s="704" t="s">
        <v>1924</v>
      </c>
      <c r="F297" s="671" t="s">
        <v>1912</v>
      </c>
      <c r="G297" s="671" t="s">
        <v>2304</v>
      </c>
      <c r="H297" s="671" t="s">
        <v>535</v>
      </c>
      <c r="I297" s="671" t="s">
        <v>2305</v>
      </c>
      <c r="J297" s="671" t="s">
        <v>2306</v>
      </c>
      <c r="K297" s="671" t="s">
        <v>2307</v>
      </c>
      <c r="L297" s="705">
        <v>38.65</v>
      </c>
      <c r="M297" s="705">
        <v>38.65</v>
      </c>
      <c r="N297" s="671">
        <v>1</v>
      </c>
      <c r="O297" s="706">
        <v>1</v>
      </c>
      <c r="P297" s="705">
        <v>38.65</v>
      </c>
      <c r="Q297" s="682">
        <v>1</v>
      </c>
      <c r="R297" s="671">
        <v>1</v>
      </c>
      <c r="S297" s="682">
        <v>1</v>
      </c>
      <c r="T297" s="706">
        <v>1</v>
      </c>
      <c r="U297" s="242">
        <v>1</v>
      </c>
    </row>
    <row r="298" spans="1:21" ht="14.4" customHeight="1" x14ac:dyDescent="0.3">
      <c r="A298" s="680">
        <v>50</v>
      </c>
      <c r="B298" s="671" t="s">
        <v>536</v>
      </c>
      <c r="C298" s="671">
        <v>89301502</v>
      </c>
      <c r="D298" s="703" t="s">
        <v>2487</v>
      </c>
      <c r="E298" s="704" t="s">
        <v>1924</v>
      </c>
      <c r="F298" s="671" t="s">
        <v>1912</v>
      </c>
      <c r="G298" s="671" t="s">
        <v>2181</v>
      </c>
      <c r="H298" s="671" t="s">
        <v>535</v>
      </c>
      <c r="I298" s="671" t="s">
        <v>2182</v>
      </c>
      <c r="J298" s="671" t="s">
        <v>2183</v>
      </c>
      <c r="K298" s="671" t="s">
        <v>2184</v>
      </c>
      <c r="L298" s="705">
        <v>163.9</v>
      </c>
      <c r="M298" s="705">
        <v>9342.2999999999993</v>
      </c>
      <c r="N298" s="671">
        <v>57</v>
      </c>
      <c r="O298" s="706">
        <v>14</v>
      </c>
      <c r="P298" s="705">
        <v>2458.5</v>
      </c>
      <c r="Q298" s="682">
        <v>0.26315789473684215</v>
      </c>
      <c r="R298" s="671">
        <v>15</v>
      </c>
      <c r="S298" s="682">
        <v>0.26315789473684209</v>
      </c>
      <c r="T298" s="706">
        <v>4.5</v>
      </c>
      <c r="U298" s="242">
        <v>0.32142857142857145</v>
      </c>
    </row>
    <row r="299" spans="1:21" ht="14.4" customHeight="1" x14ac:dyDescent="0.3">
      <c r="A299" s="680">
        <v>50</v>
      </c>
      <c r="B299" s="671" t="s">
        <v>536</v>
      </c>
      <c r="C299" s="671">
        <v>89301502</v>
      </c>
      <c r="D299" s="703" t="s">
        <v>2487</v>
      </c>
      <c r="E299" s="704" t="s">
        <v>1924</v>
      </c>
      <c r="F299" s="671" t="s">
        <v>1912</v>
      </c>
      <c r="G299" s="671" t="s">
        <v>2103</v>
      </c>
      <c r="H299" s="671" t="s">
        <v>535</v>
      </c>
      <c r="I299" s="671" t="s">
        <v>2104</v>
      </c>
      <c r="J299" s="671" t="s">
        <v>2105</v>
      </c>
      <c r="K299" s="671" t="s">
        <v>2017</v>
      </c>
      <c r="L299" s="705">
        <v>26.97</v>
      </c>
      <c r="M299" s="705">
        <v>80.91</v>
      </c>
      <c r="N299" s="671">
        <v>3</v>
      </c>
      <c r="O299" s="706">
        <v>1</v>
      </c>
      <c r="P299" s="705"/>
      <c r="Q299" s="682">
        <v>0</v>
      </c>
      <c r="R299" s="671"/>
      <c r="S299" s="682">
        <v>0</v>
      </c>
      <c r="T299" s="706"/>
      <c r="U299" s="242">
        <v>0</v>
      </c>
    </row>
    <row r="300" spans="1:21" ht="14.4" customHeight="1" x14ac:dyDescent="0.3">
      <c r="A300" s="680">
        <v>50</v>
      </c>
      <c r="B300" s="671" t="s">
        <v>536</v>
      </c>
      <c r="C300" s="671">
        <v>89301502</v>
      </c>
      <c r="D300" s="703" t="s">
        <v>2487</v>
      </c>
      <c r="E300" s="704" t="s">
        <v>1924</v>
      </c>
      <c r="F300" s="671" t="s">
        <v>1912</v>
      </c>
      <c r="G300" s="671" t="s">
        <v>2308</v>
      </c>
      <c r="H300" s="671" t="s">
        <v>1039</v>
      </c>
      <c r="I300" s="671" t="s">
        <v>2309</v>
      </c>
      <c r="J300" s="671" t="s">
        <v>2310</v>
      </c>
      <c r="K300" s="671" t="s">
        <v>2311</v>
      </c>
      <c r="L300" s="705">
        <v>301.05</v>
      </c>
      <c r="M300" s="705">
        <v>301.05</v>
      </c>
      <c r="N300" s="671">
        <v>1</v>
      </c>
      <c r="O300" s="706">
        <v>0.5</v>
      </c>
      <c r="P300" s="705"/>
      <c r="Q300" s="682">
        <v>0</v>
      </c>
      <c r="R300" s="671"/>
      <c r="S300" s="682">
        <v>0</v>
      </c>
      <c r="T300" s="706"/>
      <c r="U300" s="242">
        <v>0</v>
      </c>
    </row>
    <row r="301" spans="1:21" ht="14.4" customHeight="1" x14ac:dyDescent="0.3">
      <c r="A301" s="680">
        <v>50</v>
      </c>
      <c r="B301" s="671" t="s">
        <v>536</v>
      </c>
      <c r="C301" s="671">
        <v>89301502</v>
      </c>
      <c r="D301" s="703" t="s">
        <v>2487</v>
      </c>
      <c r="E301" s="704" t="s">
        <v>1924</v>
      </c>
      <c r="F301" s="671" t="s">
        <v>1912</v>
      </c>
      <c r="G301" s="671" t="s">
        <v>2308</v>
      </c>
      <c r="H301" s="671" t="s">
        <v>1039</v>
      </c>
      <c r="I301" s="671" t="s">
        <v>2312</v>
      </c>
      <c r="J301" s="671" t="s">
        <v>2313</v>
      </c>
      <c r="K301" s="671" t="s">
        <v>2311</v>
      </c>
      <c r="L301" s="705">
        <v>249.54</v>
      </c>
      <c r="M301" s="705">
        <v>249.54</v>
      </c>
      <c r="N301" s="671">
        <v>1</v>
      </c>
      <c r="O301" s="706">
        <v>1</v>
      </c>
      <c r="P301" s="705"/>
      <c r="Q301" s="682">
        <v>0</v>
      </c>
      <c r="R301" s="671"/>
      <c r="S301" s="682">
        <v>0</v>
      </c>
      <c r="T301" s="706"/>
      <c r="U301" s="242">
        <v>0</v>
      </c>
    </row>
    <row r="302" spans="1:21" ht="14.4" customHeight="1" x14ac:dyDescent="0.3">
      <c r="A302" s="680">
        <v>50</v>
      </c>
      <c r="B302" s="671" t="s">
        <v>536</v>
      </c>
      <c r="C302" s="671">
        <v>89301502</v>
      </c>
      <c r="D302" s="703" t="s">
        <v>2487</v>
      </c>
      <c r="E302" s="704" t="s">
        <v>1924</v>
      </c>
      <c r="F302" s="671" t="s">
        <v>1912</v>
      </c>
      <c r="G302" s="671" t="s">
        <v>2314</v>
      </c>
      <c r="H302" s="671" t="s">
        <v>1039</v>
      </c>
      <c r="I302" s="671" t="s">
        <v>2315</v>
      </c>
      <c r="J302" s="671" t="s">
        <v>2316</v>
      </c>
      <c r="K302" s="671" t="s">
        <v>2317</v>
      </c>
      <c r="L302" s="705">
        <v>886.91</v>
      </c>
      <c r="M302" s="705">
        <v>886.91</v>
      </c>
      <c r="N302" s="671">
        <v>1</v>
      </c>
      <c r="O302" s="706">
        <v>0.5</v>
      </c>
      <c r="P302" s="705"/>
      <c r="Q302" s="682">
        <v>0</v>
      </c>
      <c r="R302" s="671"/>
      <c r="S302" s="682">
        <v>0</v>
      </c>
      <c r="T302" s="706"/>
      <c r="U302" s="242">
        <v>0</v>
      </c>
    </row>
    <row r="303" spans="1:21" ht="14.4" customHeight="1" x14ac:dyDescent="0.3">
      <c r="A303" s="680">
        <v>50</v>
      </c>
      <c r="B303" s="671" t="s">
        <v>536</v>
      </c>
      <c r="C303" s="671">
        <v>89301502</v>
      </c>
      <c r="D303" s="703" t="s">
        <v>2487</v>
      </c>
      <c r="E303" s="704" t="s">
        <v>1924</v>
      </c>
      <c r="F303" s="671" t="s">
        <v>1912</v>
      </c>
      <c r="G303" s="671" t="s">
        <v>2318</v>
      </c>
      <c r="H303" s="671" t="s">
        <v>535</v>
      </c>
      <c r="I303" s="671" t="s">
        <v>2319</v>
      </c>
      <c r="J303" s="671" t="s">
        <v>2320</v>
      </c>
      <c r="K303" s="671" t="s">
        <v>2321</v>
      </c>
      <c r="L303" s="705">
        <v>1663.07</v>
      </c>
      <c r="M303" s="705">
        <v>1663.07</v>
      </c>
      <c r="N303" s="671">
        <v>1</v>
      </c>
      <c r="O303" s="706">
        <v>0.5</v>
      </c>
      <c r="P303" s="705"/>
      <c r="Q303" s="682">
        <v>0</v>
      </c>
      <c r="R303" s="671"/>
      <c r="S303" s="682">
        <v>0</v>
      </c>
      <c r="T303" s="706"/>
      <c r="U303" s="242">
        <v>0</v>
      </c>
    </row>
    <row r="304" spans="1:21" ht="14.4" customHeight="1" x14ac:dyDescent="0.3">
      <c r="A304" s="680">
        <v>50</v>
      </c>
      <c r="B304" s="671" t="s">
        <v>536</v>
      </c>
      <c r="C304" s="671">
        <v>89301502</v>
      </c>
      <c r="D304" s="703" t="s">
        <v>2487</v>
      </c>
      <c r="E304" s="704" t="s">
        <v>1924</v>
      </c>
      <c r="F304" s="671" t="s">
        <v>1912</v>
      </c>
      <c r="G304" s="671" t="s">
        <v>1951</v>
      </c>
      <c r="H304" s="671" t="s">
        <v>535</v>
      </c>
      <c r="I304" s="671" t="s">
        <v>878</v>
      </c>
      <c r="J304" s="671" t="s">
        <v>879</v>
      </c>
      <c r="K304" s="671" t="s">
        <v>880</v>
      </c>
      <c r="L304" s="705">
        <v>104.66</v>
      </c>
      <c r="M304" s="705">
        <v>313.98</v>
      </c>
      <c r="N304" s="671">
        <v>3</v>
      </c>
      <c r="O304" s="706">
        <v>0.5</v>
      </c>
      <c r="P304" s="705">
        <v>313.98</v>
      </c>
      <c r="Q304" s="682">
        <v>1</v>
      </c>
      <c r="R304" s="671">
        <v>3</v>
      </c>
      <c r="S304" s="682">
        <v>1</v>
      </c>
      <c r="T304" s="706">
        <v>0.5</v>
      </c>
      <c r="U304" s="242">
        <v>1</v>
      </c>
    </row>
    <row r="305" spans="1:21" ht="14.4" customHeight="1" x14ac:dyDescent="0.3">
      <c r="A305" s="680">
        <v>50</v>
      </c>
      <c r="B305" s="671" t="s">
        <v>536</v>
      </c>
      <c r="C305" s="671">
        <v>89301502</v>
      </c>
      <c r="D305" s="703" t="s">
        <v>2487</v>
      </c>
      <c r="E305" s="704" t="s">
        <v>1924</v>
      </c>
      <c r="F305" s="671" t="s">
        <v>1912</v>
      </c>
      <c r="G305" s="671" t="s">
        <v>2322</v>
      </c>
      <c r="H305" s="671" t="s">
        <v>535</v>
      </c>
      <c r="I305" s="671" t="s">
        <v>2323</v>
      </c>
      <c r="J305" s="671" t="s">
        <v>2324</v>
      </c>
      <c r="K305" s="671" t="s">
        <v>1218</v>
      </c>
      <c r="L305" s="705">
        <v>0</v>
      </c>
      <c r="M305" s="705">
        <v>0</v>
      </c>
      <c r="N305" s="671">
        <v>1</v>
      </c>
      <c r="O305" s="706">
        <v>0.5</v>
      </c>
      <c r="P305" s="705"/>
      <c r="Q305" s="682"/>
      <c r="R305" s="671"/>
      <c r="S305" s="682">
        <v>0</v>
      </c>
      <c r="T305" s="706"/>
      <c r="U305" s="242">
        <v>0</v>
      </c>
    </row>
    <row r="306" spans="1:21" ht="14.4" customHeight="1" x14ac:dyDescent="0.3">
      <c r="A306" s="680">
        <v>50</v>
      </c>
      <c r="B306" s="671" t="s">
        <v>536</v>
      </c>
      <c r="C306" s="671">
        <v>89301502</v>
      </c>
      <c r="D306" s="703" t="s">
        <v>2487</v>
      </c>
      <c r="E306" s="704" t="s">
        <v>1924</v>
      </c>
      <c r="F306" s="671" t="s">
        <v>1912</v>
      </c>
      <c r="G306" s="671" t="s">
        <v>1952</v>
      </c>
      <c r="H306" s="671" t="s">
        <v>535</v>
      </c>
      <c r="I306" s="671" t="s">
        <v>855</v>
      </c>
      <c r="J306" s="671" t="s">
        <v>856</v>
      </c>
      <c r="K306" s="671" t="s">
        <v>857</v>
      </c>
      <c r="L306" s="705">
        <v>61.29</v>
      </c>
      <c r="M306" s="705">
        <v>367.74</v>
      </c>
      <c r="N306" s="671">
        <v>6</v>
      </c>
      <c r="O306" s="706">
        <v>3.5</v>
      </c>
      <c r="P306" s="705">
        <v>183.87</v>
      </c>
      <c r="Q306" s="682">
        <v>0.5</v>
      </c>
      <c r="R306" s="671">
        <v>3</v>
      </c>
      <c r="S306" s="682">
        <v>0.5</v>
      </c>
      <c r="T306" s="706">
        <v>1.5</v>
      </c>
      <c r="U306" s="242">
        <v>0.42857142857142855</v>
      </c>
    </row>
    <row r="307" spans="1:21" ht="14.4" customHeight="1" x14ac:dyDescent="0.3">
      <c r="A307" s="680">
        <v>50</v>
      </c>
      <c r="B307" s="671" t="s">
        <v>536</v>
      </c>
      <c r="C307" s="671">
        <v>89301502</v>
      </c>
      <c r="D307" s="703" t="s">
        <v>2487</v>
      </c>
      <c r="E307" s="704" t="s">
        <v>1924</v>
      </c>
      <c r="F307" s="671" t="s">
        <v>1912</v>
      </c>
      <c r="G307" s="671" t="s">
        <v>2119</v>
      </c>
      <c r="H307" s="671" t="s">
        <v>535</v>
      </c>
      <c r="I307" s="671" t="s">
        <v>2120</v>
      </c>
      <c r="J307" s="671" t="s">
        <v>2121</v>
      </c>
      <c r="K307" s="671" t="s">
        <v>2122</v>
      </c>
      <c r="L307" s="705">
        <v>91.14</v>
      </c>
      <c r="M307" s="705">
        <v>273.42</v>
      </c>
      <c r="N307" s="671">
        <v>3</v>
      </c>
      <c r="O307" s="706">
        <v>1</v>
      </c>
      <c r="P307" s="705"/>
      <c r="Q307" s="682">
        <v>0</v>
      </c>
      <c r="R307" s="671"/>
      <c r="S307" s="682">
        <v>0</v>
      </c>
      <c r="T307" s="706"/>
      <c r="U307" s="242">
        <v>0</v>
      </c>
    </row>
    <row r="308" spans="1:21" ht="14.4" customHeight="1" x14ac:dyDescent="0.3">
      <c r="A308" s="680">
        <v>50</v>
      </c>
      <c r="B308" s="671" t="s">
        <v>536</v>
      </c>
      <c r="C308" s="671">
        <v>89301502</v>
      </c>
      <c r="D308" s="703" t="s">
        <v>2487</v>
      </c>
      <c r="E308" s="704" t="s">
        <v>1924</v>
      </c>
      <c r="F308" s="671" t="s">
        <v>1912</v>
      </c>
      <c r="G308" s="671" t="s">
        <v>2325</v>
      </c>
      <c r="H308" s="671" t="s">
        <v>535</v>
      </c>
      <c r="I308" s="671" t="s">
        <v>2326</v>
      </c>
      <c r="J308" s="671" t="s">
        <v>2327</v>
      </c>
      <c r="K308" s="671" t="s">
        <v>2328</v>
      </c>
      <c r="L308" s="705">
        <v>0</v>
      </c>
      <c r="M308" s="705">
        <v>0</v>
      </c>
      <c r="N308" s="671">
        <v>1</v>
      </c>
      <c r="O308" s="706">
        <v>1</v>
      </c>
      <c r="P308" s="705">
        <v>0</v>
      </c>
      <c r="Q308" s="682"/>
      <c r="R308" s="671">
        <v>1</v>
      </c>
      <c r="S308" s="682">
        <v>1</v>
      </c>
      <c r="T308" s="706">
        <v>1</v>
      </c>
      <c r="U308" s="242">
        <v>1</v>
      </c>
    </row>
    <row r="309" spans="1:21" ht="14.4" customHeight="1" x14ac:dyDescent="0.3">
      <c r="A309" s="680">
        <v>50</v>
      </c>
      <c r="B309" s="671" t="s">
        <v>536</v>
      </c>
      <c r="C309" s="671">
        <v>89301502</v>
      </c>
      <c r="D309" s="703" t="s">
        <v>2487</v>
      </c>
      <c r="E309" s="704" t="s">
        <v>1924</v>
      </c>
      <c r="F309" s="671" t="s">
        <v>1912</v>
      </c>
      <c r="G309" s="671" t="s">
        <v>1990</v>
      </c>
      <c r="H309" s="671" t="s">
        <v>1039</v>
      </c>
      <c r="I309" s="671" t="s">
        <v>1531</v>
      </c>
      <c r="J309" s="671" t="s">
        <v>1532</v>
      </c>
      <c r="K309" s="671" t="s">
        <v>1897</v>
      </c>
      <c r="L309" s="705">
        <v>65.069999999999993</v>
      </c>
      <c r="M309" s="705">
        <v>65.069999999999993</v>
      </c>
      <c r="N309" s="671">
        <v>1</v>
      </c>
      <c r="O309" s="706">
        <v>0.5</v>
      </c>
      <c r="P309" s="705"/>
      <c r="Q309" s="682">
        <v>0</v>
      </c>
      <c r="R309" s="671"/>
      <c r="S309" s="682">
        <v>0</v>
      </c>
      <c r="T309" s="706"/>
      <c r="U309" s="242">
        <v>0</v>
      </c>
    </row>
    <row r="310" spans="1:21" ht="14.4" customHeight="1" x14ac:dyDescent="0.3">
      <c r="A310" s="680">
        <v>50</v>
      </c>
      <c r="B310" s="671" t="s">
        <v>536</v>
      </c>
      <c r="C310" s="671">
        <v>89301502</v>
      </c>
      <c r="D310" s="703" t="s">
        <v>2487</v>
      </c>
      <c r="E310" s="704" t="s">
        <v>1924</v>
      </c>
      <c r="F310" s="671" t="s">
        <v>1912</v>
      </c>
      <c r="G310" s="671" t="s">
        <v>1990</v>
      </c>
      <c r="H310" s="671" t="s">
        <v>535</v>
      </c>
      <c r="I310" s="671" t="s">
        <v>914</v>
      </c>
      <c r="J310" s="671" t="s">
        <v>1994</v>
      </c>
      <c r="K310" s="671" t="s">
        <v>1995</v>
      </c>
      <c r="L310" s="705">
        <v>50.57</v>
      </c>
      <c r="M310" s="705">
        <v>50.57</v>
      </c>
      <c r="N310" s="671">
        <v>1</v>
      </c>
      <c r="O310" s="706">
        <v>0.5</v>
      </c>
      <c r="P310" s="705">
        <v>50.57</v>
      </c>
      <c r="Q310" s="682">
        <v>1</v>
      </c>
      <c r="R310" s="671">
        <v>1</v>
      </c>
      <c r="S310" s="682">
        <v>1</v>
      </c>
      <c r="T310" s="706">
        <v>0.5</v>
      </c>
      <c r="U310" s="242">
        <v>1</v>
      </c>
    </row>
    <row r="311" spans="1:21" ht="14.4" customHeight="1" x14ac:dyDescent="0.3">
      <c r="A311" s="680">
        <v>50</v>
      </c>
      <c r="B311" s="671" t="s">
        <v>536</v>
      </c>
      <c r="C311" s="671">
        <v>89301502</v>
      </c>
      <c r="D311" s="703" t="s">
        <v>2487</v>
      </c>
      <c r="E311" s="704" t="s">
        <v>1924</v>
      </c>
      <c r="F311" s="671" t="s">
        <v>1912</v>
      </c>
      <c r="G311" s="671" t="s">
        <v>2198</v>
      </c>
      <c r="H311" s="671" t="s">
        <v>1039</v>
      </c>
      <c r="I311" s="671" t="s">
        <v>2329</v>
      </c>
      <c r="J311" s="671" t="s">
        <v>2330</v>
      </c>
      <c r="K311" s="671" t="s">
        <v>2331</v>
      </c>
      <c r="L311" s="705">
        <v>0</v>
      </c>
      <c r="M311" s="705">
        <v>0</v>
      </c>
      <c r="N311" s="671">
        <v>1</v>
      </c>
      <c r="O311" s="706">
        <v>0.5</v>
      </c>
      <c r="P311" s="705">
        <v>0</v>
      </c>
      <c r="Q311" s="682"/>
      <c r="R311" s="671">
        <v>1</v>
      </c>
      <c r="S311" s="682">
        <v>1</v>
      </c>
      <c r="T311" s="706">
        <v>0.5</v>
      </c>
      <c r="U311" s="242">
        <v>1</v>
      </c>
    </row>
    <row r="312" spans="1:21" ht="14.4" customHeight="1" x14ac:dyDescent="0.3">
      <c r="A312" s="680">
        <v>50</v>
      </c>
      <c r="B312" s="671" t="s">
        <v>536</v>
      </c>
      <c r="C312" s="671">
        <v>89301502</v>
      </c>
      <c r="D312" s="703" t="s">
        <v>2487</v>
      </c>
      <c r="E312" s="704" t="s">
        <v>1924</v>
      </c>
      <c r="F312" s="671" t="s">
        <v>1912</v>
      </c>
      <c r="G312" s="671" t="s">
        <v>1956</v>
      </c>
      <c r="H312" s="671" t="s">
        <v>535</v>
      </c>
      <c r="I312" s="671" t="s">
        <v>675</v>
      </c>
      <c r="J312" s="671" t="s">
        <v>676</v>
      </c>
      <c r="K312" s="671" t="s">
        <v>2332</v>
      </c>
      <c r="L312" s="705">
        <v>83.56</v>
      </c>
      <c r="M312" s="705">
        <v>83.56</v>
      </c>
      <c r="N312" s="671">
        <v>1</v>
      </c>
      <c r="O312" s="706">
        <v>0.5</v>
      </c>
      <c r="P312" s="705"/>
      <c r="Q312" s="682">
        <v>0</v>
      </c>
      <c r="R312" s="671"/>
      <c r="S312" s="682">
        <v>0</v>
      </c>
      <c r="T312" s="706"/>
      <c r="U312" s="242">
        <v>0</v>
      </c>
    </row>
    <row r="313" spans="1:21" ht="14.4" customHeight="1" x14ac:dyDescent="0.3">
      <c r="A313" s="680">
        <v>50</v>
      </c>
      <c r="B313" s="671" t="s">
        <v>536</v>
      </c>
      <c r="C313" s="671">
        <v>89301502</v>
      </c>
      <c r="D313" s="703" t="s">
        <v>2487</v>
      </c>
      <c r="E313" s="704" t="s">
        <v>1924</v>
      </c>
      <c r="F313" s="671" t="s">
        <v>1912</v>
      </c>
      <c r="G313" s="671" t="s">
        <v>1956</v>
      </c>
      <c r="H313" s="671" t="s">
        <v>535</v>
      </c>
      <c r="I313" s="671" t="s">
        <v>2333</v>
      </c>
      <c r="J313" s="671" t="s">
        <v>2093</v>
      </c>
      <c r="K313" s="671" t="s">
        <v>2334</v>
      </c>
      <c r="L313" s="705">
        <v>200.07</v>
      </c>
      <c r="M313" s="705">
        <v>800.28</v>
      </c>
      <c r="N313" s="671">
        <v>4</v>
      </c>
      <c r="O313" s="706">
        <v>2.5</v>
      </c>
      <c r="P313" s="705">
        <v>200.07</v>
      </c>
      <c r="Q313" s="682">
        <v>0.25</v>
      </c>
      <c r="R313" s="671">
        <v>1</v>
      </c>
      <c r="S313" s="682">
        <v>0.25</v>
      </c>
      <c r="T313" s="706">
        <v>0.5</v>
      </c>
      <c r="U313" s="242">
        <v>0.2</v>
      </c>
    </row>
    <row r="314" spans="1:21" ht="14.4" customHeight="1" x14ac:dyDescent="0.3">
      <c r="A314" s="680">
        <v>50</v>
      </c>
      <c r="B314" s="671" t="s">
        <v>536</v>
      </c>
      <c r="C314" s="671">
        <v>89301502</v>
      </c>
      <c r="D314" s="703" t="s">
        <v>2487</v>
      </c>
      <c r="E314" s="704" t="s">
        <v>1924</v>
      </c>
      <c r="F314" s="671" t="s">
        <v>1912</v>
      </c>
      <c r="G314" s="671" t="s">
        <v>1956</v>
      </c>
      <c r="H314" s="671" t="s">
        <v>535</v>
      </c>
      <c r="I314" s="671" t="s">
        <v>2092</v>
      </c>
      <c r="J314" s="671" t="s">
        <v>2093</v>
      </c>
      <c r="K314" s="671" t="s">
        <v>723</v>
      </c>
      <c r="L314" s="705">
        <v>60.02</v>
      </c>
      <c r="M314" s="705">
        <v>120.04</v>
      </c>
      <c r="N314" s="671">
        <v>2</v>
      </c>
      <c r="O314" s="706">
        <v>0.5</v>
      </c>
      <c r="P314" s="705"/>
      <c r="Q314" s="682">
        <v>0</v>
      </c>
      <c r="R314" s="671"/>
      <c r="S314" s="682">
        <v>0</v>
      </c>
      <c r="T314" s="706"/>
      <c r="U314" s="242">
        <v>0</v>
      </c>
    </row>
    <row r="315" spans="1:21" ht="14.4" customHeight="1" x14ac:dyDescent="0.3">
      <c r="A315" s="680">
        <v>50</v>
      </c>
      <c r="B315" s="671" t="s">
        <v>536</v>
      </c>
      <c r="C315" s="671">
        <v>89301502</v>
      </c>
      <c r="D315" s="703" t="s">
        <v>2487</v>
      </c>
      <c r="E315" s="704" t="s">
        <v>1924</v>
      </c>
      <c r="F315" s="671" t="s">
        <v>1912</v>
      </c>
      <c r="G315" s="671" t="s">
        <v>1956</v>
      </c>
      <c r="H315" s="671" t="s">
        <v>535</v>
      </c>
      <c r="I315" s="671" t="s">
        <v>717</v>
      </c>
      <c r="J315" s="671" t="s">
        <v>949</v>
      </c>
      <c r="K315" s="671" t="s">
        <v>2040</v>
      </c>
      <c r="L315" s="705">
        <v>33.68</v>
      </c>
      <c r="M315" s="705">
        <v>67.36</v>
      </c>
      <c r="N315" s="671">
        <v>2</v>
      </c>
      <c r="O315" s="706">
        <v>0.5</v>
      </c>
      <c r="P315" s="705"/>
      <c r="Q315" s="682">
        <v>0</v>
      </c>
      <c r="R315" s="671"/>
      <c r="S315" s="682">
        <v>0</v>
      </c>
      <c r="T315" s="706"/>
      <c r="U315" s="242">
        <v>0</v>
      </c>
    </row>
    <row r="316" spans="1:21" ht="14.4" customHeight="1" x14ac:dyDescent="0.3">
      <c r="A316" s="680">
        <v>50</v>
      </c>
      <c r="B316" s="671" t="s">
        <v>536</v>
      </c>
      <c r="C316" s="671">
        <v>89301502</v>
      </c>
      <c r="D316" s="703" t="s">
        <v>2487</v>
      </c>
      <c r="E316" s="704" t="s">
        <v>1924</v>
      </c>
      <c r="F316" s="671" t="s">
        <v>1912</v>
      </c>
      <c r="G316" s="671" t="s">
        <v>2335</v>
      </c>
      <c r="H316" s="671" t="s">
        <v>535</v>
      </c>
      <c r="I316" s="671" t="s">
        <v>2336</v>
      </c>
      <c r="J316" s="671" t="s">
        <v>2337</v>
      </c>
      <c r="K316" s="671" t="s">
        <v>2338</v>
      </c>
      <c r="L316" s="705">
        <v>480.18</v>
      </c>
      <c r="M316" s="705">
        <v>480.18</v>
      </c>
      <c r="N316" s="671">
        <v>1</v>
      </c>
      <c r="O316" s="706">
        <v>0.5</v>
      </c>
      <c r="P316" s="705"/>
      <c r="Q316" s="682">
        <v>0</v>
      </c>
      <c r="R316" s="671"/>
      <c r="S316" s="682">
        <v>0</v>
      </c>
      <c r="T316" s="706"/>
      <c r="U316" s="242">
        <v>0</v>
      </c>
    </row>
    <row r="317" spans="1:21" ht="14.4" customHeight="1" x14ac:dyDescent="0.3">
      <c r="A317" s="680">
        <v>50</v>
      </c>
      <c r="B317" s="671" t="s">
        <v>536</v>
      </c>
      <c r="C317" s="671">
        <v>89301502</v>
      </c>
      <c r="D317" s="703" t="s">
        <v>2487</v>
      </c>
      <c r="E317" s="704" t="s">
        <v>1924</v>
      </c>
      <c r="F317" s="671" t="s">
        <v>1912</v>
      </c>
      <c r="G317" s="671" t="s">
        <v>2339</v>
      </c>
      <c r="H317" s="671" t="s">
        <v>535</v>
      </c>
      <c r="I317" s="671" t="s">
        <v>2340</v>
      </c>
      <c r="J317" s="671" t="s">
        <v>2341</v>
      </c>
      <c r="K317" s="671" t="s">
        <v>2342</v>
      </c>
      <c r="L317" s="705">
        <v>250.87</v>
      </c>
      <c r="M317" s="705">
        <v>501.74</v>
      </c>
      <c r="N317" s="671">
        <v>2</v>
      </c>
      <c r="O317" s="706">
        <v>0.5</v>
      </c>
      <c r="P317" s="705">
        <v>501.74</v>
      </c>
      <c r="Q317" s="682">
        <v>1</v>
      </c>
      <c r="R317" s="671">
        <v>2</v>
      </c>
      <c r="S317" s="682">
        <v>1</v>
      </c>
      <c r="T317" s="706">
        <v>0.5</v>
      </c>
      <c r="U317" s="242">
        <v>1</v>
      </c>
    </row>
    <row r="318" spans="1:21" ht="14.4" customHeight="1" x14ac:dyDescent="0.3">
      <c r="A318" s="680">
        <v>50</v>
      </c>
      <c r="B318" s="671" t="s">
        <v>536</v>
      </c>
      <c r="C318" s="671">
        <v>89301502</v>
      </c>
      <c r="D318" s="703" t="s">
        <v>2487</v>
      </c>
      <c r="E318" s="704" t="s">
        <v>1924</v>
      </c>
      <c r="F318" s="671" t="s">
        <v>1912</v>
      </c>
      <c r="G318" s="671" t="s">
        <v>1962</v>
      </c>
      <c r="H318" s="671" t="s">
        <v>1039</v>
      </c>
      <c r="I318" s="671" t="s">
        <v>1118</v>
      </c>
      <c r="J318" s="671" t="s">
        <v>1119</v>
      </c>
      <c r="K318" s="671" t="s">
        <v>1083</v>
      </c>
      <c r="L318" s="705">
        <v>1749.69</v>
      </c>
      <c r="M318" s="705">
        <v>1749.69</v>
      </c>
      <c r="N318" s="671">
        <v>1</v>
      </c>
      <c r="O318" s="706">
        <v>1</v>
      </c>
      <c r="P318" s="705">
        <v>1749.69</v>
      </c>
      <c r="Q318" s="682">
        <v>1</v>
      </c>
      <c r="R318" s="671">
        <v>1</v>
      </c>
      <c r="S318" s="682">
        <v>1</v>
      </c>
      <c r="T318" s="706">
        <v>1</v>
      </c>
      <c r="U318" s="242">
        <v>1</v>
      </c>
    </row>
    <row r="319" spans="1:21" ht="14.4" customHeight="1" x14ac:dyDescent="0.3">
      <c r="A319" s="680">
        <v>50</v>
      </c>
      <c r="B319" s="671" t="s">
        <v>536</v>
      </c>
      <c r="C319" s="671">
        <v>89301502</v>
      </c>
      <c r="D319" s="703" t="s">
        <v>2487</v>
      </c>
      <c r="E319" s="704" t="s">
        <v>1924</v>
      </c>
      <c r="F319" s="671" t="s">
        <v>1912</v>
      </c>
      <c r="G319" s="671" t="s">
        <v>1962</v>
      </c>
      <c r="H319" s="671" t="s">
        <v>1039</v>
      </c>
      <c r="I319" s="671" t="s">
        <v>1122</v>
      </c>
      <c r="J319" s="671" t="s">
        <v>1119</v>
      </c>
      <c r="K319" s="671" t="s">
        <v>1086</v>
      </c>
      <c r="L319" s="705">
        <v>2332.92</v>
      </c>
      <c r="M319" s="705">
        <v>2332.92</v>
      </c>
      <c r="N319" s="671">
        <v>1</v>
      </c>
      <c r="O319" s="706">
        <v>1</v>
      </c>
      <c r="P319" s="705">
        <v>2332.92</v>
      </c>
      <c r="Q319" s="682">
        <v>1</v>
      </c>
      <c r="R319" s="671">
        <v>1</v>
      </c>
      <c r="S319" s="682">
        <v>1</v>
      </c>
      <c r="T319" s="706">
        <v>1</v>
      </c>
      <c r="U319" s="242">
        <v>1</v>
      </c>
    </row>
    <row r="320" spans="1:21" ht="14.4" customHeight="1" x14ac:dyDescent="0.3">
      <c r="A320" s="680">
        <v>50</v>
      </c>
      <c r="B320" s="671" t="s">
        <v>536</v>
      </c>
      <c r="C320" s="671">
        <v>89301502</v>
      </c>
      <c r="D320" s="703" t="s">
        <v>2487</v>
      </c>
      <c r="E320" s="704" t="s">
        <v>1924</v>
      </c>
      <c r="F320" s="671" t="s">
        <v>1912</v>
      </c>
      <c r="G320" s="671" t="s">
        <v>1962</v>
      </c>
      <c r="H320" s="671" t="s">
        <v>1039</v>
      </c>
      <c r="I320" s="671" t="s">
        <v>1125</v>
      </c>
      <c r="J320" s="671" t="s">
        <v>1119</v>
      </c>
      <c r="K320" s="671" t="s">
        <v>1823</v>
      </c>
      <c r="L320" s="705">
        <v>2916.16</v>
      </c>
      <c r="M320" s="705">
        <v>8748.48</v>
      </c>
      <c r="N320" s="671">
        <v>3</v>
      </c>
      <c r="O320" s="706">
        <v>3</v>
      </c>
      <c r="P320" s="705">
        <v>8748.48</v>
      </c>
      <c r="Q320" s="682">
        <v>1</v>
      </c>
      <c r="R320" s="671">
        <v>3</v>
      </c>
      <c r="S320" s="682">
        <v>1</v>
      </c>
      <c r="T320" s="706">
        <v>3</v>
      </c>
      <c r="U320" s="242">
        <v>1</v>
      </c>
    </row>
    <row r="321" spans="1:21" ht="14.4" customHeight="1" x14ac:dyDescent="0.3">
      <c r="A321" s="680">
        <v>50</v>
      </c>
      <c r="B321" s="671" t="s">
        <v>536</v>
      </c>
      <c r="C321" s="671">
        <v>89301502</v>
      </c>
      <c r="D321" s="703" t="s">
        <v>2487</v>
      </c>
      <c r="E321" s="704" t="s">
        <v>1924</v>
      </c>
      <c r="F321" s="671" t="s">
        <v>1912</v>
      </c>
      <c r="G321" s="671" t="s">
        <v>2343</v>
      </c>
      <c r="H321" s="671" t="s">
        <v>535</v>
      </c>
      <c r="I321" s="671" t="s">
        <v>2344</v>
      </c>
      <c r="J321" s="671" t="s">
        <v>2345</v>
      </c>
      <c r="K321" s="671" t="s">
        <v>669</v>
      </c>
      <c r="L321" s="705">
        <v>314.89999999999998</v>
      </c>
      <c r="M321" s="705">
        <v>314.89999999999998</v>
      </c>
      <c r="N321" s="671">
        <v>1</v>
      </c>
      <c r="O321" s="706">
        <v>0.5</v>
      </c>
      <c r="P321" s="705"/>
      <c r="Q321" s="682">
        <v>0</v>
      </c>
      <c r="R321" s="671"/>
      <c r="S321" s="682">
        <v>0</v>
      </c>
      <c r="T321" s="706"/>
      <c r="U321" s="242">
        <v>0</v>
      </c>
    </row>
    <row r="322" spans="1:21" ht="14.4" customHeight="1" x14ac:dyDescent="0.3">
      <c r="A322" s="680">
        <v>50</v>
      </c>
      <c r="B322" s="671" t="s">
        <v>536</v>
      </c>
      <c r="C322" s="671">
        <v>89301502</v>
      </c>
      <c r="D322" s="703" t="s">
        <v>2487</v>
      </c>
      <c r="E322" s="704" t="s">
        <v>1924</v>
      </c>
      <c r="F322" s="671" t="s">
        <v>1912</v>
      </c>
      <c r="G322" s="671" t="s">
        <v>2343</v>
      </c>
      <c r="H322" s="671" t="s">
        <v>535</v>
      </c>
      <c r="I322" s="671" t="s">
        <v>667</v>
      </c>
      <c r="J322" s="671" t="s">
        <v>668</v>
      </c>
      <c r="K322" s="671" t="s">
        <v>2346</v>
      </c>
      <c r="L322" s="705">
        <v>314.89999999999998</v>
      </c>
      <c r="M322" s="705">
        <v>314.89999999999998</v>
      </c>
      <c r="N322" s="671">
        <v>1</v>
      </c>
      <c r="O322" s="706">
        <v>0.5</v>
      </c>
      <c r="P322" s="705"/>
      <c r="Q322" s="682">
        <v>0</v>
      </c>
      <c r="R322" s="671"/>
      <c r="S322" s="682">
        <v>0</v>
      </c>
      <c r="T322" s="706"/>
      <c r="U322" s="242">
        <v>0</v>
      </c>
    </row>
    <row r="323" spans="1:21" ht="14.4" customHeight="1" x14ac:dyDescent="0.3">
      <c r="A323" s="680">
        <v>50</v>
      </c>
      <c r="B323" s="671" t="s">
        <v>536</v>
      </c>
      <c r="C323" s="671">
        <v>89301502</v>
      </c>
      <c r="D323" s="703" t="s">
        <v>2487</v>
      </c>
      <c r="E323" s="704" t="s">
        <v>1924</v>
      </c>
      <c r="F323" s="671" t="s">
        <v>1912</v>
      </c>
      <c r="G323" s="671" t="s">
        <v>2004</v>
      </c>
      <c r="H323" s="671" t="s">
        <v>1039</v>
      </c>
      <c r="I323" s="671" t="s">
        <v>1205</v>
      </c>
      <c r="J323" s="671" t="s">
        <v>1096</v>
      </c>
      <c r="K323" s="671" t="s">
        <v>1807</v>
      </c>
      <c r="L323" s="705">
        <v>349.88</v>
      </c>
      <c r="M323" s="705">
        <v>349.88</v>
      </c>
      <c r="N323" s="671">
        <v>1</v>
      </c>
      <c r="O323" s="706">
        <v>0.5</v>
      </c>
      <c r="P323" s="705">
        <v>349.88</v>
      </c>
      <c r="Q323" s="682">
        <v>1</v>
      </c>
      <c r="R323" s="671">
        <v>1</v>
      </c>
      <c r="S323" s="682">
        <v>1</v>
      </c>
      <c r="T323" s="706">
        <v>0.5</v>
      </c>
      <c r="U323" s="242">
        <v>1</v>
      </c>
    </row>
    <row r="324" spans="1:21" ht="14.4" customHeight="1" x14ac:dyDescent="0.3">
      <c r="A324" s="680">
        <v>50</v>
      </c>
      <c r="B324" s="671" t="s">
        <v>536</v>
      </c>
      <c r="C324" s="671">
        <v>89301502</v>
      </c>
      <c r="D324" s="703" t="s">
        <v>2487</v>
      </c>
      <c r="E324" s="704" t="s">
        <v>1924</v>
      </c>
      <c r="F324" s="671" t="s">
        <v>1912</v>
      </c>
      <c r="G324" s="671" t="s">
        <v>2004</v>
      </c>
      <c r="H324" s="671" t="s">
        <v>1039</v>
      </c>
      <c r="I324" s="671" t="s">
        <v>2347</v>
      </c>
      <c r="J324" s="671" t="s">
        <v>1096</v>
      </c>
      <c r="K324" s="671" t="s">
        <v>2348</v>
      </c>
      <c r="L324" s="705">
        <v>0</v>
      </c>
      <c r="M324" s="705">
        <v>0</v>
      </c>
      <c r="N324" s="671">
        <v>2</v>
      </c>
      <c r="O324" s="706">
        <v>1</v>
      </c>
      <c r="P324" s="705"/>
      <c r="Q324" s="682"/>
      <c r="R324" s="671"/>
      <c r="S324" s="682">
        <v>0</v>
      </c>
      <c r="T324" s="706"/>
      <c r="U324" s="242">
        <v>0</v>
      </c>
    </row>
    <row r="325" spans="1:21" ht="14.4" customHeight="1" x14ac:dyDescent="0.3">
      <c r="A325" s="680">
        <v>50</v>
      </c>
      <c r="B325" s="671" t="s">
        <v>536</v>
      </c>
      <c r="C325" s="671">
        <v>89301502</v>
      </c>
      <c r="D325" s="703" t="s">
        <v>2487</v>
      </c>
      <c r="E325" s="704" t="s">
        <v>1924</v>
      </c>
      <c r="F325" s="671" t="s">
        <v>1912</v>
      </c>
      <c r="G325" s="671" t="s">
        <v>2004</v>
      </c>
      <c r="H325" s="671" t="s">
        <v>1039</v>
      </c>
      <c r="I325" s="671" t="s">
        <v>2349</v>
      </c>
      <c r="J325" s="671" t="s">
        <v>1096</v>
      </c>
      <c r="K325" s="671" t="s">
        <v>2350</v>
      </c>
      <c r="L325" s="705">
        <v>0</v>
      </c>
      <c r="M325" s="705">
        <v>0</v>
      </c>
      <c r="N325" s="671">
        <v>5</v>
      </c>
      <c r="O325" s="706">
        <v>2.5</v>
      </c>
      <c r="P325" s="705">
        <v>0</v>
      </c>
      <c r="Q325" s="682"/>
      <c r="R325" s="671">
        <v>1</v>
      </c>
      <c r="S325" s="682">
        <v>0.2</v>
      </c>
      <c r="T325" s="706">
        <v>0.5</v>
      </c>
      <c r="U325" s="242">
        <v>0.2</v>
      </c>
    </row>
    <row r="326" spans="1:21" ht="14.4" customHeight="1" x14ac:dyDescent="0.3">
      <c r="A326" s="680">
        <v>50</v>
      </c>
      <c r="B326" s="671" t="s">
        <v>536</v>
      </c>
      <c r="C326" s="671">
        <v>89301502</v>
      </c>
      <c r="D326" s="703" t="s">
        <v>2487</v>
      </c>
      <c r="E326" s="704" t="s">
        <v>1924</v>
      </c>
      <c r="F326" s="671" t="s">
        <v>1912</v>
      </c>
      <c r="G326" s="671" t="s">
        <v>2204</v>
      </c>
      <c r="H326" s="671" t="s">
        <v>535</v>
      </c>
      <c r="I326" s="671" t="s">
        <v>2351</v>
      </c>
      <c r="J326" s="671" t="s">
        <v>2352</v>
      </c>
      <c r="K326" s="671" t="s">
        <v>2353</v>
      </c>
      <c r="L326" s="705">
        <v>169</v>
      </c>
      <c r="M326" s="705">
        <v>338</v>
      </c>
      <c r="N326" s="671">
        <v>2</v>
      </c>
      <c r="O326" s="706">
        <v>0.5</v>
      </c>
      <c r="P326" s="705"/>
      <c r="Q326" s="682">
        <v>0</v>
      </c>
      <c r="R326" s="671"/>
      <c r="S326" s="682">
        <v>0</v>
      </c>
      <c r="T326" s="706"/>
      <c r="U326" s="242">
        <v>0</v>
      </c>
    </row>
    <row r="327" spans="1:21" ht="14.4" customHeight="1" x14ac:dyDescent="0.3">
      <c r="A327" s="680">
        <v>50</v>
      </c>
      <c r="B327" s="671" t="s">
        <v>536</v>
      </c>
      <c r="C327" s="671">
        <v>89301502</v>
      </c>
      <c r="D327" s="703" t="s">
        <v>2487</v>
      </c>
      <c r="E327" s="704" t="s">
        <v>1924</v>
      </c>
      <c r="F327" s="671" t="s">
        <v>1912</v>
      </c>
      <c r="G327" s="671" t="s">
        <v>1963</v>
      </c>
      <c r="H327" s="671" t="s">
        <v>535</v>
      </c>
      <c r="I327" s="671" t="s">
        <v>2208</v>
      </c>
      <c r="J327" s="671" t="s">
        <v>1965</v>
      </c>
      <c r="K327" s="671" t="s">
        <v>2209</v>
      </c>
      <c r="L327" s="705">
        <v>404.48</v>
      </c>
      <c r="M327" s="705">
        <v>404.48</v>
      </c>
      <c r="N327" s="671">
        <v>1</v>
      </c>
      <c r="O327" s="706">
        <v>0.5</v>
      </c>
      <c r="P327" s="705">
        <v>404.48</v>
      </c>
      <c r="Q327" s="682">
        <v>1</v>
      </c>
      <c r="R327" s="671">
        <v>1</v>
      </c>
      <c r="S327" s="682">
        <v>1</v>
      </c>
      <c r="T327" s="706">
        <v>0.5</v>
      </c>
      <c r="U327" s="242">
        <v>1</v>
      </c>
    </row>
    <row r="328" spans="1:21" ht="14.4" customHeight="1" x14ac:dyDescent="0.3">
      <c r="A328" s="680">
        <v>50</v>
      </c>
      <c r="B328" s="671" t="s">
        <v>536</v>
      </c>
      <c r="C328" s="671">
        <v>89301502</v>
      </c>
      <c r="D328" s="703" t="s">
        <v>2487</v>
      </c>
      <c r="E328" s="704" t="s">
        <v>1924</v>
      </c>
      <c r="F328" s="671" t="s">
        <v>1912</v>
      </c>
      <c r="G328" s="671" t="s">
        <v>1966</v>
      </c>
      <c r="H328" s="671" t="s">
        <v>535</v>
      </c>
      <c r="I328" s="671" t="s">
        <v>2354</v>
      </c>
      <c r="J328" s="671" t="s">
        <v>1968</v>
      </c>
      <c r="K328" s="671" t="s">
        <v>2237</v>
      </c>
      <c r="L328" s="705">
        <v>642.23</v>
      </c>
      <c r="M328" s="705">
        <v>1284.46</v>
      </c>
      <c r="N328" s="671">
        <v>2</v>
      </c>
      <c r="O328" s="706">
        <v>1.5</v>
      </c>
      <c r="P328" s="705">
        <v>642.23</v>
      </c>
      <c r="Q328" s="682">
        <v>0.5</v>
      </c>
      <c r="R328" s="671">
        <v>1</v>
      </c>
      <c r="S328" s="682">
        <v>0.5</v>
      </c>
      <c r="T328" s="706">
        <v>1</v>
      </c>
      <c r="U328" s="242">
        <v>0.66666666666666663</v>
      </c>
    </row>
    <row r="329" spans="1:21" ht="14.4" customHeight="1" x14ac:dyDescent="0.3">
      <c r="A329" s="680">
        <v>50</v>
      </c>
      <c r="B329" s="671" t="s">
        <v>536</v>
      </c>
      <c r="C329" s="671">
        <v>89301502</v>
      </c>
      <c r="D329" s="703" t="s">
        <v>2487</v>
      </c>
      <c r="E329" s="704" t="s">
        <v>1924</v>
      </c>
      <c r="F329" s="671" t="s">
        <v>1912</v>
      </c>
      <c r="G329" s="671" t="s">
        <v>2135</v>
      </c>
      <c r="H329" s="671" t="s">
        <v>535</v>
      </c>
      <c r="I329" s="671" t="s">
        <v>992</v>
      </c>
      <c r="J329" s="671" t="s">
        <v>871</v>
      </c>
      <c r="K329" s="671" t="s">
        <v>993</v>
      </c>
      <c r="L329" s="705">
        <v>610.14</v>
      </c>
      <c r="M329" s="705">
        <v>610.14</v>
      </c>
      <c r="N329" s="671">
        <v>1</v>
      </c>
      <c r="O329" s="706">
        <v>0.5</v>
      </c>
      <c r="P329" s="705"/>
      <c r="Q329" s="682">
        <v>0</v>
      </c>
      <c r="R329" s="671"/>
      <c r="S329" s="682">
        <v>0</v>
      </c>
      <c r="T329" s="706"/>
      <c r="U329" s="242">
        <v>0</v>
      </c>
    </row>
    <row r="330" spans="1:21" ht="14.4" customHeight="1" x14ac:dyDescent="0.3">
      <c r="A330" s="680">
        <v>50</v>
      </c>
      <c r="B330" s="671" t="s">
        <v>536</v>
      </c>
      <c r="C330" s="671">
        <v>89301502</v>
      </c>
      <c r="D330" s="703" t="s">
        <v>2487</v>
      </c>
      <c r="E330" s="704" t="s">
        <v>1924</v>
      </c>
      <c r="F330" s="671" t="s">
        <v>1912</v>
      </c>
      <c r="G330" s="671" t="s">
        <v>2355</v>
      </c>
      <c r="H330" s="671" t="s">
        <v>535</v>
      </c>
      <c r="I330" s="671" t="s">
        <v>2356</v>
      </c>
      <c r="J330" s="671" t="s">
        <v>2357</v>
      </c>
      <c r="K330" s="671" t="s">
        <v>2358</v>
      </c>
      <c r="L330" s="705">
        <v>56.69</v>
      </c>
      <c r="M330" s="705">
        <v>113.38</v>
      </c>
      <c r="N330" s="671">
        <v>2</v>
      </c>
      <c r="O330" s="706">
        <v>0.5</v>
      </c>
      <c r="P330" s="705">
        <v>113.38</v>
      </c>
      <c r="Q330" s="682">
        <v>1</v>
      </c>
      <c r="R330" s="671">
        <v>2</v>
      </c>
      <c r="S330" s="682">
        <v>1</v>
      </c>
      <c r="T330" s="706">
        <v>0.5</v>
      </c>
      <c r="U330" s="242">
        <v>1</v>
      </c>
    </row>
    <row r="331" spans="1:21" ht="14.4" customHeight="1" x14ac:dyDescent="0.3">
      <c r="A331" s="680">
        <v>50</v>
      </c>
      <c r="B331" s="671" t="s">
        <v>536</v>
      </c>
      <c r="C331" s="671">
        <v>89301502</v>
      </c>
      <c r="D331" s="703" t="s">
        <v>2487</v>
      </c>
      <c r="E331" s="704" t="s">
        <v>1924</v>
      </c>
      <c r="F331" s="671" t="s">
        <v>1912</v>
      </c>
      <c r="G331" s="671" t="s">
        <v>2096</v>
      </c>
      <c r="H331" s="671" t="s">
        <v>1039</v>
      </c>
      <c r="I331" s="671" t="s">
        <v>2359</v>
      </c>
      <c r="J331" s="671" t="s">
        <v>2098</v>
      </c>
      <c r="K331" s="671" t="s">
        <v>2360</v>
      </c>
      <c r="L331" s="705">
        <v>140.03</v>
      </c>
      <c r="M331" s="705">
        <v>1680.3600000000001</v>
      </c>
      <c r="N331" s="671">
        <v>12</v>
      </c>
      <c r="O331" s="706">
        <v>2</v>
      </c>
      <c r="P331" s="705"/>
      <c r="Q331" s="682">
        <v>0</v>
      </c>
      <c r="R331" s="671"/>
      <c r="S331" s="682">
        <v>0</v>
      </c>
      <c r="T331" s="706"/>
      <c r="U331" s="242">
        <v>0</v>
      </c>
    </row>
    <row r="332" spans="1:21" ht="14.4" customHeight="1" x14ac:dyDescent="0.3">
      <c r="A332" s="680">
        <v>50</v>
      </c>
      <c r="B332" s="671" t="s">
        <v>536</v>
      </c>
      <c r="C332" s="671">
        <v>89301502</v>
      </c>
      <c r="D332" s="703" t="s">
        <v>2487</v>
      </c>
      <c r="E332" s="704" t="s">
        <v>1924</v>
      </c>
      <c r="F332" s="671" t="s">
        <v>1912</v>
      </c>
      <c r="G332" s="671" t="s">
        <v>1969</v>
      </c>
      <c r="H332" s="671" t="s">
        <v>1039</v>
      </c>
      <c r="I332" s="671" t="s">
        <v>1058</v>
      </c>
      <c r="J332" s="671" t="s">
        <v>1838</v>
      </c>
      <c r="K332" s="671" t="s">
        <v>1060</v>
      </c>
      <c r="L332" s="705">
        <v>134.83000000000001</v>
      </c>
      <c r="M332" s="705">
        <v>404.49</v>
      </c>
      <c r="N332" s="671">
        <v>3</v>
      </c>
      <c r="O332" s="706">
        <v>0.5</v>
      </c>
      <c r="P332" s="705"/>
      <c r="Q332" s="682">
        <v>0</v>
      </c>
      <c r="R332" s="671"/>
      <c r="S332" s="682">
        <v>0</v>
      </c>
      <c r="T332" s="706"/>
      <c r="U332" s="242">
        <v>0</v>
      </c>
    </row>
    <row r="333" spans="1:21" ht="14.4" customHeight="1" x14ac:dyDescent="0.3">
      <c r="A333" s="680">
        <v>50</v>
      </c>
      <c r="B333" s="671" t="s">
        <v>536</v>
      </c>
      <c r="C333" s="671">
        <v>89301502</v>
      </c>
      <c r="D333" s="703" t="s">
        <v>2487</v>
      </c>
      <c r="E333" s="704" t="s">
        <v>1924</v>
      </c>
      <c r="F333" s="671" t="s">
        <v>1912</v>
      </c>
      <c r="G333" s="671" t="s">
        <v>1969</v>
      </c>
      <c r="H333" s="671" t="s">
        <v>535</v>
      </c>
      <c r="I333" s="671" t="s">
        <v>2361</v>
      </c>
      <c r="J333" s="671" t="s">
        <v>2362</v>
      </c>
      <c r="K333" s="671" t="s">
        <v>1153</v>
      </c>
      <c r="L333" s="705">
        <v>67.42</v>
      </c>
      <c r="M333" s="705">
        <v>202.26</v>
      </c>
      <c r="N333" s="671">
        <v>3</v>
      </c>
      <c r="O333" s="706">
        <v>0.5</v>
      </c>
      <c r="P333" s="705">
        <v>202.26</v>
      </c>
      <c r="Q333" s="682">
        <v>1</v>
      </c>
      <c r="R333" s="671">
        <v>3</v>
      </c>
      <c r="S333" s="682">
        <v>1</v>
      </c>
      <c r="T333" s="706">
        <v>0.5</v>
      </c>
      <c r="U333" s="242">
        <v>1</v>
      </c>
    </row>
    <row r="334" spans="1:21" ht="14.4" customHeight="1" x14ac:dyDescent="0.3">
      <c r="A334" s="680">
        <v>50</v>
      </c>
      <c r="B334" s="671" t="s">
        <v>536</v>
      </c>
      <c r="C334" s="671">
        <v>89301502</v>
      </c>
      <c r="D334" s="703" t="s">
        <v>2487</v>
      </c>
      <c r="E334" s="704" t="s">
        <v>1924</v>
      </c>
      <c r="F334" s="671" t="s">
        <v>1912</v>
      </c>
      <c r="G334" s="671" t="s">
        <v>1969</v>
      </c>
      <c r="H334" s="671" t="s">
        <v>1039</v>
      </c>
      <c r="I334" s="671" t="s">
        <v>2363</v>
      </c>
      <c r="J334" s="671" t="s">
        <v>2364</v>
      </c>
      <c r="K334" s="671" t="s">
        <v>2365</v>
      </c>
      <c r="L334" s="705">
        <v>14.6</v>
      </c>
      <c r="M334" s="705">
        <v>73</v>
      </c>
      <c r="N334" s="671">
        <v>5</v>
      </c>
      <c r="O334" s="706">
        <v>0.5</v>
      </c>
      <c r="P334" s="705"/>
      <c r="Q334" s="682">
        <v>0</v>
      </c>
      <c r="R334" s="671"/>
      <c r="S334" s="682">
        <v>0</v>
      </c>
      <c r="T334" s="706"/>
      <c r="U334" s="242">
        <v>0</v>
      </c>
    </row>
    <row r="335" spans="1:21" ht="14.4" customHeight="1" x14ac:dyDescent="0.3">
      <c r="A335" s="680">
        <v>50</v>
      </c>
      <c r="B335" s="671" t="s">
        <v>536</v>
      </c>
      <c r="C335" s="671">
        <v>89301502</v>
      </c>
      <c r="D335" s="703" t="s">
        <v>2487</v>
      </c>
      <c r="E335" s="704" t="s">
        <v>1924</v>
      </c>
      <c r="F335" s="671" t="s">
        <v>1912</v>
      </c>
      <c r="G335" s="671" t="s">
        <v>1969</v>
      </c>
      <c r="H335" s="671" t="s">
        <v>535</v>
      </c>
      <c r="I335" s="671" t="s">
        <v>2366</v>
      </c>
      <c r="J335" s="671" t="s">
        <v>1839</v>
      </c>
      <c r="K335" s="671" t="s">
        <v>1539</v>
      </c>
      <c r="L335" s="705">
        <v>224.71</v>
      </c>
      <c r="M335" s="705">
        <v>224.71</v>
      </c>
      <c r="N335" s="671">
        <v>1</v>
      </c>
      <c r="O335" s="706">
        <v>0.5</v>
      </c>
      <c r="P335" s="705">
        <v>224.71</v>
      </c>
      <c r="Q335" s="682">
        <v>1</v>
      </c>
      <c r="R335" s="671">
        <v>1</v>
      </c>
      <c r="S335" s="682">
        <v>1</v>
      </c>
      <c r="T335" s="706">
        <v>0.5</v>
      </c>
      <c r="U335" s="242">
        <v>1</v>
      </c>
    </row>
    <row r="336" spans="1:21" ht="14.4" customHeight="1" x14ac:dyDescent="0.3">
      <c r="A336" s="680">
        <v>50</v>
      </c>
      <c r="B336" s="671" t="s">
        <v>536</v>
      </c>
      <c r="C336" s="671">
        <v>89301502</v>
      </c>
      <c r="D336" s="703" t="s">
        <v>2487</v>
      </c>
      <c r="E336" s="704" t="s">
        <v>1924</v>
      </c>
      <c r="F336" s="671" t="s">
        <v>1912</v>
      </c>
      <c r="G336" s="671" t="s">
        <v>2012</v>
      </c>
      <c r="H336" s="671" t="s">
        <v>1039</v>
      </c>
      <c r="I336" s="671" t="s">
        <v>2367</v>
      </c>
      <c r="J336" s="671" t="s">
        <v>2368</v>
      </c>
      <c r="K336" s="671" t="s">
        <v>2369</v>
      </c>
      <c r="L336" s="705">
        <v>391.77</v>
      </c>
      <c r="M336" s="705">
        <v>391.77</v>
      </c>
      <c r="N336" s="671">
        <v>1</v>
      </c>
      <c r="O336" s="706">
        <v>0.5</v>
      </c>
      <c r="P336" s="705"/>
      <c r="Q336" s="682">
        <v>0</v>
      </c>
      <c r="R336" s="671"/>
      <c r="S336" s="682">
        <v>0</v>
      </c>
      <c r="T336" s="706"/>
      <c r="U336" s="242">
        <v>0</v>
      </c>
    </row>
    <row r="337" spans="1:21" ht="14.4" customHeight="1" x14ac:dyDescent="0.3">
      <c r="A337" s="680">
        <v>50</v>
      </c>
      <c r="B337" s="671" t="s">
        <v>536</v>
      </c>
      <c r="C337" s="671">
        <v>89301502</v>
      </c>
      <c r="D337" s="703" t="s">
        <v>2487</v>
      </c>
      <c r="E337" s="704" t="s">
        <v>1924</v>
      </c>
      <c r="F337" s="671" t="s">
        <v>1912</v>
      </c>
      <c r="G337" s="671" t="s">
        <v>2012</v>
      </c>
      <c r="H337" s="671" t="s">
        <v>1039</v>
      </c>
      <c r="I337" s="671" t="s">
        <v>2224</v>
      </c>
      <c r="J337" s="671" t="s">
        <v>2078</v>
      </c>
      <c r="K337" s="671" t="s">
        <v>2225</v>
      </c>
      <c r="L337" s="705">
        <v>605.65</v>
      </c>
      <c r="M337" s="705">
        <v>1211.3</v>
      </c>
      <c r="N337" s="671">
        <v>2</v>
      </c>
      <c r="O337" s="706">
        <v>1</v>
      </c>
      <c r="P337" s="705">
        <v>605.65</v>
      </c>
      <c r="Q337" s="682">
        <v>0.5</v>
      </c>
      <c r="R337" s="671">
        <v>1</v>
      </c>
      <c r="S337" s="682">
        <v>0.5</v>
      </c>
      <c r="T337" s="706">
        <v>0.5</v>
      </c>
      <c r="U337" s="242">
        <v>0.5</v>
      </c>
    </row>
    <row r="338" spans="1:21" ht="14.4" customHeight="1" x14ac:dyDescent="0.3">
      <c r="A338" s="680">
        <v>50</v>
      </c>
      <c r="B338" s="671" t="s">
        <v>536</v>
      </c>
      <c r="C338" s="671">
        <v>89301502</v>
      </c>
      <c r="D338" s="703" t="s">
        <v>2487</v>
      </c>
      <c r="E338" s="704" t="s">
        <v>1924</v>
      </c>
      <c r="F338" s="671" t="s">
        <v>1912</v>
      </c>
      <c r="G338" s="671" t="s">
        <v>2370</v>
      </c>
      <c r="H338" s="671" t="s">
        <v>1039</v>
      </c>
      <c r="I338" s="671" t="s">
        <v>1208</v>
      </c>
      <c r="J338" s="671" t="s">
        <v>1880</v>
      </c>
      <c r="K338" s="671" t="s">
        <v>1881</v>
      </c>
      <c r="L338" s="705">
        <v>201.75</v>
      </c>
      <c r="M338" s="705">
        <v>403.5</v>
      </c>
      <c r="N338" s="671">
        <v>2</v>
      </c>
      <c r="O338" s="706">
        <v>0.5</v>
      </c>
      <c r="P338" s="705">
        <v>403.5</v>
      </c>
      <c r="Q338" s="682">
        <v>1</v>
      </c>
      <c r="R338" s="671">
        <v>2</v>
      </c>
      <c r="S338" s="682">
        <v>1</v>
      </c>
      <c r="T338" s="706">
        <v>0.5</v>
      </c>
      <c r="U338" s="242">
        <v>1</v>
      </c>
    </row>
    <row r="339" spans="1:21" ht="14.4" customHeight="1" x14ac:dyDescent="0.3">
      <c r="A339" s="680">
        <v>50</v>
      </c>
      <c r="B339" s="671" t="s">
        <v>536</v>
      </c>
      <c r="C339" s="671">
        <v>89301502</v>
      </c>
      <c r="D339" s="703" t="s">
        <v>2487</v>
      </c>
      <c r="E339" s="704" t="s">
        <v>1924</v>
      </c>
      <c r="F339" s="671" t="s">
        <v>1912</v>
      </c>
      <c r="G339" s="671" t="s">
        <v>2100</v>
      </c>
      <c r="H339" s="671" t="s">
        <v>535</v>
      </c>
      <c r="I339" s="671" t="s">
        <v>706</v>
      </c>
      <c r="J339" s="671" t="s">
        <v>2101</v>
      </c>
      <c r="K339" s="671" t="s">
        <v>2102</v>
      </c>
      <c r="L339" s="705">
        <v>0</v>
      </c>
      <c r="M339" s="705">
        <v>0</v>
      </c>
      <c r="N339" s="671">
        <v>5</v>
      </c>
      <c r="O339" s="706">
        <v>1.5</v>
      </c>
      <c r="P339" s="705"/>
      <c r="Q339" s="682"/>
      <c r="R339" s="671"/>
      <c r="S339" s="682">
        <v>0</v>
      </c>
      <c r="T339" s="706"/>
      <c r="U339" s="242">
        <v>0</v>
      </c>
    </row>
    <row r="340" spans="1:21" ht="14.4" customHeight="1" x14ac:dyDescent="0.3">
      <c r="A340" s="680">
        <v>50</v>
      </c>
      <c r="B340" s="671" t="s">
        <v>536</v>
      </c>
      <c r="C340" s="671">
        <v>89301502</v>
      </c>
      <c r="D340" s="703" t="s">
        <v>2487</v>
      </c>
      <c r="E340" s="704" t="s">
        <v>1924</v>
      </c>
      <c r="F340" s="671" t="s">
        <v>1912</v>
      </c>
      <c r="G340" s="671" t="s">
        <v>2014</v>
      </c>
      <c r="H340" s="671" t="s">
        <v>535</v>
      </c>
      <c r="I340" s="671" t="s">
        <v>2079</v>
      </c>
      <c r="J340" s="671" t="s">
        <v>2016</v>
      </c>
      <c r="K340" s="671" t="s">
        <v>2080</v>
      </c>
      <c r="L340" s="705">
        <v>219.94</v>
      </c>
      <c r="M340" s="705">
        <v>439.88</v>
      </c>
      <c r="N340" s="671">
        <v>2</v>
      </c>
      <c r="O340" s="706">
        <v>1</v>
      </c>
      <c r="P340" s="705">
        <v>219.94</v>
      </c>
      <c r="Q340" s="682">
        <v>0.5</v>
      </c>
      <c r="R340" s="671">
        <v>1</v>
      </c>
      <c r="S340" s="682">
        <v>0.5</v>
      </c>
      <c r="T340" s="706">
        <v>0.5</v>
      </c>
      <c r="U340" s="242">
        <v>0.5</v>
      </c>
    </row>
    <row r="341" spans="1:21" ht="14.4" customHeight="1" x14ac:dyDescent="0.3">
      <c r="A341" s="680">
        <v>50</v>
      </c>
      <c r="B341" s="671" t="s">
        <v>536</v>
      </c>
      <c r="C341" s="671">
        <v>89301502</v>
      </c>
      <c r="D341" s="703" t="s">
        <v>2487</v>
      </c>
      <c r="E341" s="704" t="s">
        <v>1924</v>
      </c>
      <c r="F341" s="671" t="s">
        <v>1912</v>
      </c>
      <c r="G341" s="671" t="s">
        <v>2014</v>
      </c>
      <c r="H341" s="671" t="s">
        <v>535</v>
      </c>
      <c r="I341" s="671" t="s">
        <v>2371</v>
      </c>
      <c r="J341" s="671" t="s">
        <v>2016</v>
      </c>
      <c r="K341" s="671" t="s">
        <v>2372</v>
      </c>
      <c r="L341" s="705">
        <v>0</v>
      </c>
      <c r="M341" s="705">
        <v>0</v>
      </c>
      <c r="N341" s="671">
        <v>1</v>
      </c>
      <c r="O341" s="706">
        <v>0.5</v>
      </c>
      <c r="P341" s="705"/>
      <c r="Q341" s="682"/>
      <c r="R341" s="671"/>
      <c r="S341" s="682">
        <v>0</v>
      </c>
      <c r="T341" s="706"/>
      <c r="U341" s="242">
        <v>0</v>
      </c>
    </row>
    <row r="342" spans="1:21" ht="14.4" customHeight="1" x14ac:dyDescent="0.3">
      <c r="A342" s="680">
        <v>50</v>
      </c>
      <c r="B342" s="671" t="s">
        <v>536</v>
      </c>
      <c r="C342" s="671">
        <v>89301502</v>
      </c>
      <c r="D342" s="703" t="s">
        <v>2487</v>
      </c>
      <c r="E342" s="704" t="s">
        <v>1924</v>
      </c>
      <c r="F342" s="671" t="s">
        <v>1912</v>
      </c>
      <c r="G342" s="671" t="s">
        <v>2373</v>
      </c>
      <c r="H342" s="671" t="s">
        <v>535</v>
      </c>
      <c r="I342" s="671" t="s">
        <v>2374</v>
      </c>
      <c r="J342" s="671" t="s">
        <v>2375</v>
      </c>
      <c r="K342" s="671" t="s">
        <v>2376</v>
      </c>
      <c r="L342" s="705">
        <v>0</v>
      </c>
      <c r="M342" s="705">
        <v>0</v>
      </c>
      <c r="N342" s="671">
        <v>1</v>
      </c>
      <c r="O342" s="706">
        <v>0.5</v>
      </c>
      <c r="P342" s="705"/>
      <c r="Q342" s="682"/>
      <c r="R342" s="671"/>
      <c r="S342" s="682">
        <v>0</v>
      </c>
      <c r="T342" s="706"/>
      <c r="U342" s="242">
        <v>0</v>
      </c>
    </row>
    <row r="343" spans="1:21" ht="14.4" customHeight="1" x14ac:dyDescent="0.3">
      <c r="A343" s="680">
        <v>50</v>
      </c>
      <c r="B343" s="671" t="s">
        <v>536</v>
      </c>
      <c r="C343" s="671">
        <v>89301502</v>
      </c>
      <c r="D343" s="703" t="s">
        <v>2487</v>
      </c>
      <c r="E343" s="704" t="s">
        <v>1924</v>
      </c>
      <c r="F343" s="671" t="s">
        <v>1912</v>
      </c>
      <c r="G343" s="671" t="s">
        <v>2232</v>
      </c>
      <c r="H343" s="671" t="s">
        <v>1039</v>
      </c>
      <c r="I343" s="671" t="s">
        <v>2233</v>
      </c>
      <c r="J343" s="671" t="s">
        <v>2234</v>
      </c>
      <c r="K343" s="671" t="s">
        <v>2235</v>
      </c>
      <c r="L343" s="705">
        <v>479.04</v>
      </c>
      <c r="M343" s="705">
        <v>958.08</v>
      </c>
      <c r="N343" s="671">
        <v>2</v>
      </c>
      <c r="O343" s="706">
        <v>1</v>
      </c>
      <c r="P343" s="705">
        <v>479.04</v>
      </c>
      <c r="Q343" s="682">
        <v>0.5</v>
      </c>
      <c r="R343" s="671">
        <v>1</v>
      </c>
      <c r="S343" s="682">
        <v>0.5</v>
      </c>
      <c r="T343" s="706">
        <v>0.5</v>
      </c>
      <c r="U343" s="242">
        <v>0.5</v>
      </c>
    </row>
    <row r="344" spans="1:21" ht="14.4" customHeight="1" x14ac:dyDescent="0.3">
      <c r="A344" s="680">
        <v>50</v>
      </c>
      <c r="B344" s="671" t="s">
        <v>536</v>
      </c>
      <c r="C344" s="671">
        <v>89301502</v>
      </c>
      <c r="D344" s="703" t="s">
        <v>2487</v>
      </c>
      <c r="E344" s="704" t="s">
        <v>1924</v>
      </c>
      <c r="F344" s="671" t="s">
        <v>1912</v>
      </c>
      <c r="G344" s="671" t="s">
        <v>2151</v>
      </c>
      <c r="H344" s="671" t="s">
        <v>535</v>
      </c>
      <c r="I344" s="671" t="s">
        <v>2377</v>
      </c>
      <c r="J344" s="671" t="s">
        <v>2152</v>
      </c>
      <c r="K344" s="671" t="s">
        <v>2378</v>
      </c>
      <c r="L344" s="705">
        <v>0</v>
      </c>
      <c r="M344" s="705">
        <v>0</v>
      </c>
      <c r="N344" s="671">
        <v>1</v>
      </c>
      <c r="O344" s="706">
        <v>0.5</v>
      </c>
      <c r="P344" s="705"/>
      <c r="Q344" s="682"/>
      <c r="R344" s="671"/>
      <c r="S344" s="682">
        <v>0</v>
      </c>
      <c r="T344" s="706"/>
      <c r="U344" s="242">
        <v>0</v>
      </c>
    </row>
    <row r="345" spans="1:21" ht="14.4" customHeight="1" x14ac:dyDescent="0.3">
      <c r="A345" s="680">
        <v>50</v>
      </c>
      <c r="B345" s="671" t="s">
        <v>536</v>
      </c>
      <c r="C345" s="671">
        <v>89301502</v>
      </c>
      <c r="D345" s="703" t="s">
        <v>2487</v>
      </c>
      <c r="E345" s="704" t="s">
        <v>1924</v>
      </c>
      <c r="F345" s="671" t="s">
        <v>1912</v>
      </c>
      <c r="G345" s="671" t="s">
        <v>2151</v>
      </c>
      <c r="H345" s="671" t="s">
        <v>535</v>
      </c>
      <c r="I345" s="671" t="s">
        <v>671</v>
      </c>
      <c r="J345" s="671" t="s">
        <v>2152</v>
      </c>
      <c r="K345" s="671" t="s">
        <v>673</v>
      </c>
      <c r="L345" s="705">
        <v>129.94999999999999</v>
      </c>
      <c r="M345" s="705">
        <v>1559.3999999999999</v>
      </c>
      <c r="N345" s="671">
        <v>12</v>
      </c>
      <c r="O345" s="706">
        <v>1.5</v>
      </c>
      <c r="P345" s="705">
        <v>519.79999999999995</v>
      </c>
      <c r="Q345" s="682">
        <v>0.33333333333333331</v>
      </c>
      <c r="R345" s="671">
        <v>4</v>
      </c>
      <c r="S345" s="682">
        <v>0.33333333333333331</v>
      </c>
      <c r="T345" s="706">
        <v>0.5</v>
      </c>
      <c r="U345" s="242">
        <v>0.33333333333333331</v>
      </c>
    </row>
    <row r="346" spans="1:21" ht="14.4" customHeight="1" x14ac:dyDescent="0.3">
      <c r="A346" s="680">
        <v>50</v>
      </c>
      <c r="B346" s="671" t="s">
        <v>536</v>
      </c>
      <c r="C346" s="671">
        <v>89301502</v>
      </c>
      <c r="D346" s="703" t="s">
        <v>2487</v>
      </c>
      <c r="E346" s="704" t="s">
        <v>1924</v>
      </c>
      <c r="F346" s="671" t="s">
        <v>1912</v>
      </c>
      <c r="G346" s="671" t="s">
        <v>2153</v>
      </c>
      <c r="H346" s="671" t="s">
        <v>535</v>
      </c>
      <c r="I346" s="671" t="s">
        <v>2379</v>
      </c>
      <c r="J346" s="671" t="s">
        <v>2155</v>
      </c>
      <c r="K346" s="671" t="s">
        <v>2380</v>
      </c>
      <c r="L346" s="705">
        <v>97.68</v>
      </c>
      <c r="M346" s="705">
        <v>293.04000000000002</v>
      </c>
      <c r="N346" s="671">
        <v>3</v>
      </c>
      <c r="O346" s="706">
        <v>0.5</v>
      </c>
      <c r="P346" s="705"/>
      <c r="Q346" s="682">
        <v>0</v>
      </c>
      <c r="R346" s="671"/>
      <c r="S346" s="682">
        <v>0</v>
      </c>
      <c r="T346" s="706"/>
      <c r="U346" s="242">
        <v>0</v>
      </c>
    </row>
    <row r="347" spans="1:21" ht="14.4" customHeight="1" x14ac:dyDescent="0.3">
      <c r="A347" s="680">
        <v>50</v>
      </c>
      <c r="B347" s="671" t="s">
        <v>536</v>
      </c>
      <c r="C347" s="671">
        <v>89301502</v>
      </c>
      <c r="D347" s="703" t="s">
        <v>2487</v>
      </c>
      <c r="E347" s="704" t="s">
        <v>1924</v>
      </c>
      <c r="F347" s="671" t="s">
        <v>1912</v>
      </c>
      <c r="G347" s="671" t="s">
        <v>2381</v>
      </c>
      <c r="H347" s="671" t="s">
        <v>535</v>
      </c>
      <c r="I347" s="671" t="s">
        <v>2382</v>
      </c>
      <c r="J347" s="671" t="s">
        <v>2383</v>
      </c>
      <c r="K347" s="671" t="s">
        <v>2384</v>
      </c>
      <c r="L347" s="705">
        <v>314.33999999999997</v>
      </c>
      <c r="M347" s="705">
        <v>628.67999999999995</v>
      </c>
      <c r="N347" s="671">
        <v>2</v>
      </c>
      <c r="O347" s="706">
        <v>0.5</v>
      </c>
      <c r="P347" s="705">
        <v>628.67999999999995</v>
      </c>
      <c r="Q347" s="682">
        <v>1</v>
      </c>
      <c r="R347" s="671">
        <v>2</v>
      </c>
      <c r="S347" s="682">
        <v>1</v>
      </c>
      <c r="T347" s="706">
        <v>0.5</v>
      </c>
      <c r="U347" s="242">
        <v>1</v>
      </c>
    </row>
    <row r="348" spans="1:21" ht="14.4" customHeight="1" x14ac:dyDescent="0.3">
      <c r="A348" s="680">
        <v>50</v>
      </c>
      <c r="B348" s="671" t="s">
        <v>536</v>
      </c>
      <c r="C348" s="671">
        <v>89301502</v>
      </c>
      <c r="D348" s="703" t="s">
        <v>2487</v>
      </c>
      <c r="E348" s="704" t="s">
        <v>1924</v>
      </c>
      <c r="F348" s="671" t="s">
        <v>1912</v>
      </c>
      <c r="G348" s="671" t="s">
        <v>2381</v>
      </c>
      <c r="H348" s="671" t="s">
        <v>1039</v>
      </c>
      <c r="I348" s="671" t="s">
        <v>2385</v>
      </c>
      <c r="J348" s="671" t="s">
        <v>2386</v>
      </c>
      <c r="K348" s="671" t="s">
        <v>2387</v>
      </c>
      <c r="L348" s="705">
        <v>163.72999999999999</v>
      </c>
      <c r="M348" s="705">
        <v>327.45999999999998</v>
      </c>
      <c r="N348" s="671">
        <v>2</v>
      </c>
      <c r="O348" s="706">
        <v>0.5</v>
      </c>
      <c r="P348" s="705">
        <v>327.45999999999998</v>
      </c>
      <c r="Q348" s="682">
        <v>1</v>
      </c>
      <c r="R348" s="671">
        <v>2</v>
      </c>
      <c r="S348" s="682">
        <v>1</v>
      </c>
      <c r="T348" s="706">
        <v>0.5</v>
      </c>
      <c r="U348" s="242">
        <v>1</v>
      </c>
    </row>
    <row r="349" spans="1:21" ht="14.4" customHeight="1" x14ac:dyDescent="0.3">
      <c r="A349" s="680">
        <v>50</v>
      </c>
      <c r="B349" s="671" t="s">
        <v>536</v>
      </c>
      <c r="C349" s="671">
        <v>89301502</v>
      </c>
      <c r="D349" s="703" t="s">
        <v>2487</v>
      </c>
      <c r="E349" s="704" t="s">
        <v>1924</v>
      </c>
      <c r="F349" s="671" t="s">
        <v>1912</v>
      </c>
      <c r="G349" s="671" t="s">
        <v>2381</v>
      </c>
      <c r="H349" s="671" t="s">
        <v>535</v>
      </c>
      <c r="I349" s="671" t="s">
        <v>2388</v>
      </c>
      <c r="J349" s="671" t="s">
        <v>2389</v>
      </c>
      <c r="K349" s="671" t="s">
        <v>1959</v>
      </c>
      <c r="L349" s="705">
        <v>98.23</v>
      </c>
      <c r="M349" s="705">
        <v>98.23</v>
      </c>
      <c r="N349" s="671">
        <v>1</v>
      </c>
      <c r="O349" s="706">
        <v>1</v>
      </c>
      <c r="P349" s="705"/>
      <c r="Q349" s="682">
        <v>0</v>
      </c>
      <c r="R349" s="671"/>
      <c r="S349" s="682">
        <v>0</v>
      </c>
      <c r="T349" s="706"/>
      <c r="U349" s="242">
        <v>0</v>
      </c>
    </row>
    <row r="350" spans="1:21" ht="14.4" customHeight="1" x14ac:dyDescent="0.3">
      <c r="A350" s="680">
        <v>50</v>
      </c>
      <c r="B350" s="671" t="s">
        <v>536</v>
      </c>
      <c r="C350" s="671">
        <v>89301502</v>
      </c>
      <c r="D350" s="703" t="s">
        <v>2487</v>
      </c>
      <c r="E350" s="704" t="s">
        <v>1924</v>
      </c>
      <c r="F350" s="671" t="s">
        <v>1912</v>
      </c>
      <c r="G350" s="671" t="s">
        <v>2240</v>
      </c>
      <c r="H350" s="671" t="s">
        <v>535</v>
      </c>
      <c r="I350" s="671" t="s">
        <v>679</v>
      </c>
      <c r="J350" s="671" t="s">
        <v>680</v>
      </c>
      <c r="K350" s="671" t="s">
        <v>681</v>
      </c>
      <c r="L350" s="705">
        <v>157.01</v>
      </c>
      <c r="M350" s="705">
        <v>471.03</v>
      </c>
      <c r="N350" s="671">
        <v>3</v>
      </c>
      <c r="O350" s="706">
        <v>0.5</v>
      </c>
      <c r="P350" s="705"/>
      <c r="Q350" s="682">
        <v>0</v>
      </c>
      <c r="R350" s="671"/>
      <c r="S350" s="682">
        <v>0</v>
      </c>
      <c r="T350" s="706"/>
      <c r="U350" s="242">
        <v>0</v>
      </c>
    </row>
    <row r="351" spans="1:21" ht="14.4" customHeight="1" x14ac:dyDescent="0.3">
      <c r="A351" s="680">
        <v>50</v>
      </c>
      <c r="B351" s="671" t="s">
        <v>536</v>
      </c>
      <c r="C351" s="671">
        <v>89301502</v>
      </c>
      <c r="D351" s="703" t="s">
        <v>2487</v>
      </c>
      <c r="E351" s="704" t="s">
        <v>1924</v>
      </c>
      <c r="F351" s="671" t="s">
        <v>1912</v>
      </c>
      <c r="G351" s="671" t="s">
        <v>2020</v>
      </c>
      <c r="H351" s="671" t="s">
        <v>535</v>
      </c>
      <c r="I351" s="671" t="s">
        <v>729</v>
      </c>
      <c r="J351" s="671" t="s">
        <v>730</v>
      </c>
      <c r="K351" s="671" t="s">
        <v>731</v>
      </c>
      <c r="L351" s="705">
        <v>91.88</v>
      </c>
      <c r="M351" s="705">
        <v>275.64</v>
      </c>
      <c r="N351" s="671">
        <v>3</v>
      </c>
      <c r="O351" s="706">
        <v>0.5</v>
      </c>
      <c r="P351" s="705"/>
      <c r="Q351" s="682">
        <v>0</v>
      </c>
      <c r="R351" s="671"/>
      <c r="S351" s="682">
        <v>0</v>
      </c>
      <c r="T351" s="706"/>
      <c r="U351" s="242">
        <v>0</v>
      </c>
    </row>
    <row r="352" spans="1:21" ht="14.4" customHeight="1" x14ac:dyDescent="0.3">
      <c r="A352" s="680">
        <v>50</v>
      </c>
      <c r="B352" s="671" t="s">
        <v>536</v>
      </c>
      <c r="C352" s="671">
        <v>89301502</v>
      </c>
      <c r="D352" s="703" t="s">
        <v>2487</v>
      </c>
      <c r="E352" s="704" t="s">
        <v>1924</v>
      </c>
      <c r="F352" s="671" t="s">
        <v>1912</v>
      </c>
      <c r="G352" s="671" t="s">
        <v>2390</v>
      </c>
      <c r="H352" s="671" t="s">
        <v>535</v>
      </c>
      <c r="I352" s="671" t="s">
        <v>2391</v>
      </c>
      <c r="J352" s="671" t="s">
        <v>2392</v>
      </c>
      <c r="K352" s="671" t="s">
        <v>2393</v>
      </c>
      <c r="L352" s="705">
        <v>0</v>
      </c>
      <c r="M352" s="705">
        <v>0</v>
      </c>
      <c r="N352" s="671">
        <v>1</v>
      </c>
      <c r="O352" s="706">
        <v>1</v>
      </c>
      <c r="P352" s="705">
        <v>0</v>
      </c>
      <c r="Q352" s="682"/>
      <c r="R352" s="671">
        <v>1</v>
      </c>
      <c r="S352" s="682">
        <v>1</v>
      </c>
      <c r="T352" s="706">
        <v>1</v>
      </c>
      <c r="U352" s="242">
        <v>1</v>
      </c>
    </row>
    <row r="353" spans="1:21" ht="14.4" customHeight="1" x14ac:dyDescent="0.3">
      <c r="A353" s="680">
        <v>50</v>
      </c>
      <c r="B353" s="671" t="s">
        <v>536</v>
      </c>
      <c r="C353" s="671">
        <v>89301502</v>
      </c>
      <c r="D353" s="703" t="s">
        <v>2487</v>
      </c>
      <c r="E353" s="704" t="s">
        <v>1924</v>
      </c>
      <c r="F353" s="671" t="s">
        <v>1912</v>
      </c>
      <c r="G353" s="671" t="s">
        <v>2139</v>
      </c>
      <c r="H353" s="671" t="s">
        <v>535</v>
      </c>
      <c r="I353" s="671" t="s">
        <v>2394</v>
      </c>
      <c r="J353" s="671" t="s">
        <v>2141</v>
      </c>
      <c r="K353" s="671" t="s">
        <v>2395</v>
      </c>
      <c r="L353" s="705">
        <v>525.88</v>
      </c>
      <c r="M353" s="705">
        <v>525.88</v>
      </c>
      <c r="N353" s="671">
        <v>1</v>
      </c>
      <c r="O353" s="706">
        <v>0.5</v>
      </c>
      <c r="P353" s="705"/>
      <c r="Q353" s="682">
        <v>0</v>
      </c>
      <c r="R353" s="671"/>
      <c r="S353" s="682">
        <v>0</v>
      </c>
      <c r="T353" s="706"/>
      <c r="U353" s="242">
        <v>0</v>
      </c>
    </row>
    <row r="354" spans="1:21" ht="14.4" customHeight="1" x14ac:dyDescent="0.3">
      <c r="A354" s="680">
        <v>50</v>
      </c>
      <c r="B354" s="671" t="s">
        <v>536</v>
      </c>
      <c r="C354" s="671">
        <v>89301502</v>
      </c>
      <c r="D354" s="703" t="s">
        <v>2487</v>
      </c>
      <c r="E354" s="704" t="s">
        <v>1924</v>
      </c>
      <c r="F354" s="671" t="s">
        <v>1912</v>
      </c>
      <c r="G354" s="671" t="s">
        <v>1974</v>
      </c>
      <c r="H354" s="671" t="s">
        <v>1039</v>
      </c>
      <c r="I354" s="671" t="s">
        <v>2045</v>
      </c>
      <c r="J354" s="671" t="s">
        <v>2046</v>
      </c>
      <c r="K354" s="671" t="s">
        <v>2047</v>
      </c>
      <c r="L354" s="705">
        <v>156.25</v>
      </c>
      <c r="M354" s="705">
        <v>156.25</v>
      </c>
      <c r="N354" s="671">
        <v>1</v>
      </c>
      <c r="O354" s="706">
        <v>1</v>
      </c>
      <c r="P354" s="705"/>
      <c r="Q354" s="682">
        <v>0</v>
      </c>
      <c r="R354" s="671"/>
      <c r="S354" s="682">
        <v>0</v>
      </c>
      <c r="T354" s="706"/>
      <c r="U354" s="242">
        <v>0</v>
      </c>
    </row>
    <row r="355" spans="1:21" ht="14.4" customHeight="1" x14ac:dyDescent="0.3">
      <c r="A355" s="680">
        <v>50</v>
      </c>
      <c r="B355" s="671" t="s">
        <v>536</v>
      </c>
      <c r="C355" s="671">
        <v>89301502</v>
      </c>
      <c r="D355" s="703" t="s">
        <v>2487</v>
      </c>
      <c r="E355" s="704" t="s">
        <v>1924</v>
      </c>
      <c r="F355" s="671" t="s">
        <v>1912</v>
      </c>
      <c r="G355" s="671" t="s">
        <v>1974</v>
      </c>
      <c r="H355" s="671" t="s">
        <v>1039</v>
      </c>
      <c r="I355" s="671" t="s">
        <v>1140</v>
      </c>
      <c r="J355" s="671" t="s">
        <v>1821</v>
      </c>
      <c r="K355" s="671" t="s">
        <v>1539</v>
      </c>
      <c r="L355" s="705">
        <v>193.14</v>
      </c>
      <c r="M355" s="705">
        <v>193.14</v>
      </c>
      <c r="N355" s="671">
        <v>1</v>
      </c>
      <c r="O355" s="706">
        <v>0.5</v>
      </c>
      <c r="P355" s="705">
        <v>193.14</v>
      </c>
      <c r="Q355" s="682">
        <v>1</v>
      </c>
      <c r="R355" s="671">
        <v>1</v>
      </c>
      <c r="S355" s="682">
        <v>1</v>
      </c>
      <c r="T355" s="706">
        <v>0.5</v>
      </c>
      <c r="U355" s="242">
        <v>1</v>
      </c>
    </row>
    <row r="356" spans="1:21" ht="14.4" customHeight="1" x14ac:dyDescent="0.3">
      <c r="A356" s="680">
        <v>50</v>
      </c>
      <c r="B356" s="671" t="s">
        <v>536</v>
      </c>
      <c r="C356" s="671">
        <v>89301502</v>
      </c>
      <c r="D356" s="703" t="s">
        <v>2487</v>
      </c>
      <c r="E356" s="704" t="s">
        <v>1924</v>
      </c>
      <c r="F356" s="671" t="s">
        <v>1912</v>
      </c>
      <c r="G356" s="671" t="s">
        <v>2245</v>
      </c>
      <c r="H356" s="671" t="s">
        <v>535</v>
      </c>
      <c r="I356" s="671" t="s">
        <v>2396</v>
      </c>
      <c r="J356" s="671" t="s">
        <v>2397</v>
      </c>
      <c r="K356" s="671" t="s">
        <v>1330</v>
      </c>
      <c r="L356" s="705">
        <v>0</v>
      </c>
      <c r="M356" s="705">
        <v>0</v>
      </c>
      <c r="N356" s="671">
        <v>3</v>
      </c>
      <c r="O356" s="706">
        <v>0.5</v>
      </c>
      <c r="P356" s="705"/>
      <c r="Q356" s="682"/>
      <c r="R356" s="671"/>
      <c r="S356" s="682">
        <v>0</v>
      </c>
      <c r="T356" s="706"/>
      <c r="U356" s="242">
        <v>0</v>
      </c>
    </row>
    <row r="357" spans="1:21" ht="14.4" customHeight="1" x14ac:dyDescent="0.3">
      <c r="A357" s="680">
        <v>50</v>
      </c>
      <c r="B357" s="671" t="s">
        <v>536</v>
      </c>
      <c r="C357" s="671">
        <v>89301502</v>
      </c>
      <c r="D357" s="703" t="s">
        <v>2487</v>
      </c>
      <c r="E357" s="704" t="s">
        <v>1924</v>
      </c>
      <c r="F357" s="671" t="s">
        <v>1912</v>
      </c>
      <c r="G357" s="671" t="s">
        <v>2245</v>
      </c>
      <c r="H357" s="671" t="s">
        <v>535</v>
      </c>
      <c r="I357" s="671" t="s">
        <v>2398</v>
      </c>
      <c r="J357" s="671" t="s">
        <v>2397</v>
      </c>
      <c r="K357" s="671" t="s">
        <v>1330</v>
      </c>
      <c r="L357" s="705">
        <v>0</v>
      </c>
      <c r="M357" s="705">
        <v>0</v>
      </c>
      <c r="N357" s="671">
        <v>2</v>
      </c>
      <c r="O357" s="706">
        <v>0.5</v>
      </c>
      <c r="P357" s="705"/>
      <c r="Q357" s="682"/>
      <c r="R357" s="671"/>
      <c r="S357" s="682">
        <v>0</v>
      </c>
      <c r="T357" s="706"/>
      <c r="U357" s="242">
        <v>0</v>
      </c>
    </row>
    <row r="358" spans="1:21" ht="14.4" customHeight="1" x14ac:dyDescent="0.3">
      <c r="A358" s="680">
        <v>50</v>
      </c>
      <c r="B358" s="671" t="s">
        <v>536</v>
      </c>
      <c r="C358" s="671">
        <v>89301502</v>
      </c>
      <c r="D358" s="703" t="s">
        <v>2487</v>
      </c>
      <c r="E358" s="704" t="s">
        <v>1924</v>
      </c>
      <c r="F358" s="671" t="s">
        <v>1912</v>
      </c>
      <c r="G358" s="671" t="s">
        <v>2399</v>
      </c>
      <c r="H358" s="671" t="s">
        <v>535</v>
      </c>
      <c r="I358" s="671" t="s">
        <v>2400</v>
      </c>
      <c r="J358" s="671" t="s">
        <v>2401</v>
      </c>
      <c r="K358" s="671" t="s">
        <v>2402</v>
      </c>
      <c r="L358" s="705">
        <v>0</v>
      </c>
      <c r="M358" s="705">
        <v>0</v>
      </c>
      <c r="N358" s="671">
        <v>2</v>
      </c>
      <c r="O358" s="706">
        <v>0.5</v>
      </c>
      <c r="P358" s="705"/>
      <c r="Q358" s="682"/>
      <c r="R358" s="671"/>
      <c r="S358" s="682">
        <v>0</v>
      </c>
      <c r="T358" s="706"/>
      <c r="U358" s="242">
        <v>0</v>
      </c>
    </row>
    <row r="359" spans="1:21" ht="14.4" customHeight="1" x14ac:dyDescent="0.3">
      <c r="A359" s="680">
        <v>50</v>
      </c>
      <c r="B359" s="671" t="s">
        <v>536</v>
      </c>
      <c r="C359" s="671">
        <v>89301502</v>
      </c>
      <c r="D359" s="703" t="s">
        <v>2487</v>
      </c>
      <c r="E359" s="704" t="s">
        <v>1924</v>
      </c>
      <c r="F359" s="671" t="s">
        <v>1913</v>
      </c>
      <c r="G359" s="671" t="s">
        <v>2248</v>
      </c>
      <c r="H359" s="671" t="s">
        <v>535</v>
      </c>
      <c r="I359" s="671" t="s">
        <v>2403</v>
      </c>
      <c r="J359" s="671" t="s">
        <v>2250</v>
      </c>
      <c r="K359" s="671" t="s">
        <v>2404</v>
      </c>
      <c r="L359" s="705">
        <v>586</v>
      </c>
      <c r="M359" s="705">
        <v>586</v>
      </c>
      <c r="N359" s="671">
        <v>1</v>
      </c>
      <c r="O359" s="706">
        <v>1</v>
      </c>
      <c r="P359" s="705"/>
      <c r="Q359" s="682">
        <v>0</v>
      </c>
      <c r="R359" s="671"/>
      <c r="S359" s="682">
        <v>0</v>
      </c>
      <c r="T359" s="706"/>
      <c r="U359" s="242">
        <v>0</v>
      </c>
    </row>
    <row r="360" spans="1:21" ht="14.4" customHeight="1" x14ac:dyDescent="0.3">
      <c r="A360" s="680">
        <v>50</v>
      </c>
      <c r="B360" s="671" t="s">
        <v>536</v>
      </c>
      <c r="C360" s="671">
        <v>89301502</v>
      </c>
      <c r="D360" s="703" t="s">
        <v>2487</v>
      </c>
      <c r="E360" s="704" t="s">
        <v>1924</v>
      </c>
      <c r="F360" s="671" t="s">
        <v>1913</v>
      </c>
      <c r="G360" s="671" t="s">
        <v>2405</v>
      </c>
      <c r="H360" s="671" t="s">
        <v>535</v>
      </c>
      <c r="I360" s="671" t="s">
        <v>2406</v>
      </c>
      <c r="J360" s="671" t="s">
        <v>2407</v>
      </c>
      <c r="K360" s="671" t="s">
        <v>2408</v>
      </c>
      <c r="L360" s="705">
        <v>38.97</v>
      </c>
      <c r="M360" s="705">
        <v>4364.6400000000021</v>
      </c>
      <c r="N360" s="671">
        <v>112</v>
      </c>
      <c r="O360" s="706">
        <v>27.5</v>
      </c>
      <c r="P360" s="705">
        <v>4052.8800000000019</v>
      </c>
      <c r="Q360" s="682">
        <v>0.9285714285714286</v>
      </c>
      <c r="R360" s="671">
        <v>104</v>
      </c>
      <c r="S360" s="682">
        <v>0.9285714285714286</v>
      </c>
      <c r="T360" s="706">
        <v>25.5</v>
      </c>
      <c r="U360" s="242">
        <v>0.92727272727272725</v>
      </c>
    </row>
    <row r="361" spans="1:21" ht="14.4" customHeight="1" x14ac:dyDescent="0.3">
      <c r="A361" s="680">
        <v>50</v>
      </c>
      <c r="B361" s="671" t="s">
        <v>536</v>
      </c>
      <c r="C361" s="671">
        <v>89301502</v>
      </c>
      <c r="D361" s="703" t="s">
        <v>2487</v>
      </c>
      <c r="E361" s="704" t="s">
        <v>1924</v>
      </c>
      <c r="F361" s="671" t="s">
        <v>1913</v>
      </c>
      <c r="G361" s="671" t="s">
        <v>2405</v>
      </c>
      <c r="H361" s="671" t="s">
        <v>535</v>
      </c>
      <c r="I361" s="671" t="s">
        <v>2409</v>
      </c>
      <c r="J361" s="671" t="s">
        <v>2407</v>
      </c>
      <c r="K361" s="671" t="s">
        <v>2410</v>
      </c>
      <c r="L361" s="705">
        <v>29.43</v>
      </c>
      <c r="M361" s="705">
        <v>117.72</v>
      </c>
      <c r="N361" s="671">
        <v>4</v>
      </c>
      <c r="O361" s="706">
        <v>1</v>
      </c>
      <c r="P361" s="705"/>
      <c r="Q361" s="682">
        <v>0</v>
      </c>
      <c r="R361" s="671"/>
      <c r="S361" s="682">
        <v>0</v>
      </c>
      <c r="T361" s="706"/>
      <c r="U361" s="242">
        <v>0</v>
      </c>
    </row>
    <row r="362" spans="1:21" ht="14.4" customHeight="1" x14ac:dyDescent="0.3">
      <c r="A362" s="680">
        <v>50</v>
      </c>
      <c r="B362" s="671" t="s">
        <v>536</v>
      </c>
      <c r="C362" s="671">
        <v>89301502</v>
      </c>
      <c r="D362" s="703" t="s">
        <v>2487</v>
      </c>
      <c r="E362" s="704" t="s">
        <v>1924</v>
      </c>
      <c r="F362" s="671" t="s">
        <v>1913</v>
      </c>
      <c r="G362" s="671" t="s">
        <v>2405</v>
      </c>
      <c r="H362" s="671" t="s">
        <v>535</v>
      </c>
      <c r="I362" s="671" t="s">
        <v>2411</v>
      </c>
      <c r="J362" s="671" t="s">
        <v>2407</v>
      </c>
      <c r="K362" s="671" t="s">
        <v>2412</v>
      </c>
      <c r="L362" s="705">
        <v>26.74</v>
      </c>
      <c r="M362" s="705">
        <v>106.96</v>
      </c>
      <c r="N362" s="671">
        <v>4</v>
      </c>
      <c r="O362" s="706">
        <v>1</v>
      </c>
      <c r="P362" s="705"/>
      <c r="Q362" s="682">
        <v>0</v>
      </c>
      <c r="R362" s="671"/>
      <c r="S362" s="682">
        <v>0</v>
      </c>
      <c r="T362" s="706"/>
      <c r="U362" s="242">
        <v>0</v>
      </c>
    </row>
    <row r="363" spans="1:21" ht="14.4" customHeight="1" x14ac:dyDescent="0.3">
      <c r="A363" s="680">
        <v>50</v>
      </c>
      <c r="B363" s="671" t="s">
        <v>536</v>
      </c>
      <c r="C363" s="671">
        <v>89301502</v>
      </c>
      <c r="D363" s="703" t="s">
        <v>2487</v>
      </c>
      <c r="E363" s="704" t="s">
        <v>1924</v>
      </c>
      <c r="F363" s="671" t="s">
        <v>1913</v>
      </c>
      <c r="G363" s="671" t="s">
        <v>2413</v>
      </c>
      <c r="H363" s="671" t="s">
        <v>535</v>
      </c>
      <c r="I363" s="671" t="s">
        <v>2414</v>
      </c>
      <c r="J363" s="671" t="s">
        <v>2415</v>
      </c>
      <c r="K363" s="671" t="s">
        <v>2416</v>
      </c>
      <c r="L363" s="705">
        <v>378.48</v>
      </c>
      <c r="M363" s="705">
        <v>2649.36</v>
      </c>
      <c r="N363" s="671">
        <v>7</v>
      </c>
      <c r="O363" s="706">
        <v>7</v>
      </c>
      <c r="P363" s="705">
        <v>2270.88</v>
      </c>
      <c r="Q363" s="682">
        <v>0.8571428571428571</v>
      </c>
      <c r="R363" s="671">
        <v>6</v>
      </c>
      <c r="S363" s="682">
        <v>0.8571428571428571</v>
      </c>
      <c r="T363" s="706">
        <v>6</v>
      </c>
      <c r="U363" s="242">
        <v>0.8571428571428571</v>
      </c>
    </row>
    <row r="364" spans="1:21" ht="14.4" customHeight="1" x14ac:dyDescent="0.3">
      <c r="A364" s="680">
        <v>50</v>
      </c>
      <c r="B364" s="671" t="s">
        <v>536</v>
      </c>
      <c r="C364" s="671">
        <v>89301502</v>
      </c>
      <c r="D364" s="703" t="s">
        <v>2487</v>
      </c>
      <c r="E364" s="704" t="s">
        <v>1924</v>
      </c>
      <c r="F364" s="671" t="s">
        <v>1913</v>
      </c>
      <c r="G364" s="671" t="s">
        <v>2413</v>
      </c>
      <c r="H364" s="671" t="s">
        <v>535</v>
      </c>
      <c r="I364" s="671" t="s">
        <v>2417</v>
      </c>
      <c r="J364" s="671" t="s">
        <v>2418</v>
      </c>
      <c r="K364" s="671" t="s">
        <v>2419</v>
      </c>
      <c r="L364" s="705">
        <v>378.48</v>
      </c>
      <c r="M364" s="705">
        <v>1892.4</v>
      </c>
      <c r="N364" s="671">
        <v>5</v>
      </c>
      <c r="O364" s="706">
        <v>5</v>
      </c>
      <c r="P364" s="705">
        <v>1892.4</v>
      </c>
      <c r="Q364" s="682">
        <v>1</v>
      </c>
      <c r="R364" s="671">
        <v>5</v>
      </c>
      <c r="S364" s="682">
        <v>1</v>
      </c>
      <c r="T364" s="706">
        <v>5</v>
      </c>
      <c r="U364" s="242">
        <v>1</v>
      </c>
    </row>
    <row r="365" spans="1:21" ht="14.4" customHeight="1" x14ac:dyDescent="0.3">
      <c r="A365" s="680">
        <v>50</v>
      </c>
      <c r="B365" s="671" t="s">
        <v>536</v>
      </c>
      <c r="C365" s="671">
        <v>89301502</v>
      </c>
      <c r="D365" s="703" t="s">
        <v>2487</v>
      </c>
      <c r="E365" s="704" t="s">
        <v>1925</v>
      </c>
      <c r="F365" s="671" t="s">
        <v>1912</v>
      </c>
      <c r="G365" s="671" t="s">
        <v>1975</v>
      </c>
      <c r="H365" s="671" t="s">
        <v>1039</v>
      </c>
      <c r="I365" s="671" t="s">
        <v>1051</v>
      </c>
      <c r="J365" s="671" t="s">
        <v>1052</v>
      </c>
      <c r="K365" s="671" t="s">
        <v>1828</v>
      </c>
      <c r="L365" s="705">
        <v>75.28</v>
      </c>
      <c r="M365" s="705">
        <v>225.84</v>
      </c>
      <c r="N365" s="671">
        <v>3</v>
      </c>
      <c r="O365" s="706">
        <v>0.5</v>
      </c>
      <c r="P365" s="705">
        <v>225.84</v>
      </c>
      <c r="Q365" s="682">
        <v>1</v>
      </c>
      <c r="R365" s="671">
        <v>3</v>
      </c>
      <c r="S365" s="682">
        <v>1</v>
      </c>
      <c r="T365" s="706">
        <v>0.5</v>
      </c>
      <c r="U365" s="242">
        <v>1</v>
      </c>
    </row>
    <row r="366" spans="1:21" ht="14.4" customHeight="1" x14ac:dyDescent="0.3">
      <c r="A366" s="680">
        <v>50</v>
      </c>
      <c r="B366" s="671" t="s">
        <v>536</v>
      </c>
      <c r="C366" s="671">
        <v>89301502</v>
      </c>
      <c r="D366" s="703" t="s">
        <v>2487</v>
      </c>
      <c r="E366" s="704" t="s">
        <v>1925</v>
      </c>
      <c r="F366" s="671" t="s">
        <v>1912</v>
      </c>
      <c r="G366" s="671" t="s">
        <v>2279</v>
      </c>
      <c r="H366" s="671" t="s">
        <v>535</v>
      </c>
      <c r="I366" s="671" t="s">
        <v>1627</v>
      </c>
      <c r="J366" s="671" t="s">
        <v>1628</v>
      </c>
      <c r="K366" s="671" t="s">
        <v>2280</v>
      </c>
      <c r="L366" s="705">
        <v>68.819999999999993</v>
      </c>
      <c r="M366" s="705">
        <v>137.63999999999999</v>
      </c>
      <c r="N366" s="671">
        <v>2</v>
      </c>
      <c r="O366" s="706">
        <v>1</v>
      </c>
      <c r="P366" s="705">
        <v>137.63999999999999</v>
      </c>
      <c r="Q366" s="682">
        <v>1</v>
      </c>
      <c r="R366" s="671">
        <v>2</v>
      </c>
      <c r="S366" s="682">
        <v>1</v>
      </c>
      <c r="T366" s="706">
        <v>1</v>
      </c>
      <c r="U366" s="242">
        <v>1</v>
      </c>
    </row>
    <row r="367" spans="1:21" ht="14.4" customHeight="1" x14ac:dyDescent="0.3">
      <c r="A367" s="680">
        <v>50</v>
      </c>
      <c r="B367" s="671" t="s">
        <v>536</v>
      </c>
      <c r="C367" s="671">
        <v>89301502</v>
      </c>
      <c r="D367" s="703" t="s">
        <v>2487</v>
      </c>
      <c r="E367" s="704" t="s">
        <v>1925</v>
      </c>
      <c r="F367" s="671" t="s">
        <v>1912</v>
      </c>
      <c r="G367" s="671" t="s">
        <v>1934</v>
      </c>
      <c r="H367" s="671" t="s">
        <v>1039</v>
      </c>
      <c r="I367" s="671" t="s">
        <v>1136</v>
      </c>
      <c r="J367" s="671" t="s">
        <v>1137</v>
      </c>
      <c r="K367" s="671" t="s">
        <v>1843</v>
      </c>
      <c r="L367" s="705">
        <v>435.3</v>
      </c>
      <c r="M367" s="705">
        <v>435.3</v>
      </c>
      <c r="N367" s="671">
        <v>1</v>
      </c>
      <c r="O367" s="706">
        <v>1</v>
      </c>
      <c r="P367" s="705">
        <v>435.3</v>
      </c>
      <c r="Q367" s="682">
        <v>1</v>
      </c>
      <c r="R367" s="671">
        <v>1</v>
      </c>
      <c r="S367" s="682">
        <v>1</v>
      </c>
      <c r="T367" s="706">
        <v>1</v>
      </c>
      <c r="U367" s="242">
        <v>1</v>
      </c>
    </row>
    <row r="368" spans="1:21" ht="14.4" customHeight="1" x14ac:dyDescent="0.3">
      <c r="A368" s="680">
        <v>50</v>
      </c>
      <c r="B368" s="671" t="s">
        <v>536</v>
      </c>
      <c r="C368" s="671">
        <v>89301502</v>
      </c>
      <c r="D368" s="703" t="s">
        <v>2487</v>
      </c>
      <c r="E368" s="704" t="s">
        <v>1925</v>
      </c>
      <c r="F368" s="671" t="s">
        <v>1912</v>
      </c>
      <c r="G368" s="671" t="s">
        <v>1979</v>
      </c>
      <c r="H368" s="671" t="s">
        <v>535</v>
      </c>
      <c r="I368" s="671" t="s">
        <v>797</v>
      </c>
      <c r="J368" s="671" t="s">
        <v>1981</v>
      </c>
      <c r="K368" s="671" t="s">
        <v>1983</v>
      </c>
      <c r="L368" s="705">
        <v>66.599999999999994</v>
      </c>
      <c r="M368" s="705">
        <v>66.599999999999994</v>
      </c>
      <c r="N368" s="671">
        <v>1</v>
      </c>
      <c r="O368" s="706">
        <v>0.5</v>
      </c>
      <c r="P368" s="705"/>
      <c r="Q368" s="682">
        <v>0</v>
      </c>
      <c r="R368" s="671"/>
      <c r="S368" s="682">
        <v>0</v>
      </c>
      <c r="T368" s="706"/>
      <c r="U368" s="242">
        <v>0</v>
      </c>
    </row>
    <row r="369" spans="1:21" ht="14.4" customHeight="1" x14ac:dyDescent="0.3">
      <c r="A369" s="680">
        <v>50</v>
      </c>
      <c r="B369" s="671" t="s">
        <v>536</v>
      </c>
      <c r="C369" s="671">
        <v>89301502</v>
      </c>
      <c r="D369" s="703" t="s">
        <v>2487</v>
      </c>
      <c r="E369" s="704" t="s">
        <v>1925</v>
      </c>
      <c r="F369" s="671" t="s">
        <v>1912</v>
      </c>
      <c r="G369" s="671" t="s">
        <v>2014</v>
      </c>
      <c r="H369" s="671" t="s">
        <v>535</v>
      </c>
      <c r="I369" s="671" t="s">
        <v>2015</v>
      </c>
      <c r="J369" s="671" t="s">
        <v>2016</v>
      </c>
      <c r="K369" s="671" t="s">
        <v>2017</v>
      </c>
      <c r="L369" s="705">
        <v>43.99</v>
      </c>
      <c r="M369" s="705">
        <v>87.98</v>
      </c>
      <c r="N369" s="671">
        <v>2</v>
      </c>
      <c r="O369" s="706">
        <v>0.5</v>
      </c>
      <c r="P369" s="705"/>
      <c r="Q369" s="682">
        <v>0</v>
      </c>
      <c r="R369" s="671"/>
      <c r="S369" s="682">
        <v>0</v>
      </c>
      <c r="T369" s="706"/>
      <c r="U369" s="242">
        <v>0</v>
      </c>
    </row>
    <row r="370" spans="1:21" ht="14.4" customHeight="1" x14ac:dyDescent="0.3">
      <c r="A370" s="680">
        <v>50</v>
      </c>
      <c r="B370" s="671" t="s">
        <v>536</v>
      </c>
      <c r="C370" s="671">
        <v>89301502</v>
      </c>
      <c r="D370" s="703" t="s">
        <v>2487</v>
      </c>
      <c r="E370" s="704" t="s">
        <v>1925</v>
      </c>
      <c r="F370" s="671" t="s">
        <v>1912</v>
      </c>
      <c r="G370" s="671" t="s">
        <v>1974</v>
      </c>
      <c r="H370" s="671" t="s">
        <v>1039</v>
      </c>
      <c r="I370" s="671" t="s">
        <v>2420</v>
      </c>
      <c r="J370" s="671" t="s">
        <v>2421</v>
      </c>
      <c r="K370" s="671" t="s">
        <v>1539</v>
      </c>
      <c r="L370" s="705">
        <v>193.14</v>
      </c>
      <c r="M370" s="705">
        <v>193.14</v>
      </c>
      <c r="N370" s="671">
        <v>1</v>
      </c>
      <c r="O370" s="706">
        <v>0.5</v>
      </c>
      <c r="P370" s="705">
        <v>193.14</v>
      </c>
      <c r="Q370" s="682">
        <v>1</v>
      </c>
      <c r="R370" s="671">
        <v>1</v>
      </c>
      <c r="S370" s="682">
        <v>1</v>
      </c>
      <c r="T370" s="706">
        <v>0.5</v>
      </c>
      <c r="U370" s="242">
        <v>1</v>
      </c>
    </row>
    <row r="371" spans="1:21" ht="14.4" customHeight="1" x14ac:dyDescent="0.3">
      <c r="A371" s="680">
        <v>50</v>
      </c>
      <c r="B371" s="671" t="s">
        <v>536</v>
      </c>
      <c r="C371" s="671">
        <v>89301502</v>
      </c>
      <c r="D371" s="703" t="s">
        <v>2487</v>
      </c>
      <c r="E371" s="704" t="s">
        <v>1925</v>
      </c>
      <c r="F371" s="671" t="s">
        <v>1913</v>
      </c>
      <c r="G371" s="671" t="s">
        <v>2405</v>
      </c>
      <c r="H371" s="671" t="s">
        <v>535</v>
      </c>
      <c r="I371" s="671" t="s">
        <v>2406</v>
      </c>
      <c r="J371" s="671" t="s">
        <v>2407</v>
      </c>
      <c r="K371" s="671" t="s">
        <v>2408</v>
      </c>
      <c r="L371" s="705">
        <v>38.97</v>
      </c>
      <c r="M371" s="705">
        <v>2026.4400000000005</v>
      </c>
      <c r="N371" s="671">
        <v>52</v>
      </c>
      <c r="O371" s="706">
        <v>13</v>
      </c>
      <c r="P371" s="705">
        <v>2026.4400000000005</v>
      </c>
      <c r="Q371" s="682">
        <v>1</v>
      </c>
      <c r="R371" s="671">
        <v>52</v>
      </c>
      <c r="S371" s="682">
        <v>1</v>
      </c>
      <c r="T371" s="706">
        <v>13</v>
      </c>
      <c r="U371" s="242">
        <v>1</v>
      </c>
    </row>
    <row r="372" spans="1:21" ht="14.4" customHeight="1" x14ac:dyDescent="0.3">
      <c r="A372" s="680">
        <v>50</v>
      </c>
      <c r="B372" s="671" t="s">
        <v>536</v>
      </c>
      <c r="C372" s="671">
        <v>89301502</v>
      </c>
      <c r="D372" s="703" t="s">
        <v>2487</v>
      </c>
      <c r="E372" s="704" t="s">
        <v>1925</v>
      </c>
      <c r="F372" s="671" t="s">
        <v>1913</v>
      </c>
      <c r="G372" s="671" t="s">
        <v>2413</v>
      </c>
      <c r="H372" s="671" t="s">
        <v>535</v>
      </c>
      <c r="I372" s="671" t="s">
        <v>2414</v>
      </c>
      <c r="J372" s="671" t="s">
        <v>2415</v>
      </c>
      <c r="K372" s="671" t="s">
        <v>2416</v>
      </c>
      <c r="L372" s="705">
        <v>378.48</v>
      </c>
      <c r="M372" s="705">
        <v>1135.44</v>
      </c>
      <c r="N372" s="671">
        <v>3</v>
      </c>
      <c r="O372" s="706">
        <v>3</v>
      </c>
      <c r="P372" s="705">
        <v>1135.44</v>
      </c>
      <c r="Q372" s="682">
        <v>1</v>
      </c>
      <c r="R372" s="671">
        <v>3</v>
      </c>
      <c r="S372" s="682">
        <v>1</v>
      </c>
      <c r="T372" s="706">
        <v>3</v>
      </c>
      <c r="U372" s="242">
        <v>1</v>
      </c>
    </row>
    <row r="373" spans="1:21" ht="14.4" customHeight="1" x14ac:dyDescent="0.3">
      <c r="A373" s="680">
        <v>50</v>
      </c>
      <c r="B373" s="671" t="s">
        <v>536</v>
      </c>
      <c r="C373" s="671">
        <v>89301502</v>
      </c>
      <c r="D373" s="703" t="s">
        <v>2487</v>
      </c>
      <c r="E373" s="704" t="s">
        <v>1925</v>
      </c>
      <c r="F373" s="671" t="s">
        <v>1913</v>
      </c>
      <c r="G373" s="671" t="s">
        <v>2413</v>
      </c>
      <c r="H373" s="671" t="s">
        <v>535</v>
      </c>
      <c r="I373" s="671" t="s">
        <v>2417</v>
      </c>
      <c r="J373" s="671" t="s">
        <v>2418</v>
      </c>
      <c r="K373" s="671" t="s">
        <v>2419</v>
      </c>
      <c r="L373" s="705">
        <v>378.48</v>
      </c>
      <c r="M373" s="705">
        <v>1513.92</v>
      </c>
      <c r="N373" s="671">
        <v>4</v>
      </c>
      <c r="O373" s="706">
        <v>4</v>
      </c>
      <c r="P373" s="705">
        <v>1513.92</v>
      </c>
      <c r="Q373" s="682">
        <v>1</v>
      </c>
      <c r="R373" s="671">
        <v>4</v>
      </c>
      <c r="S373" s="682">
        <v>1</v>
      </c>
      <c r="T373" s="706">
        <v>4</v>
      </c>
      <c r="U373" s="242">
        <v>1</v>
      </c>
    </row>
    <row r="374" spans="1:21" ht="14.4" customHeight="1" x14ac:dyDescent="0.3">
      <c r="A374" s="680">
        <v>50</v>
      </c>
      <c r="B374" s="671" t="s">
        <v>536</v>
      </c>
      <c r="C374" s="671">
        <v>89301502</v>
      </c>
      <c r="D374" s="703" t="s">
        <v>2487</v>
      </c>
      <c r="E374" s="704" t="s">
        <v>1928</v>
      </c>
      <c r="F374" s="671" t="s">
        <v>1912</v>
      </c>
      <c r="G374" s="671" t="s">
        <v>2157</v>
      </c>
      <c r="H374" s="671" t="s">
        <v>535</v>
      </c>
      <c r="I374" s="671" t="s">
        <v>2422</v>
      </c>
      <c r="J374" s="671" t="s">
        <v>2423</v>
      </c>
      <c r="K374" s="671" t="s">
        <v>1874</v>
      </c>
      <c r="L374" s="705">
        <v>6.98</v>
      </c>
      <c r="M374" s="705">
        <v>13.96</v>
      </c>
      <c r="N374" s="671">
        <v>2</v>
      </c>
      <c r="O374" s="706">
        <v>0.5</v>
      </c>
      <c r="P374" s="705"/>
      <c r="Q374" s="682">
        <v>0</v>
      </c>
      <c r="R374" s="671"/>
      <c r="S374" s="682">
        <v>0</v>
      </c>
      <c r="T374" s="706"/>
      <c r="U374" s="242">
        <v>0</v>
      </c>
    </row>
    <row r="375" spans="1:21" ht="14.4" customHeight="1" x14ac:dyDescent="0.3">
      <c r="A375" s="680">
        <v>50</v>
      </c>
      <c r="B375" s="671" t="s">
        <v>536</v>
      </c>
      <c r="C375" s="671">
        <v>89301502</v>
      </c>
      <c r="D375" s="703" t="s">
        <v>2487</v>
      </c>
      <c r="E375" s="704" t="s">
        <v>1928</v>
      </c>
      <c r="F375" s="671" t="s">
        <v>1912</v>
      </c>
      <c r="G375" s="671" t="s">
        <v>1956</v>
      </c>
      <c r="H375" s="671" t="s">
        <v>535</v>
      </c>
      <c r="I375" s="671" t="s">
        <v>2092</v>
      </c>
      <c r="J375" s="671" t="s">
        <v>2093</v>
      </c>
      <c r="K375" s="671" t="s">
        <v>723</v>
      </c>
      <c r="L375" s="705">
        <v>60.02</v>
      </c>
      <c r="M375" s="705">
        <v>180.06</v>
      </c>
      <c r="N375" s="671">
        <v>3</v>
      </c>
      <c r="O375" s="706">
        <v>0.5</v>
      </c>
      <c r="P375" s="705"/>
      <c r="Q375" s="682">
        <v>0</v>
      </c>
      <c r="R375" s="671"/>
      <c r="S375" s="682">
        <v>0</v>
      </c>
      <c r="T375" s="706"/>
      <c r="U375" s="242">
        <v>0</v>
      </c>
    </row>
    <row r="376" spans="1:21" ht="14.4" customHeight="1" x14ac:dyDescent="0.3">
      <c r="A376" s="680">
        <v>50</v>
      </c>
      <c r="B376" s="671" t="s">
        <v>536</v>
      </c>
      <c r="C376" s="671">
        <v>89301502</v>
      </c>
      <c r="D376" s="703" t="s">
        <v>2487</v>
      </c>
      <c r="E376" s="704" t="s">
        <v>1928</v>
      </c>
      <c r="F376" s="671" t="s">
        <v>1912</v>
      </c>
      <c r="G376" s="671" t="s">
        <v>2424</v>
      </c>
      <c r="H376" s="671" t="s">
        <v>535</v>
      </c>
      <c r="I376" s="671" t="s">
        <v>2425</v>
      </c>
      <c r="J376" s="671" t="s">
        <v>2426</v>
      </c>
      <c r="K376" s="671" t="s">
        <v>2427</v>
      </c>
      <c r="L376" s="705">
        <v>96.63</v>
      </c>
      <c r="M376" s="705">
        <v>96.63</v>
      </c>
      <c r="N376" s="671">
        <v>1</v>
      </c>
      <c r="O376" s="706">
        <v>1</v>
      </c>
      <c r="P376" s="705"/>
      <c r="Q376" s="682">
        <v>0</v>
      </c>
      <c r="R376" s="671"/>
      <c r="S376" s="682">
        <v>0</v>
      </c>
      <c r="T376" s="706"/>
      <c r="U376" s="242">
        <v>0</v>
      </c>
    </row>
    <row r="377" spans="1:21" ht="14.4" customHeight="1" x14ac:dyDescent="0.3">
      <c r="A377" s="680">
        <v>50</v>
      </c>
      <c r="B377" s="671" t="s">
        <v>536</v>
      </c>
      <c r="C377" s="671">
        <v>89301502</v>
      </c>
      <c r="D377" s="703" t="s">
        <v>2487</v>
      </c>
      <c r="E377" s="704" t="s">
        <v>1928</v>
      </c>
      <c r="F377" s="671" t="s">
        <v>1912</v>
      </c>
      <c r="G377" s="671" t="s">
        <v>2012</v>
      </c>
      <c r="H377" s="671" t="s">
        <v>1039</v>
      </c>
      <c r="I377" s="671" t="s">
        <v>2367</v>
      </c>
      <c r="J377" s="671" t="s">
        <v>2368</v>
      </c>
      <c r="K377" s="671" t="s">
        <v>2369</v>
      </c>
      <c r="L377" s="705">
        <v>391.77</v>
      </c>
      <c r="M377" s="705">
        <v>391.77</v>
      </c>
      <c r="N377" s="671">
        <v>1</v>
      </c>
      <c r="O377" s="706">
        <v>1</v>
      </c>
      <c r="P377" s="705"/>
      <c r="Q377" s="682">
        <v>0</v>
      </c>
      <c r="R377" s="671"/>
      <c r="S377" s="682">
        <v>0</v>
      </c>
      <c r="T377" s="706"/>
      <c r="U377" s="242">
        <v>0</v>
      </c>
    </row>
    <row r="378" spans="1:21" ht="14.4" customHeight="1" x14ac:dyDescent="0.3">
      <c r="A378" s="680">
        <v>50</v>
      </c>
      <c r="B378" s="671" t="s">
        <v>536</v>
      </c>
      <c r="C378" s="671">
        <v>89301502</v>
      </c>
      <c r="D378" s="703" t="s">
        <v>2487</v>
      </c>
      <c r="E378" s="704" t="s">
        <v>1929</v>
      </c>
      <c r="F378" s="671" t="s">
        <v>1912</v>
      </c>
      <c r="G378" s="671" t="s">
        <v>2157</v>
      </c>
      <c r="H378" s="671" t="s">
        <v>535</v>
      </c>
      <c r="I378" s="671" t="s">
        <v>2158</v>
      </c>
      <c r="J378" s="671" t="s">
        <v>2159</v>
      </c>
      <c r="K378" s="671" t="s">
        <v>1874</v>
      </c>
      <c r="L378" s="705">
        <v>5.37</v>
      </c>
      <c r="M378" s="705">
        <v>5.37</v>
      </c>
      <c r="N378" s="671">
        <v>1</v>
      </c>
      <c r="O378" s="706">
        <v>0.5</v>
      </c>
      <c r="P378" s="705"/>
      <c r="Q378" s="682">
        <v>0</v>
      </c>
      <c r="R378" s="671"/>
      <c r="S378" s="682">
        <v>0</v>
      </c>
      <c r="T378" s="706"/>
      <c r="U378" s="242">
        <v>0</v>
      </c>
    </row>
    <row r="379" spans="1:21" ht="14.4" customHeight="1" x14ac:dyDescent="0.3">
      <c r="A379" s="680">
        <v>50</v>
      </c>
      <c r="B379" s="671" t="s">
        <v>536</v>
      </c>
      <c r="C379" s="671">
        <v>89301502</v>
      </c>
      <c r="D379" s="703" t="s">
        <v>2487</v>
      </c>
      <c r="E379" s="704" t="s">
        <v>1929</v>
      </c>
      <c r="F379" s="671" t="s">
        <v>1912</v>
      </c>
      <c r="G379" s="671" t="s">
        <v>1975</v>
      </c>
      <c r="H379" s="671" t="s">
        <v>1039</v>
      </c>
      <c r="I379" s="671" t="s">
        <v>1051</v>
      </c>
      <c r="J379" s="671" t="s">
        <v>1052</v>
      </c>
      <c r="K379" s="671" t="s">
        <v>1828</v>
      </c>
      <c r="L379" s="705">
        <v>75.28</v>
      </c>
      <c r="M379" s="705">
        <v>75.28</v>
      </c>
      <c r="N379" s="671">
        <v>1</v>
      </c>
      <c r="O379" s="706">
        <v>0.5</v>
      </c>
      <c r="P379" s="705"/>
      <c r="Q379" s="682">
        <v>0</v>
      </c>
      <c r="R379" s="671"/>
      <c r="S379" s="682">
        <v>0</v>
      </c>
      <c r="T379" s="706"/>
      <c r="U379" s="242">
        <v>0</v>
      </c>
    </row>
    <row r="380" spans="1:21" ht="14.4" customHeight="1" x14ac:dyDescent="0.3">
      <c r="A380" s="680">
        <v>50</v>
      </c>
      <c r="B380" s="671" t="s">
        <v>536</v>
      </c>
      <c r="C380" s="671">
        <v>89301502</v>
      </c>
      <c r="D380" s="703" t="s">
        <v>2487</v>
      </c>
      <c r="E380" s="704" t="s">
        <v>1929</v>
      </c>
      <c r="F380" s="671" t="s">
        <v>1912</v>
      </c>
      <c r="G380" s="671" t="s">
        <v>1931</v>
      </c>
      <c r="H380" s="671" t="s">
        <v>535</v>
      </c>
      <c r="I380" s="671" t="s">
        <v>2428</v>
      </c>
      <c r="J380" s="671" t="s">
        <v>2429</v>
      </c>
      <c r="K380" s="671" t="s">
        <v>1153</v>
      </c>
      <c r="L380" s="705">
        <v>60.92</v>
      </c>
      <c r="M380" s="705">
        <v>121.84</v>
      </c>
      <c r="N380" s="671">
        <v>2</v>
      </c>
      <c r="O380" s="706">
        <v>0.5</v>
      </c>
      <c r="P380" s="705"/>
      <c r="Q380" s="682">
        <v>0</v>
      </c>
      <c r="R380" s="671"/>
      <c r="S380" s="682">
        <v>0</v>
      </c>
      <c r="T380" s="706"/>
      <c r="U380" s="242">
        <v>0</v>
      </c>
    </row>
    <row r="381" spans="1:21" ht="14.4" customHeight="1" x14ac:dyDescent="0.3">
      <c r="A381" s="680">
        <v>50</v>
      </c>
      <c r="B381" s="671" t="s">
        <v>536</v>
      </c>
      <c r="C381" s="671">
        <v>89301502</v>
      </c>
      <c r="D381" s="703" t="s">
        <v>2487</v>
      </c>
      <c r="E381" s="704" t="s">
        <v>1929</v>
      </c>
      <c r="F381" s="671" t="s">
        <v>1912</v>
      </c>
      <c r="G381" s="671" t="s">
        <v>1934</v>
      </c>
      <c r="H381" s="671" t="s">
        <v>535</v>
      </c>
      <c r="I381" s="671" t="s">
        <v>2430</v>
      </c>
      <c r="J381" s="671" t="s">
        <v>2431</v>
      </c>
      <c r="K381" s="671" t="s">
        <v>2225</v>
      </c>
      <c r="L381" s="705">
        <v>391.77</v>
      </c>
      <c r="M381" s="705">
        <v>391.77</v>
      </c>
      <c r="N381" s="671">
        <v>1</v>
      </c>
      <c r="O381" s="706">
        <v>0.5</v>
      </c>
      <c r="P381" s="705"/>
      <c r="Q381" s="682">
        <v>0</v>
      </c>
      <c r="R381" s="671"/>
      <c r="S381" s="682">
        <v>0</v>
      </c>
      <c r="T381" s="706"/>
      <c r="U381" s="242">
        <v>0</v>
      </c>
    </row>
    <row r="382" spans="1:21" ht="14.4" customHeight="1" x14ac:dyDescent="0.3">
      <c r="A382" s="680">
        <v>50</v>
      </c>
      <c r="B382" s="671" t="s">
        <v>536</v>
      </c>
      <c r="C382" s="671">
        <v>89301502</v>
      </c>
      <c r="D382" s="703" t="s">
        <v>2487</v>
      </c>
      <c r="E382" s="704" t="s">
        <v>1929</v>
      </c>
      <c r="F382" s="671" t="s">
        <v>1912</v>
      </c>
      <c r="G382" s="671" t="s">
        <v>1935</v>
      </c>
      <c r="H382" s="671" t="s">
        <v>535</v>
      </c>
      <c r="I382" s="671" t="s">
        <v>2285</v>
      </c>
      <c r="J382" s="671" t="s">
        <v>1089</v>
      </c>
      <c r="K382" s="671" t="s">
        <v>819</v>
      </c>
      <c r="L382" s="705">
        <v>134.66</v>
      </c>
      <c r="M382" s="705">
        <v>134.66</v>
      </c>
      <c r="N382" s="671">
        <v>1</v>
      </c>
      <c r="O382" s="706">
        <v>1</v>
      </c>
      <c r="P382" s="705">
        <v>134.66</v>
      </c>
      <c r="Q382" s="682">
        <v>1</v>
      </c>
      <c r="R382" s="671">
        <v>1</v>
      </c>
      <c r="S382" s="682">
        <v>1</v>
      </c>
      <c r="T382" s="706">
        <v>1</v>
      </c>
      <c r="U382" s="242">
        <v>1</v>
      </c>
    </row>
    <row r="383" spans="1:21" ht="14.4" customHeight="1" x14ac:dyDescent="0.3">
      <c r="A383" s="680">
        <v>50</v>
      </c>
      <c r="B383" s="671" t="s">
        <v>536</v>
      </c>
      <c r="C383" s="671">
        <v>89301502</v>
      </c>
      <c r="D383" s="703" t="s">
        <v>2487</v>
      </c>
      <c r="E383" s="704" t="s">
        <v>1929</v>
      </c>
      <c r="F383" s="671" t="s">
        <v>1912</v>
      </c>
      <c r="G383" s="671" t="s">
        <v>1935</v>
      </c>
      <c r="H383" s="671" t="s">
        <v>535</v>
      </c>
      <c r="I383" s="671" t="s">
        <v>2146</v>
      </c>
      <c r="J383" s="671" t="s">
        <v>2147</v>
      </c>
      <c r="K383" s="671" t="s">
        <v>2148</v>
      </c>
      <c r="L383" s="705">
        <v>31.43</v>
      </c>
      <c r="M383" s="705">
        <v>31.43</v>
      </c>
      <c r="N383" s="671">
        <v>1</v>
      </c>
      <c r="O383" s="706">
        <v>1</v>
      </c>
      <c r="P383" s="705"/>
      <c r="Q383" s="682">
        <v>0</v>
      </c>
      <c r="R383" s="671"/>
      <c r="S383" s="682">
        <v>0</v>
      </c>
      <c r="T383" s="706"/>
      <c r="U383" s="242">
        <v>0</v>
      </c>
    </row>
    <row r="384" spans="1:21" ht="14.4" customHeight="1" x14ac:dyDescent="0.3">
      <c r="A384" s="680">
        <v>50</v>
      </c>
      <c r="B384" s="671" t="s">
        <v>536</v>
      </c>
      <c r="C384" s="671">
        <v>89301502</v>
      </c>
      <c r="D384" s="703" t="s">
        <v>2487</v>
      </c>
      <c r="E384" s="704" t="s">
        <v>1929</v>
      </c>
      <c r="F384" s="671" t="s">
        <v>1912</v>
      </c>
      <c r="G384" s="671" t="s">
        <v>1935</v>
      </c>
      <c r="H384" s="671" t="s">
        <v>535</v>
      </c>
      <c r="I384" s="671" t="s">
        <v>2052</v>
      </c>
      <c r="J384" s="671" t="s">
        <v>2053</v>
      </c>
      <c r="K384" s="671" t="s">
        <v>1090</v>
      </c>
      <c r="L384" s="705">
        <v>44.89</v>
      </c>
      <c r="M384" s="705">
        <v>44.89</v>
      </c>
      <c r="N384" s="671">
        <v>1</v>
      </c>
      <c r="O384" s="706">
        <v>1</v>
      </c>
      <c r="P384" s="705"/>
      <c r="Q384" s="682">
        <v>0</v>
      </c>
      <c r="R384" s="671"/>
      <c r="S384" s="682">
        <v>0</v>
      </c>
      <c r="T384" s="706"/>
      <c r="U384" s="242">
        <v>0</v>
      </c>
    </row>
    <row r="385" spans="1:21" ht="14.4" customHeight="1" x14ac:dyDescent="0.3">
      <c r="A385" s="680">
        <v>50</v>
      </c>
      <c r="B385" s="671" t="s">
        <v>536</v>
      </c>
      <c r="C385" s="671">
        <v>89301502</v>
      </c>
      <c r="D385" s="703" t="s">
        <v>2487</v>
      </c>
      <c r="E385" s="704" t="s">
        <v>1929</v>
      </c>
      <c r="F385" s="671" t="s">
        <v>1912</v>
      </c>
      <c r="G385" s="671" t="s">
        <v>2286</v>
      </c>
      <c r="H385" s="671" t="s">
        <v>535</v>
      </c>
      <c r="I385" s="671" t="s">
        <v>2432</v>
      </c>
      <c r="J385" s="671" t="s">
        <v>2287</v>
      </c>
      <c r="K385" s="671" t="s">
        <v>1149</v>
      </c>
      <c r="L385" s="705">
        <v>0</v>
      </c>
      <c r="M385" s="705">
        <v>0</v>
      </c>
      <c r="N385" s="671">
        <v>1</v>
      </c>
      <c r="O385" s="706">
        <v>1</v>
      </c>
      <c r="P385" s="705"/>
      <c r="Q385" s="682"/>
      <c r="R385" s="671"/>
      <c r="S385" s="682">
        <v>0</v>
      </c>
      <c r="T385" s="706"/>
      <c r="U385" s="242">
        <v>0</v>
      </c>
    </row>
    <row r="386" spans="1:21" ht="14.4" customHeight="1" x14ac:dyDescent="0.3">
      <c r="A386" s="680">
        <v>50</v>
      </c>
      <c r="B386" s="671" t="s">
        <v>536</v>
      </c>
      <c r="C386" s="671">
        <v>89301502</v>
      </c>
      <c r="D386" s="703" t="s">
        <v>2487</v>
      </c>
      <c r="E386" s="704" t="s">
        <v>1929</v>
      </c>
      <c r="F386" s="671" t="s">
        <v>1912</v>
      </c>
      <c r="G386" s="671" t="s">
        <v>2286</v>
      </c>
      <c r="H386" s="671" t="s">
        <v>535</v>
      </c>
      <c r="I386" s="671" t="s">
        <v>2433</v>
      </c>
      <c r="J386" s="671" t="s">
        <v>2287</v>
      </c>
      <c r="K386" s="671" t="s">
        <v>1149</v>
      </c>
      <c r="L386" s="705">
        <v>0</v>
      </c>
      <c r="M386" s="705">
        <v>0</v>
      </c>
      <c r="N386" s="671">
        <v>1</v>
      </c>
      <c r="O386" s="706">
        <v>1</v>
      </c>
      <c r="P386" s="705"/>
      <c r="Q386" s="682"/>
      <c r="R386" s="671"/>
      <c r="S386" s="682">
        <v>0</v>
      </c>
      <c r="T386" s="706"/>
      <c r="U386" s="242">
        <v>0</v>
      </c>
    </row>
    <row r="387" spans="1:21" ht="14.4" customHeight="1" x14ac:dyDescent="0.3">
      <c r="A387" s="680">
        <v>50</v>
      </c>
      <c r="B387" s="671" t="s">
        <v>536</v>
      </c>
      <c r="C387" s="671">
        <v>89301502</v>
      </c>
      <c r="D387" s="703" t="s">
        <v>2487</v>
      </c>
      <c r="E387" s="704" t="s">
        <v>1929</v>
      </c>
      <c r="F387" s="671" t="s">
        <v>1912</v>
      </c>
      <c r="G387" s="671" t="s">
        <v>2434</v>
      </c>
      <c r="H387" s="671" t="s">
        <v>535</v>
      </c>
      <c r="I387" s="671" t="s">
        <v>2435</v>
      </c>
      <c r="J387" s="671" t="s">
        <v>2436</v>
      </c>
      <c r="K387" s="671" t="s">
        <v>2437</v>
      </c>
      <c r="L387" s="705">
        <v>84.78</v>
      </c>
      <c r="M387" s="705">
        <v>84.78</v>
      </c>
      <c r="N387" s="671">
        <v>1</v>
      </c>
      <c r="O387" s="706">
        <v>0.5</v>
      </c>
      <c r="P387" s="705"/>
      <c r="Q387" s="682">
        <v>0</v>
      </c>
      <c r="R387" s="671"/>
      <c r="S387" s="682">
        <v>0</v>
      </c>
      <c r="T387" s="706"/>
      <c r="U387" s="242">
        <v>0</v>
      </c>
    </row>
    <row r="388" spans="1:21" ht="14.4" customHeight="1" x14ac:dyDescent="0.3">
      <c r="A388" s="680">
        <v>50</v>
      </c>
      <c r="B388" s="671" t="s">
        <v>536</v>
      </c>
      <c r="C388" s="671">
        <v>89301502</v>
      </c>
      <c r="D388" s="703" t="s">
        <v>2487</v>
      </c>
      <c r="E388" s="704" t="s">
        <v>1929</v>
      </c>
      <c r="F388" s="671" t="s">
        <v>1912</v>
      </c>
      <c r="G388" s="671" t="s">
        <v>2255</v>
      </c>
      <c r="H388" s="671" t="s">
        <v>535</v>
      </c>
      <c r="I388" s="671" t="s">
        <v>656</v>
      </c>
      <c r="J388" s="671" t="s">
        <v>657</v>
      </c>
      <c r="K388" s="671" t="s">
        <v>1818</v>
      </c>
      <c r="L388" s="705">
        <v>115.3</v>
      </c>
      <c r="M388" s="705">
        <v>345.9</v>
      </c>
      <c r="N388" s="671">
        <v>3</v>
      </c>
      <c r="O388" s="706">
        <v>0.5</v>
      </c>
      <c r="P388" s="705"/>
      <c r="Q388" s="682">
        <v>0</v>
      </c>
      <c r="R388" s="671"/>
      <c r="S388" s="682">
        <v>0</v>
      </c>
      <c r="T388" s="706"/>
      <c r="U388" s="242">
        <v>0</v>
      </c>
    </row>
    <row r="389" spans="1:21" ht="14.4" customHeight="1" x14ac:dyDescent="0.3">
      <c r="A389" s="680">
        <v>50</v>
      </c>
      <c r="B389" s="671" t="s">
        <v>536</v>
      </c>
      <c r="C389" s="671">
        <v>89301502</v>
      </c>
      <c r="D389" s="703" t="s">
        <v>2487</v>
      </c>
      <c r="E389" s="704" t="s">
        <v>1929</v>
      </c>
      <c r="F389" s="671" t="s">
        <v>1912</v>
      </c>
      <c r="G389" s="671" t="s">
        <v>2438</v>
      </c>
      <c r="H389" s="671" t="s">
        <v>535</v>
      </c>
      <c r="I389" s="671" t="s">
        <v>2439</v>
      </c>
      <c r="J389" s="671" t="s">
        <v>2440</v>
      </c>
      <c r="K389" s="671" t="s">
        <v>2441</v>
      </c>
      <c r="L389" s="705">
        <v>0</v>
      </c>
      <c r="M389" s="705">
        <v>0</v>
      </c>
      <c r="N389" s="671">
        <v>2</v>
      </c>
      <c r="O389" s="706">
        <v>1.5</v>
      </c>
      <c r="P389" s="705"/>
      <c r="Q389" s="682"/>
      <c r="R389" s="671"/>
      <c r="S389" s="682">
        <v>0</v>
      </c>
      <c r="T389" s="706"/>
      <c r="U389" s="242">
        <v>0</v>
      </c>
    </row>
    <row r="390" spans="1:21" ht="14.4" customHeight="1" x14ac:dyDescent="0.3">
      <c r="A390" s="680">
        <v>50</v>
      </c>
      <c r="B390" s="671" t="s">
        <v>536</v>
      </c>
      <c r="C390" s="671">
        <v>89301502</v>
      </c>
      <c r="D390" s="703" t="s">
        <v>2487</v>
      </c>
      <c r="E390" s="704" t="s">
        <v>1929</v>
      </c>
      <c r="F390" s="671" t="s">
        <v>1912</v>
      </c>
      <c r="G390" s="671" t="s">
        <v>2442</v>
      </c>
      <c r="H390" s="671" t="s">
        <v>535</v>
      </c>
      <c r="I390" s="671" t="s">
        <v>2443</v>
      </c>
      <c r="J390" s="671" t="s">
        <v>2444</v>
      </c>
      <c r="K390" s="671" t="s">
        <v>2445</v>
      </c>
      <c r="L390" s="705">
        <v>0</v>
      </c>
      <c r="M390" s="705">
        <v>0</v>
      </c>
      <c r="N390" s="671">
        <v>1</v>
      </c>
      <c r="O390" s="706">
        <v>1</v>
      </c>
      <c r="P390" s="705">
        <v>0</v>
      </c>
      <c r="Q390" s="682"/>
      <c r="R390" s="671">
        <v>1</v>
      </c>
      <c r="S390" s="682">
        <v>1</v>
      </c>
      <c r="T390" s="706">
        <v>1</v>
      </c>
      <c r="U390" s="242">
        <v>1</v>
      </c>
    </row>
    <row r="391" spans="1:21" ht="14.4" customHeight="1" x14ac:dyDescent="0.3">
      <c r="A391" s="680">
        <v>50</v>
      </c>
      <c r="B391" s="671" t="s">
        <v>536</v>
      </c>
      <c r="C391" s="671">
        <v>89301502</v>
      </c>
      <c r="D391" s="703" t="s">
        <v>2487</v>
      </c>
      <c r="E391" s="704" t="s">
        <v>1929</v>
      </c>
      <c r="F391" s="671" t="s">
        <v>1912</v>
      </c>
      <c r="G391" s="671" t="s">
        <v>1979</v>
      </c>
      <c r="H391" s="671" t="s">
        <v>535</v>
      </c>
      <c r="I391" s="671" t="s">
        <v>797</v>
      </c>
      <c r="J391" s="671" t="s">
        <v>1981</v>
      </c>
      <c r="K391" s="671" t="s">
        <v>1983</v>
      </c>
      <c r="L391" s="705">
        <v>66.599999999999994</v>
      </c>
      <c r="M391" s="705">
        <v>133.19999999999999</v>
      </c>
      <c r="N391" s="671">
        <v>2</v>
      </c>
      <c r="O391" s="706">
        <v>0.5</v>
      </c>
      <c r="P391" s="705"/>
      <c r="Q391" s="682">
        <v>0</v>
      </c>
      <c r="R391" s="671"/>
      <c r="S391" s="682">
        <v>0</v>
      </c>
      <c r="T391" s="706"/>
      <c r="U391" s="242">
        <v>0</v>
      </c>
    </row>
    <row r="392" spans="1:21" ht="14.4" customHeight="1" x14ac:dyDescent="0.3">
      <c r="A392" s="680">
        <v>50</v>
      </c>
      <c r="B392" s="671" t="s">
        <v>536</v>
      </c>
      <c r="C392" s="671">
        <v>89301502</v>
      </c>
      <c r="D392" s="703" t="s">
        <v>2487</v>
      </c>
      <c r="E392" s="704" t="s">
        <v>1929</v>
      </c>
      <c r="F392" s="671" t="s">
        <v>1912</v>
      </c>
      <c r="G392" s="671" t="s">
        <v>1951</v>
      </c>
      <c r="H392" s="671" t="s">
        <v>535</v>
      </c>
      <c r="I392" s="671" t="s">
        <v>878</v>
      </c>
      <c r="J392" s="671" t="s">
        <v>879</v>
      </c>
      <c r="K392" s="671" t="s">
        <v>880</v>
      </c>
      <c r="L392" s="705">
        <v>104.66</v>
      </c>
      <c r="M392" s="705">
        <v>104.66</v>
      </c>
      <c r="N392" s="671">
        <v>1</v>
      </c>
      <c r="O392" s="706">
        <v>0.5</v>
      </c>
      <c r="P392" s="705">
        <v>104.66</v>
      </c>
      <c r="Q392" s="682">
        <v>1</v>
      </c>
      <c r="R392" s="671">
        <v>1</v>
      </c>
      <c r="S392" s="682">
        <v>1</v>
      </c>
      <c r="T392" s="706">
        <v>0.5</v>
      </c>
      <c r="U392" s="242">
        <v>1</v>
      </c>
    </row>
    <row r="393" spans="1:21" ht="14.4" customHeight="1" x14ac:dyDescent="0.3">
      <c r="A393" s="680">
        <v>50</v>
      </c>
      <c r="B393" s="671" t="s">
        <v>536</v>
      </c>
      <c r="C393" s="671">
        <v>89301502</v>
      </c>
      <c r="D393" s="703" t="s">
        <v>2487</v>
      </c>
      <c r="E393" s="704" t="s">
        <v>1929</v>
      </c>
      <c r="F393" s="671" t="s">
        <v>1912</v>
      </c>
      <c r="G393" s="671" t="s">
        <v>2446</v>
      </c>
      <c r="H393" s="671" t="s">
        <v>535</v>
      </c>
      <c r="I393" s="671" t="s">
        <v>709</v>
      </c>
      <c r="J393" s="671" t="s">
        <v>2447</v>
      </c>
      <c r="K393" s="671" t="s">
        <v>2448</v>
      </c>
      <c r="L393" s="705">
        <v>72.05</v>
      </c>
      <c r="M393" s="705">
        <v>72.05</v>
      </c>
      <c r="N393" s="671">
        <v>1</v>
      </c>
      <c r="O393" s="706">
        <v>1</v>
      </c>
      <c r="P393" s="705"/>
      <c r="Q393" s="682">
        <v>0</v>
      </c>
      <c r="R393" s="671"/>
      <c r="S393" s="682">
        <v>0</v>
      </c>
      <c r="T393" s="706"/>
      <c r="U393" s="242">
        <v>0</v>
      </c>
    </row>
    <row r="394" spans="1:21" ht="14.4" customHeight="1" x14ac:dyDescent="0.3">
      <c r="A394" s="680">
        <v>50</v>
      </c>
      <c r="B394" s="671" t="s">
        <v>536</v>
      </c>
      <c r="C394" s="671">
        <v>89301502</v>
      </c>
      <c r="D394" s="703" t="s">
        <v>2487</v>
      </c>
      <c r="E394" s="704" t="s">
        <v>1929</v>
      </c>
      <c r="F394" s="671" t="s">
        <v>1912</v>
      </c>
      <c r="G394" s="671" t="s">
        <v>1952</v>
      </c>
      <c r="H394" s="671" t="s">
        <v>535</v>
      </c>
      <c r="I394" s="671" t="s">
        <v>1987</v>
      </c>
      <c r="J394" s="671" t="s">
        <v>1988</v>
      </c>
      <c r="K394" s="671" t="s">
        <v>1989</v>
      </c>
      <c r="L394" s="705">
        <v>0</v>
      </c>
      <c r="M394" s="705">
        <v>0</v>
      </c>
      <c r="N394" s="671">
        <v>2</v>
      </c>
      <c r="O394" s="706">
        <v>0.5</v>
      </c>
      <c r="P394" s="705"/>
      <c r="Q394" s="682"/>
      <c r="R394" s="671"/>
      <c r="S394" s="682">
        <v>0</v>
      </c>
      <c r="T394" s="706"/>
      <c r="U394" s="242">
        <v>0</v>
      </c>
    </row>
    <row r="395" spans="1:21" ht="14.4" customHeight="1" x14ac:dyDescent="0.3">
      <c r="A395" s="680">
        <v>50</v>
      </c>
      <c r="B395" s="671" t="s">
        <v>536</v>
      </c>
      <c r="C395" s="671">
        <v>89301502</v>
      </c>
      <c r="D395" s="703" t="s">
        <v>2487</v>
      </c>
      <c r="E395" s="704" t="s">
        <v>1929</v>
      </c>
      <c r="F395" s="671" t="s">
        <v>1912</v>
      </c>
      <c r="G395" s="671" t="s">
        <v>1952</v>
      </c>
      <c r="H395" s="671" t="s">
        <v>535</v>
      </c>
      <c r="I395" s="671" t="s">
        <v>2034</v>
      </c>
      <c r="J395" s="671" t="s">
        <v>856</v>
      </c>
      <c r="K395" s="671" t="s">
        <v>2035</v>
      </c>
      <c r="L395" s="705">
        <v>30.65</v>
      </c>
      <c r="M395" s="705">
        <v>30.65</v>
      </c>
      <c r="N395" s="671">
        <v>1</v>
      </c>
      <c r="O395" s="706">
        <v>0.5</v>
      </c>
      <c r="P395" s="705">
        <v>30.65</v>
      </c>
      <c r="Q395" s="682">
        <v>1</v>
      </c>
      <c r="R395" s="671">
        <v>1</v>
      </c>
      <c r="S395" s="682">
        <v>1</v>
      </c>
      <c r="T395" s="706">
        <v>0.5</v>
      </c>
      <c r="U395" s="242">
        <v>1</v>
      </c>
    </row>
    <row r="396" spans="1:21" ht="14.4" customHeight="1" x14ac:dyDescent="0.3">
      <c r="A396" s="680">
        <v>50</v>
      </c>
      <c r="B396" s="671" t="s">
        <v>536</v>
      </c>
      <c r="C396" s="671">
        <v>89301502</v>
      </c>
      <c r="D396" s="703" t="s">
        <v>2487</v>
      </c>
      <c r="E396" s="704" t="s">
        <v>1929</v>
      </c>
      <c r="F396" s="671" t="s">
        <v>1912</v>
      </c>
      <c r="G396" s="671" t="s">
        <v>2449</v>
      </c>
      <c r="H396" s="671" t="s">
        <v>1039</v>
      </c>
      <c r="I396" s="671" t="s">
        <v>1062</v>
      </c>
      <c r="J396" s="671" t="s">
        <v>1811</v>
      </c>
      <c r="K396" s="671" t="s">
        <v>1812</v>
      </c>
      <c r="L396" s="705">
        <v>97.97</v>
      </c>
      <c r="M396" s="705">
        <v>587.81999999999994</v>
      </c>
      <c r="N396" s="671">
        <v>6</v>
      </c>
      <c r="O396" s="706">
        <v>1.5</v>
      </c>
      <c r="P396" s="705"/>
      <c r="Q396" s="682">
        <v>0</v>
      </c>
      <c r="R396" s="671"/>
      <c r="S396" s="682">
        <v>0</v>
      </c>
      <c r="T396" s="706"/>
      <c r="U396" s="242">
        <v>0</v>
      </c>
    </row>
    <row r="397" spans="1:21" ht="14.4" customHeight="1" x14ac:dyDescent="0.3">
      <c r="A397" s="680">
        <v>50</v>
      </c>
      <c r="B397" s="671" t="s">
        <v>536</v>
      </c>
      <c r="C397" s="671">
        <v>89301502</v>
      </c>
      <c r="D397" s="703" t="s">
        <v>2487</v>
      </c>
      <c r="E397" s="704" t="s">
        <v>1929</v>
      </c>
      <c r="F397" s="671" t="s">
        <v>1912</v>
      </c>
      <c r="G397" s="671" t="s">
        <v>1990</v>
      </c>
      <c r="H397" s="671" t="s">
        <v>1039</v>
      </c>
      <c r="I397" s="671" t="s">
        <v>1531</v>
      </c>
      <c r="J397" s="671" t="s">
        <v>1532</v>
      </c>
      <c r="K397" s="671" t="s">
        <v>1897</v>
      </c>
      <c r="L397" s="705">
        <v>65.069999999999993</v>
      </c>
      <c r="M397" s="705">
        <v>65.069999999999993</v>
      </c>
      <c r="N397" s="671">
        <v>1</v>
      </c>
      <c r="O397" s="706">
        <v>0.5</v>
      </c>
      <c r="P397" s="705"/>
      <c r="Q397" s="682">
        <v>0</v>
      </c>
      <c r="R397" s="671"/>
      <c r="S397" s="682">
        <v>0</v>
      </c>
      <c r="T397" s="706"/>
      <c r="U397" s="242">
        <v>0</v>
      </c>
    </row>
    <row r="398" spans="1:21" ht="14.4" customHeight="1" x14ac:dyDescent="0.3">
      <c r="A398" s="680">
        <v>50</v>
      </c>
      <c r="B398" s="671" t="s">
        <v>536</v>
      </c>
      <c r="C398" s="671">
        <v>89301502</v>
      </c>
      <c r="D398" s="703" t="s">
        <v>2487</v>
      </c>
      <c r="E398" s="704" t="s">
        <v>1929</v>
      </c>
      <c r="F398" s="671" t="s">
        <v>1912</v>
      </c>
      <c r="G398" s="671" t="s">
        <v>2198</v>
      </c>
      <c r="H398" s="671" t="s">
        <v>1039</v>
      </c>
      <c r="I398" s="671" t="s">
        <v>2329</v>
      </c>
      <c r="J398" s="671" t="s">
        <v>2330</v>
      </c>
      <c r="K398" s="671" t="s">
        <v>2331</v>
      </c>
      <c r="L398" s="705">
        <v>0</v>
      </c>
      <c r="M398" s="705">
        <v>0</v>
      </c>
      <c r="N398" s="671">
        <v>1</v>
      </c>
      <c r="O398" s="706">
        <v>0.5</v>
      </c>
      <c r="P398" s="705"/>
      <c r="Q398" s="682"/>
      <c r="R398" s="671"/>
      <c r="S398" s="682">
        <v>0</v>
      </c>
      <c r="T398" s="706"/>
      <c r="U398" s="242">
        <v>0</v>
      </c>
    </row>
    <row r="399" spans="1:21" ht="14.4" customHeight="1" x14ac:dyDescent="0.3">
      <c r="A399" s="680">
        <v>50</v>
      </c>
      <c r="B399" s="671" t="s">
        <v>536</v>
      </c>
      <c r="C399" s="671">
        <v>89301502</v>
      </c>
      <c r="D399" s="703" t="s">
        <v>2487</v>
      </c>
      <c r="E399" s="704" t="s">
        <v>1929</v>
      </c>
      <c r="F399" s="671" t="s">
        <v>1912</v>
      </c>
      <c r="G399" s="671" t="s">
        <v>1953</v>
      </c>
      <c r="H399" s="671" t="s">
        <v>535</v>
      </c>
      <c r="I399" s="671" t="s">
        <v>2450</v>
      </c>
      <c r="J399" s="671" t="s">
        <v>2451</v>
      </c>
      <c r="K399" s="671" t="s">
        <v>2452</v>
      </c>
      <c r="L399" s="705">
        <v>0</v>
      </c>
      <c r="M399" s="705">
        <v>0</v>
      </c>
      <c r="N399" s="671">
        <v>1</v>
      </c>
      <c r="O399" s="706">
        <v>0.5</v>
      </c>
      <c r="P399" s="705"/>
      <c r="Q399" s="682"/>
      <c r="R399" s="671"/>
      <c r="S399" s="682">
        <v>0</v>
      </c>
      <c r="T399" s="706"/>
      <c r="U399" s="242">
        <v>0</v>
      </c>
    </row>
    <row r="400" spans="1:21" ht="14.4" customHeight="1" x14ac:dyDescent="0.3">
      <c r="A400" s="680">
        <v>50</v>
      </c>
      <c r="B400" s="671" t="s">
        <v>536</v>
      </c>
      <c r="C400" s="671">
        <v>89301502</v>
      </c>
      <c r="D400" s="703" t="s">
        <v>2487</v>
      </c>
      <c r="E400" s="704" t="s">
        <v>1929</v>
      </c>
      <c r="F400" s="671" t="s">
        <v>1912</v>
      </c>
      <c r="G400" s="671" t="s">
        <v>1962</v>
      </c>
      <c r="H400" s="671" t="s">
        <v>1039</v>
      </c>
      <c r="I400" s="671" t="s">
        <v>1118</v>
      </c>
      <c r="J400" s="671" t="s">
        <v>1119</v>
      </c>
      <c r="K400" s="671" t="s">
        <v>1083</v>
      </c>
      <c r="L400" s="705">
        <v>1749.69</v>
      </c>
      <c r="M400" s="705">
        <v>1749.69</v>
      </c>
      <c r="N400" s="671">
        <v>1</v>
      </c>
      <c r="O400" s="706">
        <v>1</v>
      </c>
      <c r="P400" s="705">
        <v>1749.69</v>
      </c>
      <c r="Q400" s="682">
        <v>1</v>
      </c>
      <c r="R400" s="671">
        <v>1</v>
      </c>
      <c r="S400" s="682">
        <v>1</v>
      </c>
      <c r="T400" s="706">
        <v>1</v>
      </c>
      <c r="U400" s="242">
        <v>1</v>
      </c>
    </row>
    <row r="401" spans="1:21" ht="14.4" customHeight="1" x14ac:dyDescent="0.3">
      <c r="A401" s="680">
        <v>50</v>
      </c>
      <c r="B401" s="671" t="s">
        <v>536</v>
      </c>
      <c r="C401" s="671">
        <v>89301502</v>
      </c>
      <c r="D401" s="703" t="s">
        <v>2487</v>
      </c>
      <c r="E401" s="704" t="s">
        <v>1929</v>
      </c>
      <c r="F401" s="671" t="s">
        <v>1912</v>
      </c>
      <c r="G401" s="671" t="s">
        <v>2000</v>
      </c>
      <c r="H401" s="671" t="s">
        <v>535</v>
      </c>
      <c r="I401" s="671" t="s">
        <v>2130</v>
      </c>
      <c r="J401" s="671" t="s">
        <v>2131</v>
      </c>
      <c r="K401" s="671" t="s">
        <v>2132</v>
      </c>
      <c r="L401" s="705">
        <v>51.69</v>
      </c>
      <c r="M401" s="705">
        <v>51.69</v>
      </c>
      <c r="N401" s="671">
        <v>1</v>
      </c>
      <c r="O401" s="706">
        <v>0.5</v>
      </c>
      <c r="P401" s="705"/>
      <c r="Q401" s="682">
        <v>0</v>
      </c>
      <c r="R401" s="671"/>
      <c r="S401" s="682">
        <v>0</v>
      </c>
      <c r="T401" s="706"/>
      <c r="U401" s="242">
        <v>0</v>
      </c>
    </row>
    <row r="402" spans="1:21" ht="14.4" customHeight="1" x14ac:dyDescent="0.3">
      <c r="A402" s="680">
        <v>50</v>
      </c>
      <c r="B402" s="671" t="s">
        <v>536</v>
      </c>
      <c r="C402" s="671">
        <v>89301502</v>
      </c>
      <c r="D402" s="703" t="s">
        <v>2487</v>
      </c>
      <c r="E402" s="704" t="s">
        <v>1929</v>
      </c>
      <c r="F402" s="671" t="s">
        <v>1912</v>
      </c>
      <c r="G402" s="671" t="s">
        <v>2343</v>
      </c>
      <c r="H402" s="671" t="s">
        <v>535</v>
      </c>
      <c r="I402" s="671" t="s">
        <v>2453</v>
      </c>
      <c r="J402" s="671" t="s">
        <v>2454</v>
      </c>
      <c r="K402" s="671" t="s">
        <v>2455</v>
      </c>
      <c r="L402" s="705">
        <v>97.97</v>
      </c>
      <c r="M402" s="705">
        <v>97.97</v>
      </c>
      <c r="N402" s="671">
        <v>1</v>
      </c>
      <c r="O402" s="706">
        <v>0.5</v>
      </c>
      <c r="P402" s="705"/>
      <c r="Q402" s="682">
        <v>0</v>
      </c>
      <c r="R402" s="671"/>
      <c r="S402" s="682">
        <v>0</v>
      </c>
      <c r="T402" s="706"/>
      <c r="U402" s="242">
        <v>0</v>
      </c>
    </row>
    <row r="403" spans="1:21" ht="14.4" customHeight="1" x14ac:dyDescent="0.3">
      <c r="A403" s="680">
        <v>50</v>
      </c>
      <c r="B403" s="671" t="s">
        <v>536</v>
      </c>
      <c r="C403" s="671">
        <v>89301502</v>
      </c>
      <c r="D403" s="703" t="s">
        <v>2487</v>
      </c>
      <c r="E403" s="704" t="s">
        <v>1929</v>
      </c>
      <c r="F403" s="671" t="s">
        <v>1912</v>
      </c>
      <c r="G403" s="671" t="s">
        <v>2343</v>
      </c>
      <c r="H403" s="671" t="s">
        <v>535</v>
      </c>
      <c r="I403" s="671" t="s">
        <v>2344</v>
      </c>
      <c r="J403" s="671" t="s">
        <v>2345</v>
      </c>
      <c r="K403" s="671" t="s">
        <v>669</v>
      </c>
      <c r="L403" s="705">
        <v>314.89999999999998</v>
      </c>
      <c r="M403" s="705">
        <v>314.89999999999998</v>
      </c>
      <c r="N403" s="671">
        <v>1</v>
      </c>
      <c r="O403" s="706">
        <v>0.5</v>
      </c>
      <c r="P403" s="705"/>
      <c r="Q403" s="682">
        <v>0</v>
      </c>
      <c r="R403" s="671"/>
      <c r="S403" s="682">
        <v>0</v>
      </c>
      <c r="T403" s="706"/>
      <c r="U403" s="242">
        <v>0</v>
      </c>
    </row>
    <row r="404" spans="1:21" ht="14.4" customHeight="1" x14ac:dyDescent="0.3">
      <c r="A404" s="680">
        <v>50</v>
      </c>
      <c r="B404" s="671" t="s">
        <v>536</v>
      </c>
      <c r="C404" s="671">
        <v>89301502</v>
      </c>
      <c r="D404" s="703" t="s">
        <v>2487</v>
      </c>
      <c r="E404" s="704" t="s">
        <v>1929</v>
      </c>
      <c r="F404" s="671" t="s">
        <v>1912</v>
      </c>
      <c r="G404" s="671" t="s">
        <v>2456</v>
      </c>
      <c r="H404" s="671" t="s">
        <v>535</v>
      </c>
      <c r="I404" s="671" t="s">
        <v>2457</v>
      </c>
      <c r="J404" s="671" t="s">
        <v>2458</v>
      </c>
      <c r="K404" s="671" t="s">
        <v>2459</v>
      </c>
      <c r="L404" s="705">
        <v>257.22000000000003</v>
      </c>
      <c r="M404" s="705">
        <v>257.22000000000003</v>
      </c>
      <c r="N404" s="671">
        <v>1</v>
      </c>
      <c r="O404" s="706">
        <v>0.5</v>
      </c>
      <c r="P404" s="705"/>
      <c r="Q404" s="682">
        <v>0</v>
      </c>
      <c r="R404" s="671"/>
      <c r="S404" s="682">
        <v>0</v>
      </c>
      <c r="T404" s="706"/>
      <c r="U404" s="242">
        <v>0</v>
      </c>
    </row>
    <row r="405" spans="1:21" ht="14.4" customHeight="1" x14ac:dyDescent="0.3">
      <c r="A405" s="680">
        <v>50</v>
      </c>
      <c r="B405" s="671" t="s">
        <v>536</v>
      </c>
      <c r="C405" s="671">
        <v>89301502</v>
      </c>
      <c r="D405" s="703" t="s">
        <v>2487</v>
      </c>
      <c r="E405" s="704" t="s">
        <v>1929</v>
      </c>
      <c r="F405" s="671" t="s">
        <v>1912</v>
      </c>
      <c r="G405" s="671" t="s">
        <v>1963</v>
      </c>
      <c r="H405" s="671" t="s">
        <v>535</v>
      </c>
      <c r="I405" s="671" t="s">
        <v>2095</v>
      </c>
      <c r="J405" s="671" t="s">
        <v>1965</v>
      </c>
      <c r="K405" s="671" t="s">
        <v>1878</v>
      </c>
      <c r="L405" s="705">
        <v>134.83000000000001</v>
      </c>
      <c r="M405" s="705">
        <v>134.83000000000001</v>
      </c>
      <c r="N405" s="671">
        <v>1</v>
      </c>
      <c r="O405" s="706">
        <v>0.5</v>
      </c>
      <c r="P405" s="705"/>
      <c r="Q405" s="682">
        <v>0</v>
      </c>
      <c r="R405" s="671"/>
      <c r="S405" s="682">
        <v>0</v>
      </c>
      <c r="T405" s="706"/>
      <c r="U405" s="242">
        <v>0</v>
      </c>
    </row>
    <row r="406" spans="1:21" ht="14.4" customHeight="1" x14ac:dyDescent="0.3">
      <c r="A406" s="680">
        <v>50</v>
      </c>
      <c r="B406" s="671" t="s">
        <v>536</v>
      </c>
      <c r="C406" s="671">
        <v>89301502</v>
      </c>
      <c r="D406" s="703" t="s">
        <v>2487</v>
      </c>
      <c r="E406" s="704" t="s">
        <v>1929</v>
      </c>
      <c r="F406" s="671" t="s">
        <v>1912</v>
      </c>
      <c r="G406" s="671" t="s">
        <v>2460</v>
      </c>
      <c r="H406" s="671" t="s">
        <v>535</v>
      </c>
      <c r="I406" s="671" t="s">
        <v>2461</v>
      </c>
      <c r="J406" s="671" t="s">
        <v>2462</v>
      </c>
      <c r="K406" s="671" t="s">
        <v>1104</v>
      </c>
      <c r="L406" s="705">
        <v>6668.83</v>
      </c>
      <c r="M406" s="705">
        <v>6668.83</v>
      </c>
      <c r="N406" s="671">
        <v>1</v>
      </c>
      <c r="O406" s="706">
        <v>0.5</v>
      </c>
      <c r="P406" s="705"/>
      <c r="Q406" s="682">
        <v>0</v>
      </c>
      <c r="R406" s="671"/>
      <c r="S406" s="682">
        <v>0</v>
      </c>
      <c r="T406" s="706"/>
      <c r="U406" s="242">
        <v>0</v>
      </c>
    </row>
    <row r="407" spans="1:21" ht="14.4" customHeight="1" x14ac:dyDescent="0.3">
      <c r="A407" s="680">
        <v>50</v>
      </c>
      <c r="B407" s="671" t="s">
        <v>536</v>
      </c>
      <c r="C407" s="671">
        <v>89301502</v>
      </c>
      <c r="D407" s="703" t="s">
        <v>2487</v>
      </c>
      <c r="E407" s="704" t="s">
        <v>1929</v>
      </c>
      <c r="F407" s="671" t="s">
        <v>1912</v>
      </c>
      <c r="G407" s="671" t="s">
        <v>2463</v>
      </c>
      <c r="H407" s="671" t="s">
        <v>535</v>
      </c>
      <c r="I407" s="671" t="s">
        <v>2464</v>
      </c>
      <c r="J407" s="671" t="s">
        <v>2465</v>
      </c>
      <c r="K407" s="671" t="s">
        <v>2466</v>
      </c>
      <c r="L407" s="705">
        <v>0</v>
      </c>
      <c r="M407" s="705">
        <v>0</v>
      </c>
      <c r="N407" s="671">
        <v>2</v>
      </c>
      <c r="O407" s="706">
        <v>0.5</v>
      </c>
      <c r="P407" s="705"/>
      <c r="Q407" s="682"/>
      <c r="R407" s="671"/>
      <c r="S407" s="682">
        <v>0</v>
      </c>
      <c r="T407" s="706"/>
      <c r="U407" s="242">
        <v>0</v>
      </c>
    </row>
    <row r="408" spans="1:21" ht="14.4" customHeight="1" x14ac:dyDescent="0.3">
      <c r="A408" s="680">
        <v>50</v>
      </c>
      <c r="B408" s="671" t="s">
        <v>536</v>
      </c>
      <c r="C408" s="671">
        <v>89301502</v>
      </c>
      <c r="D408" s="703" t="s">
        <v>2487</v>
      </c>
      <c r="E408" s="704" t="s">
        <v>1929</v>
      </c>
      <c r="F408" s="671" t="s">
        <v>1912</v>
      </c>
      <c r="G408" s="671" t="s">
        <v>2467</v>
      </c>
      <c r="H408" s="671" t="s">
        <v>535</v>
      </c>
      <c r="I408" s="671" t="s">
        <v>2468</v>
      </c>
      <c r="J408" s="671" t="s">
        <v>2469</v>
      </c>
      <c r="K408" s="671" t="s">
        <v>2470</v>
      </c>
      <c r="L408" s="705">
        <v>0</v>
      </c>
      <c r="M408" s="705">
        <v>0</v>
      </c>
      <c r="N408" s="671">
        <v>1</v>
      </c>
      <c r="O408" s="706">
        <v>1</v>
      </c>
      <c r="P408" s="705"/>
      <c r="Q408" s="682"/>
      <c r="R408" s="671"/>
      <c r="S408" s="682">
        <v>0</v>
      </c>
      <c r="T408" s="706"/>
      <c r="U408" s="242">
        <v>0</v>
      </c>
    </row>
    <row r="409" spans="1:21" ht="14.4" customHeight="1" x14ac:dyDescent="0.3">
      <c r="A409" s="680">
        <v>50</v>
      </c>
      <c r="B409" s="671" t="s">
        <v>536</v>
      </c>
      <c r="C409" s="671">
        <v>89301502</v>
      </c>
      <c r="D409" s="703" t="s">
        <v>2487</v>
      </c>
      <c r="E409" s="704" t="s">
        <v>1929</v>
      </c>
      <c r="F409" s="671" t="s">
        <v>1912</v>
      </c>
      <c r="G409" s="671" t="s">
        <v>2471</v>
      </c>
      <c r="H409" s="671" t="s">
        <v>535</v>
      </c>
      <c r="I409" s="671" t="s">
        <v>652</v>
      </c>
      <c r="J409" s="671" t="s">
        <v>653</v>
      </c>
      <c r="K409" s="671" t="s">
        <v>2472</v>
      </c>
      <c r="L409" s="705">
        <v>127.5</v>
      </c>
      <c r="M409" s="705">
        <v>127.5</v>
      </c>
      <c r="N409" s="671">
        <v>1</v>
      </c>
      <c r="O409" s="706">
        <v>1</v>
      </c>
      <c r="P409" s="705">
        <v>127.5</v>
      </c>
      <c r="Q409" s="682">
        <v>1</v>
      </c>
      <c r="R409" s="671">
        <v>1</v>
      </c>
      <c r="S409" s="682">
        <v>1</v>
      </c>
      <c r="T409" s="706">
        <v>1</v>
      </c>
      <c r="U409" s="242">
        <v>1</v>
      </c>
    </row>
    <row r="410" spans="1:21" ht="14.4" customHeight="1" x14ac:dyDescent="0.3">
      <c r="A410" s="680">
        <v>50</v>
      </c>
      <c r="B410" s="671" t="s">
        <v>536</v>
      </c>
      <c r="C410" s="671">
        <v>89301502</v>
      </c>
      <c r="D410" s="703" t="s">
        <v>2487</v>
      </c>
      <c r="E410" s="704" t="s">
        <v>1929</v>
      </c>
      <c r="F410" s="671" t="s">
        <v>1912</v>
      </c>
      <c r="G410" s="671" t="s">
        <v>2232</v>
      </c>
      <c r="H410" s="671" t="s">
        <v>1039</v>
      </c>
      <c r="I410" s="671" t="s">
        <v>2473</v>
      </c>
      <c r="J410" s="671" t="s">
        <v>2234</v>
      </c>
      <c r="K410" s="671" t="s">
        <v>2474</v>
      </c>
      <c r="L410" s="705">
        <v>143.71</v>
      </c>
      <c r="M410" s="705">
        <v>431.13</v>
      </c>
      <c r="N410" s="671">
        <v>3</v>
      </c>
      <c r="O410" s="706">
        <v>0.5</v>
      </c>
      <c r="P410" s="705"/>
      <c r="Q410" s="682">
        <v>0</v>
      </c>
      <c r="R410" s="671"/>
      <c r="S410" s="682">
        <v>0</v>
      </c>
      <c r="T410" s="706"/>
      <c r="U410" s="242">
        <v>0</v>
      </c>
    </row>
    <row r="411" spans="1:21" ht="14.4" customHeight="1" x14ac:dyDescent="0.3">
      <c r="A411" s="680">
        <v>50</v>
      </c>
      <c r="B411" s="671" t="s">
        <v>536</v>
      </c>
      <c r="C411" s="671">
        <v>89301502</v>
      </c>
      <c r="D411" s="703" t="s">
        <v>2487</v>
      </c>
      <c r="E411" s="704" t="s">
        <v>1929</v>
      </c>
      <c r="F411" s="671" t="s">
        <v>1912</v>
      </c>
      <c r="G411" s="671" t="s">
        <v>2232</v>
      </c>
      <c r="H411" s="671" t="s">
        <v>535</v>
      </c>
      <c r="I411" s="671" t="s">
        <v>2475</v>
      </c>
      <c r="J411" s="671" t="s">
        <v>2476</v>
      </c>
      <c r="K411" s="671" t="s">
        <v>2477</v>
      </c>
      <c r="L411" s="705">
        <v>469.47</v>
      </c>
      <c r="M411" s="705">
        <v>469.47</v>
      </c>
      <c r="N411" s="671">
        <v>1</v>
      </c>
      <c r="O411" s="706">
        <v>0.5</v>
      </c>
      <c r="P411" s="705"/>
      <c r="Q411" s="682">
        <v>0</v>
      </c>
      <c r="R411" s="671"/>
      <c r="S411" s="682">
        <v>0</v>
      </c>
      <c r="T411" s="706"/>
      <c r="U411" s="242">
        <v>0</v>
      </c>
    </row>
    <row r="412" spans="1:21" ht="14.4" customHeight="1" x14ac:dyDescent="0.3">
      <c r="A412" s="680">
        <v>50</v>
      </c>
      <c r="B412" s="671" t="s">
        <v>536</v>
      </c>
      <c r="C412" s="671">
        <v>89301502</v>
      </c>
      <c r="D412" s="703" t="s">
        <v>2487</v>
      </c>
      <c r="E412" s="704" t="s">
        <v>1929</v>
      </c>
      <c r="F412" s="671" t="s">
        <v>1912</v>
      </c>
      <c r="G412" s="671" t="s">
        <v>2478</v>
      </c>
      <c r="H412" s="671" t="s">
        <v>535</v>
      </c>
      <c r="I412" s="671" t="s">
        <v>2479</v>
      </c>
      <c r="J412" s="671" t="s">
        <v>2480</v>
      </c>
      <c r="K412" s="671" t="s">
        <v>2378</v>
      </c>
      <c r="L412" s="705">
        <v>0</v>
      </c>
      <c r="M412" s="705">
        <v>0</v>
      </c>
      <c r="N412" s="671">
        <v>1</v>
      </c>
      <c r="O412" s="706">
        <v>0.5</v>
      </c>
      <c r="P412" s="705"/>
      <c r="Q412" s="682"/>
      <c r="R412" s="671"/>
      <c r="S412" s="682">
        <v>0</v>
      </c>
      <c r="T412" s="706"/>
      <c r="U412" s="242">
        <v>0</v>
      </c>
    </row>
    <row r="413" spans="1:21" ht="14.4" customHeight="1" x14ac:dyDescent="0.3">
      <c r="A413" s="680">
        <v>50</v>
      </c>
      <c r="B413" s="671" t="s">
        <v>536</v>
      </c>
      <c r="C413" s="671">
        <v>89301502</v>
      </c>
      <c r="D413" s="703" t="s">
        <v>2487</v>
      </c>
      <c r="E413" s="704" t="s">
        <v>1929</v>
      </c>
      <c r="F413" s="671" t="s">
        <v>1912</v>
      </c>
      <c r="G413" s="671" t="s">
        <v>2481</v>
      </c>
      <c r="H413" s="671" t="s">
        <v>535</v>
      </c>
      <c r="I413" s="671" t="s">
        <v>2482</v>
      </c>
      <c r="J413" s="671" t="s">
        <v>911</v>
      </c>
      <c r="K413" s="671" t="s">
        <v>993</v>
      </c>
      <c r="L413" s="705">
        <v>0</v>
      </c>
      <c r="M413" s="705">
        <v>0</v>
      </c>
      <c r="N413" s="671">
        <v>1</v>
      </c>
      <c r="O413" s="706">
        <v>0.5</v>
      </c>
      <c r="P413" s="705"/>
      <c r="Q413" s="682"/>
      <c r="R413" s="671"/>
      <c r="S413" s="682">
        <v>0</v>
      </c>
      <c r="T413" s="706"/>
      <c r="U413" s="242">
        <v>0</v>
      </c>
    </row>
    <row r="414" spans="1:21" ht="14.4" customHeight="1" x14ac:dyDescent="0.3">
      <c r="A414" s="680">
        <v>50</v>
      </c>
      <c r="B414" s="671" t="s">
        <v>536</v>
      </c>
      <c r="C414" s="671">
        <v>89301502</v>
      </c>
      <c r="D414" s="703" t="s">
        <v>2487</v>
      </c>
      <c r="E414" s="704" t="s">
        <v>1929</v>
      </c>
      <c r="F414" s="671" t="s">
        <v>1912</v>
      </c>
      <c r="G414" s="671" t="s">
        <v>1974</v>
      </c>
      <c r="H414" s="671" t="s">
        <v>1039</v>
      </c>
      <c r="I414" s="671" t="s">
        <v>2420</v>
      </c>
      <c r="J414" s="671" t="s">
        <v>2421</v>
      </c>
      <c r="K414" s="671" t="s">
        <v>1539</v>
      </c>
      <c r="L414" s="705">
        <v>193.14</v>
      </c>
      <c r="M414" s="705">
        <v>386.28</v>
      </c>
      <c r="N414" s="671">
        <v>2</v>
      </c>
      <c r="O414" s="706">
        <v>1</v>
      </c>
      <c r="P414" s="705"/>
      <c r="Q414" s="682">
        <v>0</v>
      </c>
      <c r="R414" s="671"/>
      <c r="S414" s="682">
        <v>0</v>
      </c>
      <c r="T414" s="706"/>
      <c r="U414" s="242">
        <v>0</v>
      </c>
    </row>
    <row r="415" spans="1:21" ht="14.4" customHeight="1" x14ac:dyDescent="0.3">
      <c r="A415" s="680">
        <v>50</v>
      </c>
      <c r="B415" s="671" t="s">
        <v>536</v>
      </c>
      <c r="C415" s="671">
        <v>89301502</v>
      </c>
      <c r="D415" s="703" t="s">
        <v>2487</v>
      </c>
      <c r="E415" s="704" t="s">
        <v>1929</v>
      </c>
      <c r="F415" s="671" t="s">
        <v>1913</v>
      </c>
      <c r="G415" s="671" t="s">
        <v>2248</v>
      </c>
      <c r="H415" s="671" t="s">
        <v>535</v>
      </c>
      <c r="I415" s="671" t="s">
        <v>2483</v>
      </c>
      <c r="J415" s="671" t="s">
        <v>2484</v>
      </c>
      <c r="K415" s="671" t="s">
        <v>2485</v>
      </c>
      <c r="L415" s="705">
        <v>410</v>
      </c>
      <c r="M415" s="705">
        <v>820</v>
      </c>
      <c r="N415" s="671">
        <v>2</v>
      </c>
      <c r="O415" s="706">
        <v>2</v>
      </c>
      <c r="P415" s="705">
        <v>410</v>
      </c>
      <c r="Q415" s="682">
        <v>0.5</v>
      </c>
      <c r="R415" s="671">
        <v>1</v>
      </c>
      <c r="S415" s="682">
        <v>0.5</v>
      </c>
      <c r="T415" s="706">
        <v>1</v>
      </c>
      <c r="U415" s="242">
        <v>0.5</v>
      </c>
    </row>
    <row r="416" spans="1:21" ht="14.4" customHeight="1" x14ac:dyDescent="0.3">
      <c r="A416" s="680">
        <v>50</v>
      </c>
      <c r="B416" s="671" t="s">
        <v>536</v>
      </c>
      <c r="C416" s="671">
        <v>89301502</v>
      </c>
      <c r="D416" s="703" t="s">
        <v>2487</v>
      </c>
      <c r="E416" s="704" t="s">
        <v>1929</v>
      </c>
      <c r="F416" s="671" t="s">
        <v>1913</v>
      </c>
      <c r="G416" s="671" t="s">
        <v>2405</v>
      </c>
      <c r="H416" s="671" t="s">
        <v>535</v>
      </c>
      <c r="I416" s="671" t="s">
        <v>2406</v>
      </c>
      <c r="J416" s="671" t="s">
        <v>2407</v>
      </c>
      <c r="K416" s="671" t="s">
        <v>2408</v>
      </c>
      <c r="L416" s="705">
        <v>38.97</v>
      </c>
      <c r="M416" s="705">
        <v>3585.2400000000016</v>
      </c>
      <c r="N416" s="671">
        <v>92</v>
      </c>
      <c r="O416" s="706">
        <v>23</v>
      </c>
      <c r="P416" s="705">
        <v>3585.2400000000016</v>
      </c>
      <c r="Q416" s="682">
        <v>1</v>
      </c>
      <c r="R416" s="671">
        <v>92</v>
      </c>
      <c r="S416" s="682">
        <v>1</v>
      </c>
      <c r="T416" s="706">
        <v>23</v>
      </c>
      <c r="U416" s="242">
        <v>1</v>
      </c>
    </row>
    <row r="417" spans="1:21" ht="14.4" customHeight="1" x14ac:dyDescent="0.3">
      <c r="A417" s="680">
        <v>50</v>
      </c>
      <c r="B417" s="671" t="s">
        <v>536</v>
      </c>
      <c r="C417" s="671">
        <v>89301502</v>
      </c>
      <c r="D417" s="703" t="s">
        <v>2487</v>
      </c>
      <c r="E417" s="704" t="s">
        <v>1929</v>
      </c>
      <c r="F417" s="671" t="s">
        <v>1913</v>
      </c>
      <c r="G417" s="671" t="s">
        <v>2413</v>
      </c>
      <c r="H417" s="671" t="s">
        <v>535</v>
      </c>
      <c r="I417" s="671" t="s">
        <v>2414</v>
      </c>
      <c r="J417" s="671" t="s">
        <v>2415</v>
      </c>
      <c r="K417" s="671" t="s">
        <v>2416</v>
      </c>
      <c r="L417" s="705">
        <v>378.48</v>
      </c>
      <c r="M417" s="705">
        <v>4541.76</v>
      </c>
      <c r="N417" s="671">
        <v>12</v>
      </c>
      <c r="O417" s="706">
        <v>12</v>
      </c>
      <c r="P417" s="705">
        <v>4541.76</v>
      </c>
      <c r="Q417" s="682">
        <v>1</v>
      </c>
      <c r="R417" s="671">
        <v>12</v>
      </c>
      <c r="S417" s="682">
        <v>1</v>
      </c>
      <c r="T417" s="706">
        <v>12</v>
      </c>
      <c r="U417" s="242">
        <v>1</v>
      </c>
    </row>
    <row r="418" spans="1:21" ht="14.4" customHeight="1" x14ac:dyDescent="0.3">
      <c r="A418" s="680">
        <v>50</v>
      </c>
      <c r="B418" s="671" t="s">
        <v>536</v>
      </c>
      <c r="C418" s="671">
        <v>89301502</v>
      </c>
      <c r="D418" s="703" t="s">
        <v>2487</v>
      </c>
      <c r="E418" s="704" t="s">
        <v>1929</v>
      </c>
      <c r="F418" s="671" t="s">
        <v>1913</v>
      </c>
      <c r="G418" s="671" t="s">
        <v>2413</v>
      </c>
      <c r="H418" s="671" t="s">
        <v>535</v>
      </c>
      <c r="I418" s="671" t="s">
        <v>2417</v>
      </c>
      <c r="J418" s="671" t="s">
        <v>2418</v>
      </c>
      <c r="K418" s="671" t="s">
        <v>2419</v>
      </c>
      <c r="L418" s="705">
        <v>378.48</v>
      </c>
      <c r="M418" s="705">
        <v>2649.36</v>
      </c>
      <c r="N418" s="671">
        <v>7</v>
      </c>
      <c r="O418" s="706">
        <v>7</v>
      </c>
      <c r="P418" s="705">
        <v>2270.88</v>
      </c>
      <c r="Q418" s="682">
        <v>0.8571428571428571</v>
      </c>
      <c r="R418" s="671">
        <v>6</v>
      </c>
      <c r="S418" s="682">
        <v>0.8571428571428571</v>
      </c>
      <c r="T418" s="706">
        <v>6</v>
      </c>
      <c r="U418" s="242">
        <v>0.8571428571428571</v>
      </c>
    </row>
    <row r="419" spans="1:21" ht="14.4" customHeight="1" thickBot="1" x14ac:dyDescent="0.35">
      <c r="A419" s="637">
        <v>50</v>
      </c>
      <c r="B419" s="673" t="s">
        <v>536</v>
      </c>
      <c r="C419" s="673">
        <v>89301502</v>
      </c>
      <c r="D419" s="707" t="s">
        <v>2487</v>
      </c>
      <c r="E419" s="708" t="s">
        <v>1930</v>
      </c>
      <c r="F419" s="673" t="s">
        <v>1912</v>
      </c>
      <c r="G419" s="673" t="s">
        <v>2284</v>
      </c>
      <c r="H419" s="673" t="s">
        <v>1039</v>
      </c>
      <c r="I419" s="673" t="s">
        <v>1656</v>
      </c>
      <c r="J419" s="673" t="s">
        <v>1657</v>
      </c>
      <c r="K419" s="673" t="s">
        <v>1658</v>
      </c>
      <c r="L419" s="709">
        <v>222.25</v>
      </c>
      <c r="M419" s="709">
        <v>222.25</v>
      </c>
      <c r="N419" s="673">
        <v>1</v>
      </c>
      <c r="O419" s="710">
        <v>1</v>
      </c>
      <c r="P419" s="709">
        <v>222.25</v>
      </c>
      <c r="Q419" s="683">
        <v>1</v>
      </c>
      <c r="R419" s="673">
        <v>1</v>
      </c>
      <c r="S419" s="683">
        <v>1</v>
      </c>
      <c r="T419" s="710">
        <v>1</v>
      </c>
      <c r="U419" s="684">
        <v>1</v>
      </c>
    </row>
  </sheetData>
  <autoFilter ref="A6:U6"/>
  <mergeCells count="8">
    <mergeCell ref="A1:U1"/>
    <mergeCell ref="P5:Q5"/>
    <mergeCell ref="R5:S5"/>
    <mergeCell ref="T5:U5"/>
    <mergeCell ref="A3:J3"/>
    <mergeCell ref="K3:L3"/>
    <mergeCell ref="M4:O4"/>
    <mergeCell ref="P4:U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Q3 S3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theme="0" tint="-0.249977111117893"/>
    <pageSetUpPr fitToPage="1"/>
  </sheetPr>
  <dimension ref="A1:F67"/>
  <sheetViews>
    <sheetView showGridLines="0" showRowColHeaders="0" workbookViewId="0">
      <pane ySplit="4" topLeftCell="A5" activePane="bottomLeft" state="frozen"/>
      <selection pane="bottomLeft" sqref="A1:F1"/>
    </sheetView>
  </sheetViews>
  <sheetFormatPr defaultRowHeight="14.4" customHeight="1" x14ac:dyDescent="0.3"/>
  <cols>
    <col min="1" max="1" width="46.6640625" style="260" customWidth="1"/>
    <col min="2" max="2" width="10" style="343" customWidth="1"/>
    <col min="3" max="3" width="5.5546875" style="346" customWidth="1"/>
    <col min="4" max="4" width="10" style="343" customWidth="1"/>
    <col min="5" max="5" width="5.5546875" style="346" customWidth="1"/>
    <col min="6" max="6" width="10" style="343" customWidth="1"/>
    <col min="7" max="7" width="8.88671875" style="260" customWidth="1"/>
    <col min="8" max="16384" width="8.88671875" style="260"/>
  </cols>
  <sheetData>
    <row r="1" spans="1:6" ht="37.799999999999997" customHeight="1" thickBot="1" x14ac:dyDescent="0.4">
      <c r="A1" s="493" t="s">
        <v>2489</v>
      </c>
      <c r="B1" s="494"/>
      <c r="C1" s="494"/>
      <c r="D1" s="494"/>
      <c r="E1" s="494"/>
      <c r="F1" s="494"/>
    </row>
    <row r="2" spans="1:6" ht="14.4" customHeight="1" thickBot="1" x14ac:dyDescent="0.35">
      <c r="A2" s="389" t="s">
        <v>298</v>
      </c>
      <c r="B2" s="67"/>
      <c r="C2" s="68"/>
      <c r="D2" s="69"/>
      <c r="E2" s="68"/>
      <c r="F2" s="69"/>
    </row>
    <row r="3" spans="1:6" ht="14.4" customHeight="1" thickBot="1" x14ac:dyDescent="0.35">
      <c r="A3" s="215"/>
      <c r="B3" s="495" t="s">
        <v>165</v>
      </c>
      <c r="C3" s="496"/>
      <c r="D3" s="497" t="s">
        <v>164</v>
      </c>
      <c r="E3" s="496"/>
      <c r="F3" s="105" t="s">
        <v>6</v>
      </c>
    </row>
    <row r="4" spans="1:6" ht="14.4" customHeight="1" thickBot="1" x14ac:dyDescent="0.35">
      <c r="A4" s="711" t="s">
        <v>244</v>
      </c>
      <c r="B4" s="644" t="s">
        <v>17</v>
      </c>
      <c r="C4" s="645" t="s">
        <v>5</v>
      </c>
      <c r="D4" s="644" t="s">
        <v>17</v>
      </c>
      <c r="E4" s="645" t="s">
        <v>5</v>
      </c>
      <c r="F4" s="646" t="s">
        <v>17</v>
      </c>
    </row>
    <row r="5" spans="1:6" ht="14.4" customHeight="1" x14ac:dyDescent="0.3">
      <c r="A5" s="716" t="s">
        <v>1924</v>
      </c>
      <c r="B5" s="235">
        <v>5307.8300000000008</v>
      </c>
      <c r="C5" s="702">
        <v>0.11475962407452091</v>
      </c>
      <c r="D5" s="235">
        <v>40943.890000000007</v>
      </c>
      <c r="E5" s="702">
        <v>0.88524037592547911</v>
      </c>
      <c r="F5" s="712">
        <v>46251.720000000008</v>
      </c>
    </row>
    <row r="6" spans="1:6" ht="14.4" customHeight="1" x14ac:dyDescent="0.3">
      <c r="A6" s="717" t="s">
        <v>1929</v>
      </c>
      <c r="B6" s="238">
        <v>1251.1199999999999</v>
      </c>
      <c r="C6" s="682">
        <v>0.23492961237515278</v>
      </c>
      <c r="D6" s="238">
        <v>4074.3900000000003</v>
      </c>
      <c r="E6" s="682">
        <v>0.76507038762484725</v>
      </c>
      <c r="F6" s="713">
        <v>5325.51</v>
      </c>
    </row>
    <row r="7" spans="1:6" ht="14.4" customHeight="1" x14ac:dyDescent="0.3">
      <c r="A7" s="717" t="s">
        <v>1922</v>
      </c>
      <c r="B7" s="238">
        <v>486.64000000000004</v>
      </c>
      <c r="C7" s="682">
        <v>6.4008333815614327E-2</v>
      </c>
      <c r="D7" s="238">
        <v>7116.1200000000008</v>
      </c>
      <c r="E7" s="682">
        <v>0.93599166618438567</v>
      </c>
      <c r="F7" s="713">
        <v>7602.7600000000011</v>
      </c>
    </row>
    <row r="8" spans="1:6" ht="14.4" customHeight="1" x14ac:dyDescent="0.3">
      <c r="A8" s="717" t="s">
        <v>1920</v>
      </c>
      <c r="B8" s="238">
        <v>436.59999999999997</v>
      </c>
      <c r="C8" s="682">
        <v>9.813088313299587E-3</v>
      </c>
      <c r="D8" s="238">
        <v>44055.000000000007</v>
      </c>
      <c r="E8" s="682">
        <v>0.99018691168670048</v>
      </c>
      <c r="F8" s="713">
        <v>44491.600000000006</v>
      </c>
    </row>
    <row r="9" spans="1:6" ht="14.4" customHeight="1" x14ac:dyDescent="0.3">
      <c r="A9" s="717" t="s">
        <v>1928</v>
      </c>
      <c r="B9" s="238">
        <v>225.45</v>
      </c>
      <c r="C9" s="682">
        <v>0.16844991706391307</v>
      </c>
      <c r="D9" s="238">
        <v>1112.93</v>
      </c>
      <c r="E9" s="682">
        <v>0.8315500829360869</v>
      </c>
      <c r="F9" s="713">
        <v>1338.38</v>
      </c>
    </row>
    <row r="10" spans="1:6" ht="14.4" customHeight="1" x14ac:dyDescent="0.3">
      <c r="A10" s="717" t="s">
        <v>1926</v>
      </c>
      <c r="B10" s="238">
        <v>209.45</v>
      </c>
      <c r="C10" s="682">
        <v>5.6801232297921035E-2</v>
      </c>
      <c r="D10" s="238">
        <v>3477.9700000000003</v>
      </c>
      <c r="E10" s="682">
        <v>0.943198767702079</v>
      </c>
      <c r="F10" s="713">
        <v>3687.42</v>
      </c>
    </row>
    <row r="11" spans="1:6" ht="14.4" customHeight="1" x14ac:dyDescent="0.3">
      <c r="A11" s="717" t="s">
        <v>1919</v>
      </c>
      <c r="B11" s="238">
        <v>67.42</v>
      </c>
      <c r="C11" s="682">
        <v>1.8065719346289991E-2</v>
      </c>
      <c r="D11" s="238">
        <v>3664.5099999999998</v>
      </c>
      <c r="E11" s="682">
        <v>0.98193428065371002</v>
      </c>
      <c r="F11" s="713">
        <v>3731.93</v>
      </c>
    </row>
    <row r="12" spans="1:6" ht="14.4" customHeight="1" x14ac:dyDescent="0.3">
      <c r="A12" s="717" t="s">
        <v>1921</v>
      </c>
      <c r="B12" s="238"/>
      <c r="C12" s="682">
        <v>0</v>
      </c>
      <c r="D12" s="238">
        <v>2937.5400000000009</v>
      </c>
      <c r="E12" s="682">
        <v>1</v>
      </c>
      <c r="F12" s="713">
        <v>2937.5400000000009</v>
      </c>
    </row>
    <row r="13" spans="1:6" ht="14.4" customHeight="1" x14ac:dyDescent="0.3">
      <c r="A13" s="717" t="s">
        <v>1930</v>
      </c>
      <c r="B13" s="238"/>
      <c r="C13" s="682">
        <v>0</v>
      </c>
      <c r="D13" s="238">
        <v>222.25</v>
      </c>
      <c r="E13" s="682">
        <v>1</v>
      </c>
      <c r="F13" s="713">
        <v>222.25</v>
      </c>
    </row>
    <row r="14" spans="1:6" ht="14.4" customHeight="1" x14ac:dyDescent="0.3">
      <c r="A14" s="717" t="s">
        <v>1923</v>
      </c>
      <c r="B14" s="238"/>
      <c r="C14" s="682">
        <v>0</v>
      </c>
      <c r="D14" s="238">
        <v>359.41999999999996</v>
      </c>
      <c r="E14" s="682">
        <v>1</v>
      </c>
      <c r="F14" s="713">
        <v>359.41999999999996</v>
      </c>
    </row>
    <row r="15" spans="1:6" ht="14.4" customHeight="1" x14ac:dyDescent="0.3">
      <c r="A15" s="717" t="s">
        <v>1927</v>
      </c>
      <c r="B15" s="238"/>
      <c r="C15" s="682">
        <v>0</v>
      </c>
      <c r="D15" s="238">
        <v>3169.3199999999997</v>
      </c>
      <c r="E15" s="682">
        <v>1</v>
      </c>
      <c r="F15" s="713">
        <v>3169.3199999999997</v>
      </c>
    </row>
    <row r="16" spans="1:6" ht="14.4" customHeight="1" thickBot="1" x14ac:dyDescent="0.35">
      <c r="A16" s="718" t="s">
        <v>1925</v>
      </c>
      <c r="B16" s="650"/>
      <c r="C16" s="651">
        <v>0</v>
      </c>
      <c r="D16" s="650">
        <v>854.28</v>
      </c>
      <c r="E16" s="651">
        <v>1</v>
      </c>
      <c r="F16" s="715">
        <v>854.28</v>
      </c>
    </row>
    <row r="17" spans="1:6" ht="14.4" customHeight="1" thickBot="1" x14ac:dyDescent="0.35">
      <c r="A17" s="653" t="s">
        <v>6</v>
      </c>
      <c r="B17" s="654">
        <v>7984.51</v>
      </c>
      <c r="C17" s="655">
        <v>6.6553040276937647E-2</v>
      </c>
      <c r="D17" s="654">
        <v>111987.62000000001</v>
      </c>
      <c r="E17" s="655">
        <v>0.93344695972306224</v>
      </c>
      <c r="F17" s="656">
        <v>119972.13000000002</v>
      </c>
    </row>
    <row r="18" spans="1:6" ht="14.4" customHeight="1" thickBot="1" x14ac:dyDescent="0.35"/>
    <row r="19" spans="1:6" ht="14.4" customHeight="1" x14ac:dyDescent="0.3">
      <c r="A19" s="716" t="s">
        <v>2490</v>
      </c>
      <c r="B19" s="235">
        <v>1160.3999999999999</v>
      </c>
      <c r="C19" s="702">
        <v>1</v>
      </c>
      <c r="D19" s="235"/>
      <c r="E19" s="702">
        <v>0</v>
      </c>
      <c r="F19" s="712">
        <v>1160.3999999999999</v>
      </c>
    </row>
    <row r="20" spans="1:6" ht="14.4" customHeight="1" x14ac:dyDescent="0.3">
      <c r="A20" s="717" t="s">
        <v>2491</v>
      </c>
      <c r="B20" s="238">
        <v>1023.94</v>
      </c>
      <c r="C20" s="682">
        <v>1</v>
      </c>
      <c r="D20" s="238"/>
      <c r="E20" s="682">
        <v>0</v>
      </c>
      <c r="F20" s="713">
        <v>1023.94</v>
      </c>
    </row>
    <row r="21" spans="1:6" ht="14.4" customHeight="1" x14ac:dyDescent="0.3">
      <c r="A21" s="717" t="s">
        <v>2492</v>
      </c>
      <c r="B21" s="238">
        <v>726.91</v>
      </c>
      <c r="C21" s="682">
        <v>0.68942591310450796</v>
      </c>
      <c r="D21" s="238">
        <v>327.45999999999998</v>
      </c>
      <c r="E21" s="682">
        <v>0.3105740868954921</v>
      </c>
      <c r="F21" s="713">
        <v>1054.3699999999999</v>
      </c>
    </row>
    <row r="22" spans="1:6" ht="14.4" customHeight="1" x14ac:dyDescent="0.3">
      <c r="A22" s="717" t="s">
        <v>2493</v>
      </c>
      <c r="B22" s="238">
        <v>683.64</v>
      </c>
      <c r="C22" s="682">
        <v>1</v>
      </c>
      <c r="D22" s="238"/>
      <c r="E22" s="682">
        <v>0</v>
      </c>
      <c r="F22" s="713">
        <v>683.64</v>
      </c>
    </row>
    <row r="23" spans="1:6" ht="14.4" customHeight="1" x14ac:dyDescent="0.3">
      <c r="A23" s="717" t="s">
        <v>1800</v>
      </c>
      <c r="B23" s="238">
        <v>648.48</v>
      </c>
      <c r="C23" s="682">
        <v>1</v>
      </c>
      <c r="D23" s="238"/>
      <c r="E23" s="682">
        <v>0</v>
      </c>
      <c r="F23" s="713">
        <v>648.48</v>
      </c>
    </row>
    <row r="24" spans="1:6" ht="14.4" customHeight="1" x14ac:dyDescent="0.3">
      <c r="A24" s="717" t="s">
        <v>1787</v>
      </c>
      <c r="B24" s="238">
        <v>646.41</v>
      </c>
      <c r="C24" s="682">
        <v>0.24940485606583812</v>
      </c>
      <c r="D24" s="238">
        <v>1945.4000000000003</v>
      </c>
      <c r="E24" s="682">
        <v>0.75059514393416182</v>
      </c>
      <c r="F24" s="713">
        <v>2591.8100000000004</v>
      </c>
    </row>
    <row r="25" spans="1:6" ht="14.4" customHeight="1" x14ac:dyDescent="0.3">
      <c r="A25" s="717" t="s">
        <v>1797</v>
      </c>
      <c r="B25" s="238">
        <v>494.39</v>
      </c>
      <c r="C25" s="682">
        <v>0.14497560231777978</v>
      </c>
      <c r="D25" s="238">
        <v>2915.7700000000004</v>
      </c>
      <c r="E25" s="682">
        <v>0.85502439768222027</v>
      </c>
      <c r="F25" s="713">
        <v>3410.1600000000003</v>
      </c>
    </row>
    <row r="26" spans="1:6" ht="14.4" customHeight="1" x14ac:dyDescent="0.3">
      <c r="A26" s="717" t="s">
        <v>2494</v>
      </c>
      <c r="B26" s="238">
        <v>480.18</v>
      </c>
      <c r="C26" s="682">
        <v>1</v>
      </c>
      <c r="D26" s="238"/>
      <c r="E26" s="682">
        <v>0</v>
      </c>
      <c r="F26" s="713">
        <v>480.18</v>
      </c>
    </row>
    <row r="27" spans="1:6" ht="14.4" customHeight="1" x14ac:dyDescent="0.3">
      <c r="A27" s="717" t="s">
        <v>2495</v>
      </c>
      <c r="B27" s="238">
        <v>469.47</v>
      </c>
      <c r="C27" s="682">
        <v>0.2008238796776346</v>
      </c>
      <c r="D27" s="238">
        <v>1868.25</v>
      </c>
      <c r="E27" s="682">
        <v>0.79917612032236529</v>
      </c>
      <c r="F27" s="713">
        <v>2337.7200000000003</v>
      </c>
    </row>
    <row r="28" spans="1:6" ht="14.4" customHeight="1" x14ac:dyDescent="0.3">
      <c r="A28" s="717" t="s">
        <v>1791</v>
      </c>
      <c r="B28" s="238">
        <v>392.53</v>
      </c>
      <c r="C28" s="682">
        <v>0.35804000620251203</v>
      </c>
      <c r="D28" s="238">
        <v>703.8</v>
      </c>
      <c r="E28" s="682">
        <v>0.64195999379748803</v>
      </c>
      <c r="F28" s="713">
        <v>1096.33</v>
      </c>
    </row>
    <row r="29" spans="1:6" ht="14.4" customHeight="1" x14ac:dyDescent="0.3">
      <c r="A29" s="717" t="s">
        <v>1804</v>
      </c>
      <c r="B29" s="238">
        <v>391.77</v>
      </c>
      <c r="C29" s="682">
        <v>3.4600801761437545E-2</v>
      </c>
      <c r="D29" s="238">
        <v>10930.800000000001</v>
      </c>
      <c r="E29" s="682">
        <v>0.96539919823856246</v>
      </c>
      <c r="F29" s="713">
        <v>11322.570000000002</v>
      </c>
    </row>
    <row r="30" spans="1:6" ht="14.4" customHeight="1" x14ac:dyDescent="0.3">
      <c r="A30" s="717" t="s">
        <v>2496</v>
      </c>
      <c r="B30" s="238">
        <v>273.48</v>
      </c>
      <c r="C30" s="682">
        <v>1</v>
      </c>
      <c r="D30" s="238"/>
      <c r="E30" s="682">
        <v>0</v>
      </c>
      <c r="F30" s="713">
        <v>273.48</v>
      </c>
    </row>
    <row r="31" spans="1:6" ht="14.4" customHeight="1" x14ac:dyDescent="0.3">
      <c r="A31" s="717" t="s">
        <v>2497</v>
      </c>
      <c r="B31" s="238">
        <v>202.25</v>
      </c>
      <c r="C31" s="682">
        <v>0.74999072941001965</v>
      </c>
      <c r="D31" s="238">
        <v>67.42</v>
      </c>
      <c r="E31" s="682">
        <v>0.25000927058998035</v>
      </c>
      <c r="F31" s="713">
        <v>269.67</v>
      </c>
    </row>
    <row r="32" spans="1:6" ht="14.4" customHeight="1" x14ac:dyDescent="0.3">
      <c r="A32" s="717" t="s">
        <v>1783</v>
      </c>
      <c r="B32" s="238">
        <v>165.87</v>
      </c>
      <c r="C32" s="682">
        <v>0.595968669157804</v>
      </c>
      <c r="D32" s="238">
        <v>112.45</v>
      </c>
      <c r="E32" s="682">
        <v>0.40403133084219606</v>
      </c>
      <c r="F32" s="713">
        <v>278.32</v>
      </c>
    </row>
    <row r="33" spans="1:6" ht="14.4" customHeight="1" x14ac:dyDescent="0.3">
      <c r="A33" s="717" t="s">
        <v>1793</v>
      </c>
      <c r="B33" s="238">
        <v>103.38</v>
      </c>
      <c r="C33" s="682">
        <v>0.12556478647427488</v>
      </c>
      <c r="D33" s="238">
        <v>719.94</v>
      </c>
      <c r="E33" s="682">
        <v>0.87443521352572517</v>
      </c>
      <c r="F33" s="713">
        <v>823.32</v>
      </c>
    </row>
    <row r="34" spans="1:6" ht="14.4" customHeight="1" x14ac:dyDescent="0.3">
      <c r="A34" s="717" t="s">
        <v>1792</v>
      </c>
      <c r="B34" s="238">
        <v>69.86</v>
      </c>
      <c r="C34" s="682">
        <v>0.33333333333333337</v>
      </c>
      <c r="D34" s="238">
        <v>139.72</v>
      </c>
      <c r="E34" s="682">
        <v>0.66666666666666674</v>
      </c>
      <c r="F34" s="713">
        <v>209.57999999999998</v>
      </c>
    </row>
    <row r="35" spans="1:6" ht="14.4" customHeight="1" x14ac:dyDescent="0.3">
      <c r="A35" s="717" t="s">
        <v>1798</v>
      </c>
      <c r="B35" s="238">
        <v>51.55</v>
      </c>
      <c r="C35" s="682">
        <v>0.35855880920915356</v>
      </c>
      <c r="D35" s="238">
        <v>92.22</v>
      </c>
      <c r="E35" s="682">
        <v>0.6414411907908466</v>
      </c>
      <c r="F35" s="713">
        <v>143.76999999999998</v>
      </c>
    </row>
    <row r="36" spans="1:6" ht="14.4" customHeight="1" x14ac:dyDescent="0.3">
      <c r="A36" s="717" t="s">
        <v>1781</v>
      </c>
      <c r="B36" s="238">
        <v>0</v>
      </c>
      <c r="C36" s="682">
        <v>0</v>
      </c>
      <c r="D36" s="238">
        <v>1656.1</v>
      </c>
      <c r="E36" s="682">
        <v>1</v>
      </c>
      <c r="F36" s="713">
        <v>1656.1</v>
      </c>
    </row>
    <row r="37" spans="1:6" ht="14.4" customHeight="1" x14ac:dyDescent="0.3">
      <c r="A37" s="717" t="s">
        <v>2498</v>
      </c>
      <c r="B37" s="238"/>
      <c r="C37" s="682">
        <v>0</v>
      </c>
      <c r="D37" s="238">
        <v>581.30999999999995</v>
      </c>
      <c r="E37" s="682">
        <v>1</v>
      </c>
      <c r="F37" s="713">
        <v>581.30999999999995</v>
      </c>
    </row>
    <row r="38" spans="1:6" ht="14.4" customHeight="1" x14ac:dyDescent="0.3">
      <c r="A38" s="717" t="s">
        <v>1785</v>
      </c>
      <c r="B38" s="238"/>
      <c r="C38" s="682">
        <v>0</v>
      </c>
      <c r="D38" s="238">
        <v>314.19</v>
      </c>
      <c r="E38" s="682">
        <v>1</v>
      </c>
      <c r="F38" s="713">
        <v>314.19</v>
      </c>
    </row>
    <row r="39" spans="1:6" ht="14.4" customHeight="1" x14ac:dyDescent="0.3">
      <c r="A39" s="717" t="s">
        <v>1777</v>
      </c>
      <c r="B39" s="238">
        <v>0</v>
      </c>
      <c r="C39" s="682">
        <v>0</v>
      </c>
      <c r="D39" s="238">
        <v>3767.7599999999998</v>
      </c>
      <c r="E39" s="682">
        <v>1</v>
      </c>
      <c r="F39" s="713">
        <v>3767.7599999999998</v>
      </c>
    </row>
    <row r="40" spans="1:6" ht="14.4" customHeight="1" x14ac:dyDescent="0.3">
      <c r="A40" s="717" t="s">
        <v>1761</v>
      </c>
      <c r="B40" s="238">
        <v>0</v>
      </c>
      <c r="C40" s="682">
        <v>0</v>
      </c>
      <c r="D40" s="238">
        <v>492.45</v>
      </c>
      <c r="E40" s="682">
        <v>1</v>
      </c>
      <c r="F40" s="713">
        <v>492.45</v>
      </c>
    </row>
    <row r="41" spans="1:6" ht="14.4" customHeight="1" x14ac:dyDescent="0.3">
      <c r="A41" s="717" t="s">
        <v>1763</v>
      </c>
      <c r="B41" s="238"/>
      <c r="C41" s="682">
        <v>0</v>
      </c>
      <c r="D41" s="238">
        <v>886.91</v>
      </c>
      <c r="E41" s="682">
        <v>1</v>
      </c>
      <c r="F41" s="713">
        <v>886.91</v>
      </c>
    </row>
    <row r="42" spans="1:6" ht="14.4" customHeight="1" x14ac:dyDescent="0.3">
      <c r="A42" s="717" t="s">
        <v>1760</v>
      </c>
      <c r="B42" s="238"/>
      <c r="C42" s="682">
        <v>0</v>
      </c>
      <c r="D42" s="238">
        <v>642.4</v>
      </c>
      <c r="E42" s="682">
        <v>1</v>
      </c>
      <c r="F42" s="713">
        <v>642.4</v>
      </c>
    </row>
    <row r="43" spans="1:6" ht="14.4" customHeight="1" x14ac:dyDescent="0.3">
      <c r="A43" s="717" t="s">
        <v>2499</v>
      </c>
      <c r="B43" s="238"/>
      <c r="C43" s="682">
        <v>0</v>
      </c>
      <c r="D43" s="238">
        <v>27539.489999999998</v>
      </c>
      <c r="E43" s="682">
        <v>1</v>
      </c>
      <c r="F43" s="713">
        <v>27539.489999999998</v>
      </c>
    </row>
    <row r="44" spans="1:6" ht="14.4" customHeight="1" x14ac:dyDescent="0.3">
      <c r="A44" s="717" t="s">
        <v>1805</v>
      </c>
      <c r="B44" s="238"/>
      <c r="C44" s="682">
        <v>0</v>
      </c>
      <c r="D44" s="238">
        <v>4456.29</v>
      </c>
      <c r="E44" s="682">
        <v>1</v>
      </c>
      <c r="F44" s="713">
        <v>4456.29</v>
      </c>
    </row>
    <row r="45" spans="1:6" ht="14.4" customHeight="1" x14ac:dyDescent="0.3">
      <c r="A45" s="717" t="s">
        <v>1790</v>
      </c>
      <c r="B45" s="238"/>
      <c r="C45" s="682">
        <v>0</v>
      </c>
      <c r="D45" s="238">
        <v>666.75</v>
      </c>
      <c r="E45" s="682">
        <v>1</v>
      </c>
      <c r="F45" s="713">
        <v>666.75</v>
      </c>
    </row>
    <row r="46" spans="1:6" ht="14.4" customHeight="1" x14ac:dyDescent="0.3">
      <c r="A46" s="717" t="s">
        <v>1780</v>
      </c>
      <c r="B46" s="238"/>
      <c r="C46" s="682">
        <v>0</v>
      </c>
      <c r="D46" s="238">
        <v>1545.86</v>
      </c>
      <c r="E46" s="682">
        <v>1</v>
      </c>
      <c r="F46" s="713">
        <v>1545.86</v>
      </c>
    </row>
    <row r="47" spans="1:6" ht="14.4" customHeight="1" x14ac:dyDescent="0.3">
      <c r="A47" s="717" t="s">
        <v>2500</v>
      </c>
      <c r="B47" s="238"/>
      <c r="C47" s="682">
        <v>0</v>
      </c>
      <c r="D47" s="238">
        <v>285.75</v>
      </c>
      <c r="E47" s="682">
        <v>1</v>
      </c>
      <c r="F47" s="713">
        <v>285.75</v>
      </c>
    </row>
    <row r="48" spans="1:6" ht="14.4" customHeight="1" x14ac:dyDescent="0.3">
      <c r="A48" s="717" t="s">
        <v>1773</v>
      </c>
      <c r="B48" s="238"/>
      <c r="C48" s="682">
        <v>0</v>
      </c>
      <c r="D48" s="238">
        <v>3990.85</v>
      </c>
      <c r="E48" s="682">
        <v>1</v>
      </c>
      <c r="F48" s="713">
        <v>3990.85</v>
      </c>
    </row>
    <row r="49" spans="1:6" ht="14.4" customHeight="1" x14ac:dyDescent="0.3">
      <c r="A49" s="717" t="s">
        <v>1770</v>
      </c>
      <c r="B49" s="238"/>
      <c r="C49" s="682">
        <v>0</v>
      </c>
      <c r="D49" s="238">
        <v>231.27999999999997</v>
      </c>
      <c r="E49" s="682">
        <v>1</v>
      </c>
      <c r="F49" s="713">
        <v>231.27999999999997</v>
      </c>
    </row>
    <row r="50" spans="1:6" ht="14.4" customHeight="1" x14ac:dyDescent="0.3">
      <c r="A50" s="717" t="s">
        <v>1764</v>
      </c>
      <c r="B50" s="238"/>
      <c r="C50" s="682">
        <v>0</v>
      </c>
      <c r="D50" s="238">
        <v>2999.79</v>
      </c>
      <c r="E50" s="682">
        <v>1</v>
      </c>
      <c r="F50" s="713">
        <v>2999.79</v>
      </c>
    </row>
    <row r="51" spans="1:6" ht="14.4" customHeight="1" x14ac:dyDescent="0.3">
      <c r="A51" s="717" t="s">
        <v>1772</v>
      </c>
      <c r="B51" s="238"/>
      <c r="C51" s="682">
        <v>0</v>
      </c>
      <c r="D51" s="238">
        <v>184.22</v>
      </c>
      <c r="E51" s="682">
        <v>1</v>
      </c>
      <c r="F51" s="713">
        <v>184.22</v>
      </c>
    </row>
    <row r="52" spans="1:6" ht="14.4" customHeight="1" x14ac:dyDescent="0.3">
      <c r="A52" s="717" t="s">
        <v>1767</v>
      </c>
      <c r="B52" s="238"/>
      <c r="C52" s="682">
        <v>0</v>
      </c>
      <c r="D52" s="238">
        <v>587.81999999999994</v>
      </c>
      <c r="E52" s="682">
        <v>1</v>
      </c>
      <c r="F52" s="713">
        <v>587.81999999999994</v>
      </c>
    </row>
    <row r="53" spans="1:6" ht="14.4" customHeight="1" x14ac:dyDescent="0.3">
      <c r="A53" s="717" t="s">
        <v>1789</v>
      </c>
      <c r="B53" s="238"/>
      <c r="C53" s="682">
        <v>0</v>
      </c>
      <c r="D53" s="238">
        <v>25.07</v>
      </c>
      <c r="E53" s="682">
        <v>1</v>
      </c>
      <c r="F53" s="713">
        <v>25.07</v>
      </c>
    </row>
    <row r="54" spans="1:6" ht="14.4" customHeight="1" x14ac:dyDescent="0.3">
      <c r="A54" s="717" t="s">
        <v>2501</v>
      </c>
      <c r="B54" s="238"/>
      <c r="C54" s="682">
        <v>0</v>
      </c>
      <c r="D54" s="238">
        <v>108.83</v>
      </c>
      <c r="E54" s="682">
        <v>1</v>
      </c>
      <c r="F54" s="713">
        <v>108.83</v>
      </c>
    </row>
    <row r="55" spans="1:6" ht="14.4" customHeight="1" x14ac:dyDescent="0.3">
      <c r="A55" s="717" t="s">
        <v>1758</v>
      </c>
      <c r="B55" s="238">
        <v>0</v>
      </c>
      <c r="C55" s="682"/>
      <c r="D55" s="238"/>
      <c r="E55" s="682"/>
      <c r="F55" s="713">
        <v>0</v>
      </c>
    </row>
    <row r="56" spans="1:6" ht="14.4" customHeight="1" x14ac:dyDescent="0.3">
      <c r="A56" s="717" t="s">
        <v>1775</v>
      </c>
      <c r="B56" s="238"/>
      <c r="C56" s="682">
        <v>0</v>
      </c>
      <c r="D56" s="238">
        <v>35577.1</v>
      </c>
      <c r="E56" s="682">
        <v>1</v>
      </c>
      <c r="F56" s="713">
        <v>35577.1</v>
      </c>
    </row>
    <row r="57" spans="1:6" ht="14.4" customHeight="1" x14ac:dyDescent="0.3">
      <c r="A57" s="717" t="s">
        <v>2502</v>
      </c>
      <c r="B57" s="238">
        <v>0</v>
      </c>
      <c r="C57" s="682"/>
      <c r="D57" s="238"/>
      <c r="E57" s="682"/>
      <c r="F57" s="713">
        <v>0</v>
      </c>
    </row>
    <row r="58" spans="1:6" ht="14.4" customHeight="1" x14ac:dyDescent="0.3">
      <c r="A58" s="717" t="s">
        <v>2503</v>
      </c>
      <c r="B58" s="238"/>
      <c r="C58" s="682">
        <v>0</v>
      </c>
      <c r="D58" s="238">
        <v>1793.0300000000002</v>
      </c>
      <c r="E58" s="682">
        <v>1</v>
      </c>
      <c r="F58" s="713">
        <v>1793.0300000000002</v>
      </c>
    </row>
    <row r="59" spans="1:6" ht="14.4" customHeight="1" x14ac:dyDescent="0.3">
      <c r="A59" s="717" t="s">
        <v>1778</v>
      </c>
      <c r="B59" s="238"/>
      <c r="C59" s="682"/>
      <c r="D59" s="238">
        <v>0</v>
      </c>
      <c r="E59" s="682"/>
      <c r="F59" s="713">
        <v>0</v>
      </c>
    </row>
    <row r="60" spans="1:6" ht="14.4" customHeight="1" x14ac:dyDescent="0.3">
      <c r="A60" s="717" t="s">
        <v>1769</v>
      </c>
      <c r="B60" s="238"/>
      <c r="C60" s="682">
        <v>0</v>
      </c>
      <c r="D60" s="238">
        <v>65.75</v>
      </c>
      <c r="E60" s="682">
        <v>1</v>
      </c>
      <c r="F60" s="713">
        <v>65.75</v>
      </c>
    </row>
    <row r="61" spans="1:6" ht="14.4" customHeight="1" x14ac:dyDescent="0.3">
      <c r="A61" s="717" t="s">
        <v>2504</v>
      </c>
      <c r="B61" s="238"/>
      <c r="C61" s="682">
        <v>0</v>
      </c>
      <c r="D61" s="238">
        <v>1736.3700000000001</v>
      </c>
      <c r="E61" s="682">
        <v>1</v>
      </c>
      <c r="F61" s="713">
        <v>1736.3700000000001</v>
      </c>
    </row>
    <row r="62" spans="1:6" ht="14.4" customHeight="1" x14ac:dyDescent="0.3">
      <c r="A62" s="717" t="s">
        <v>1799</v>
      </c>
      <c r="B62" s="238"/>
      <c r="C62" s="682">
        <v>0</v>
      </c>
      <c r="D62" s="238">
        <v>403.5</v>
      </c>
      <c r="E62" s="682">
        <v>1</v>
      </c>
      <c r="F62" s="713">
        <v>403.5</v>
      </c>
    </row>
    <row r="63" spans="1:6" ht="14.4" customHeight="1" x14ac:dyDescent="0.3">
      <c r="A63" s="717" t="s">
        <v>2505</v>
      </c>
      <c r="B63" s="238">
        <v>0</v>
      </c>
      <c r="C63" s="682"/>
      <c r="D63" s="238"/>
      <c r="E63" s="682"/>
      <c r="F63" s="713">
        <v>0</v>
      </c>
    </row>
    <row r="64" spans="1:6" ht="14.4" customHeight="1" x14ac:dyDescent="0.3">
      <c r="A64" s="717" t="s">
        <v>2506</v>
      </c>
      <c r="B64" s="238"/>
      <c r="C64" s="682">
        <v>0</v>
      </c>
      <c r="D64" s="238">
        <v>550.59</v>
      </c>
      <c r="E64" s="682">
        <v>1</v>
      </c>
      <c r="F64" s="713">
        <v>550.59</v>
      </c>
    </row>
    <row r="65" spans="1:6" ht="14.4" customHeight="1" x14ac:dyDescent="0.3">
      <c r="A65" s="717" t="s">
        <v>1802</v>
      </c>
      <c r="B65" s="238"/>
      <c r="C65" s="682">
        <v>0</v>
      </c>
      <c r="D65" s="238">
        <v>643.79</v>
      </c>
      <c r="E65" s="682">
        <v>1</v>
      </c>
      <c r="F65" s="713">
        <v>643.79</v>
      </c>
    </row>
    <row r="66" spans="1:6" ht="14.4" customHeight="1" thickBot="1" x14ac:dyDescent="0.35">
      <c r="A66" s="718" t="s">
        <v>2507</v>
      </c>
      <c r="B66" s="650"/>
      <c r="C66" s="651">
        <v>0</v>
      </c>
      <c r="D66" s="650">
        <v>431.14</v>
      </c>
      <c r="E66" s="651">
        <v>1</v>
      </c>
      <c r="F66" s="715">
        <v>431.14</v>
      </c>
    </row>
    <row r="67" spans="1:6" ht="14.4" customHeight="1" thickBot="1" x14ac:dyDescent="0.35">
      <c r="A67" s="653" t="s">
        <v>6</v>
      </c>
      <c r="B67" s="654">
        <v>7984.5099999999984</v>
      </c>
      <c r="C67" s="655">
        <v>6.6553040276937647E-2</v>
      </c>
      <c r="D67" s="654">
        <v>111987.62</v>
      </c>
      <c r="E67" s="655">
        <v>0.93344695972306235</v>
      </c>
      <c r="F67" s="656">
        <v>119972.12999999999</v>
      </c>
    </row>
  </sheetData>
  <mergeCells count="3">
    <mergeCell ref="A1:F1"/>
    <mergeCell ref="B3:C3"/>
    <mergeCell ref="D3:E3"/>
  </mergeCells>
  <conditionalFormatting sqref="C5:C1048576">
    <cfRule type="cellIs" dxfId="34" priority="12" stopIfTrue="1" operator="greaterThan">
      <formula>0.2</formula>
    </cfRule>
  </conditionalFormatting>
  <conditionalFormatting sqref="F5:F16">
    <cfRule type="dataBar" priority="2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{DED7A9DA-4F76-400A-A0AC-77C5E736237B}</x14:id>
        </ext>
      </extLst>
    </cfRule>
  </conditionalFormatting>
  <conditionalFormatting sqref="F19:F66">
    <cfRule type="dataBar" priority="1">
      <dataBar>
        <cfvo type="min"/>
        <cfvo type="max"/>
        <color theme="3" tint="0.39994506668294322"/>
      </dataBar>
      <extLst>
        <ext xmlns:x14="http://schemas.microsoft.com/office/spreadsheetml/2009/9/main" uri="{B025F937-C7B1-47D3-B67F-A62EFF666E3E}">
          <x14:id>{63265419-515A-4543-BD25-89CA0A7221B0}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D7A9DA-4F76-400A-A0AC-77C5E736237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F5:F16</xm:sqref>
        </x14:conditionalFormatting>
        <x14:conditionalFormatting xmlns:xm="http://schemas.microsoft.com/office/excel/2006/main">
          <x14:cfRule type="dataBar" id="{63265419-515A-4543-BD25-89CA0A7221B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F19:F66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1">
    <tabColor theme="0" tint="-0.249977111117893"/>
    <pageSetUpPr fitToPage="1"/>
  </sheetPr>
  <dimension ref="A1:M214"/>
  <sheetViews>
    <sheetView showGridLines="0" showRowColHeaders="0" workbookViewId="0">
      <pane ySplit="5" topLeftCell="A6" activePane="bottomLeft" state="frozen"/>
      <selection activeCell="A6" sqref="A6"/>
      <selection pane="bottomLeft" sqref="A1:M1"/>
    </sheetView>
  </sheetViews>
  <sheetFormatPr defaultRowHeight="14.4" customHeight="1" x14ac:dyDescent="0.3"/>
  <cols>
    <col min="1" max="1" width="22.21875" style="260" customWidth="1"/>
    <col min="2" max="2" width="8.88671875" style="260" bestFit="1" customWidth="1"/>
    <col min="3" max="3" width="7" style="260" bestFit="1" customWidth="1"/>
    <col min="4" max="5" width="22.21875" style="260" customWidth="1"/>
    <col min="6" max="6" width="6.6640625" style="343" customWidth="1"/>
    <col min="7" max="7" width="10" style="343" customWidth="1"/>
    <col min="8" max="8" width="6.77734375" style="346" customWidth="1"/>
    <col min="9" max="9" width="6.6640625" style="343" customWidth="1"/>
    <col min="10" max="10" width="10" style="343" customWidth="1"/>
    <col min="11" max="11" width="6.77734375" style="346" customWidth="1"/>
    <col min="12" max="12" width="6.6640625" style="343" customWidth="1"/>
    <col min="13" max="13" width="10" style="343" customWidth="1"/>
    <col min="14" max="16384" width="8.88671875" style="260"/>
  </cols>
  <sheetData>
    <row r="1" spans="1:13" ht="18.600000000000001" customHeight="1" thickBot="1" x14ac:dyDescent="0.4">
      <c r="A1" s="494" t="s">
        <v>2526</v>
      </c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62"/>
      <c r="M1" s="462"/>
    </row>
    <row r="2" spans="1:13" ht="14.4" customHeight="1" thickBot="1" x14ac:dyDescent="0.35">
      <c r="A2" s="389" t="s">
        <v>298</v>
      </c>
      <c r="B2" s="342"/>
      <c r="C2" s="342"/>
      <c r="D2" s="342"/>
      <c r="E2" s="342"/>
      <c r="F2" s="350"/>
      <c r="G2" s="350"/>
      <c r="H2" s="351"/>
      <c r="I2" s="350"/>
      <c r="J2" s="350"/>
      <c r="K2" s="351"/>
      <c r="L2" s="350"/>
    </row>
    <row r="3" spans="1:13" ht="14.4" customHeight="1" thickBot="1" x14ac:dyDescent="0.35">
      <c r="E3" s="104" t="s">
        <v>163</v>
      </c>
      <c r="F3" s="47">
        <f>SUBTOTAL(9,F6:F1048576)</f>
        <v>80</v>
      </c>
      <c r="G3" s="47">
        <f>SUBTOTAL(9,G6:G1048576)</f>
        <v>7984.5099999999993</v>
      </c>
      <c r="H3" s="48">
        <f>IF(M3=0,0,G3/M3)</f>
        <v>6.6553040276937592E-2</v>
      </c>
      <c r="I3" s="47">
        <f>SUBTOTAL(9,I6:I1048576)</f>
        <v>354</v>
      </c>
      <c r="J3" s="47">
        <f>SUBTOTAL(9,J6:J1048576)</f>
        <v>111987.62000000011</v>
      </c>
      <c r="K3" s="48">
        <f>IF(M3=0,0,J3/M3)</f>
        <v>0.93344695972306257</v>
      </c>
      <c r="L3" s="47">
        <f>SUBTOTAL(9,L6:L1048576)</f>
        <v>434</v>
      </c>
      <c r="M3" s="49">
        <f>SUBTOTAL(9,M6:M1048576)</f>
        <v>119972.13000000009</v>
      </c>
    </row>
    <row r="4" spans="1:13" ht="14.4" customHeight="1" thickBot="1" x14ac:dyDescent="0.35">
      <c r="A4" s="45"/>
      <c r="B4" s="45"/>
      <c r="C4" s="45"/>
      <c r="D4" s="45"/>
      <c r="E4" s="46"/>
      <c r="F4" s="498" t="s">
        <v>165</v>
      </c>
      <c r="G4" s="499"/>
      <c r="H4" s="500"/>
      <c r="I4" s="501" t="s">
        <v>164</v>
      </c>
      <c r="J4" s="499"/>
      <c r="K4" s="500"/>
      <c r="L4" s="502" t="s">
        <v>6</v>
      </c>
      <c r="M4" s="503"/>
    </row>
    <row r="5" spans="1:13" ht="14.4" customHeight="1" thickBot="1" x14ac:dyDescent="0.35">
      <c r="A5" s="711" t="s">
        <v>171</v>
      </c>
      <c r="B5" s="719" t="s">
        <v>167</v>
      </c>
      <c r="C5" s="719" t="s">
        <v>93</v>
      </c>
      <c r="D5" s="719" t="s">
        <v>168</v>
      </c>
      <c r="E5" s="719" t="s">
        <v>169</v>
      </c>
      <c r="F5" s="662" t="s">
        <v>31</v>
      </c>
      <c r="G5" s="662" t="s">
        <v>17</v>
      </c>
      <c r="H5" s="645" t="s">
        <v>170</v>
      </c>
      <c r="I5" s="644" t="s">
        <v>31</v>
      </c>
      <c r="J5" s="662" t="s">
        <v>17</v>
      </c>
      <c r="K5" s="645" t="s">
        <v>170</v>
      </c>
      <c r="L5" s="644" t="s">
        <v>31</v>
      </c>
      <c r="M5" s="663" t="s">
        <v>17</v>
      </c>
    </row>
    <row r="6" spans="1:13" ht="14.4" customHeight="1" x14ac:dyDescent="0.3">
      <c r="A6" s="696" t="s">
        <v>1919</v>
      </c>
      <c r="B6" s="697" t="s">
        <v>1817</v>
      </c>
      <c r="C6" s="697" t="s">
        <v>1954</v>
      </c>
      <c r="D6" s="697" t="s">
        <v>1220</v>
      </c>
      <c r="E6" s="697" t="s">
        <v>1955</v>
      </c>
      <c r="F6" s="235">
        <v>1</v>
      </c>
      <c r="G6" s="235">
        <v>0</v>
      </c>
      <c r="H6" s="702"/>
      <c r="I6" s="235"/>
      <c r="J6" s="235"/>
      <c r="K6" s="702"/>
      <c r="L6" s="235">
        <v>1</v>
      </c>
      <c r="M6" s="712">
        <v>0</v>
      </c>
    </row>
    <row r="7" spans="1:13" ht="14.4" customHeight="1" x14ac:dyDescent="0.3">
      <c r="A7" s="680" t="s">
        <v>1919</v>
      </c>
      <c r="B7" s="671" t="s">
        <v>1819</v>
      </c>
      <c r="C7" s="671" t="s">
        <v>1944</v>
      </c>
      <c r="D7" s="671" t="s">
        <v>1945</v>
      </c>
      <c r="E7" s="671" t="s">
        <v>1946</v>
      </c>
      <c r="F7" s="238"/>
      <c r="G7" s="238"/>
      <c r="H7" s="682">
        <v>0</v>
      </c>
      <c r="I7" s="238">
        <v>1</v>
      </c>
      <c r="J7" s="238">
        <v>65.75</v>
      </c>
      <c r="K7" s="682">
        <v>1</v>
      </c>
      <c r="L7" s="238">
        <v>1</v>
      </c>
      <c r="M7" s="713">
        <v>65.75</v>
      </c>
    </row>
    <row r="8" spans="1:13" ht="14.4" customHeight="1" x14ac:dyDescent="0.3">
      <c r="A8" s="680" t="s">
        <v>1919</v>
      </c>
      <c r="B8" s="671" t="s">
        <v>1820</v>
      </c>
      <c r="C8" s="671" t="s">
        <v>1140</v>
      </c>
      <c r="D8" s="671" t="s">
        <v>1821</v>
      </c>
      <c r="E8" s="671" t="s">
        <v>1539</v>
      </c>
      <c r="F8" s="238"/>
      <c r="G8" s="238"/>
      <c r="H8" s="682">
        <v>0</v>
      </c>
      <c r="I8" s="238">
        <v>1</v>
      </c>
      <c r="J8" s="238">
        <v>193.14</v>
      </c>
      <c r="K8" s="682">
        <v>1</v>
      </c>
      <c r="L8" s="238">
        <v>1</v>
      </c>
      <c r="M8" s="713">
        <v>193.14</v>
      </c>
    </row>
    <row r="9" spans="1:13" ht="14.4" customHeight="1" x14ac:dyDescent="0.3">
      <c r="A9" s="680" t="s">
        <v>1919</v>
      </c>
      <c r="B9" s="671" t="s">
        <v>1822</v>
      </c>
      <c r="C9" s="671" t="s">
        <v>1125</v>
      </c>
      <c r="D9" s="671" t="s">
        <v>1119</v>
      </c>
      <c r="E9" s="671" t="s">
        <v>1823</v>
      </c>
      <c r="F9" s="238"/>
      <c r="G9" s="238"/>
      <c r="H9" s="682">
        <v>0</v>
      </c>
      <c r="I9" s="238">
        <v>1</v>
      </c>
      <c r="J9" s="238">
        <v>2916.16</v>
      </c>
      <c r="K9" s="682">
        <v>1</v>
      </c>
      <c r="L9" s="238">
        <v>1</v>
      </c>
      <c r="M9" s="713">
        <v>2916.16</v>
      </c>
    </row>
    <row r="10" spans="1:13" ht="14.4" customHeight="1" x14ac:dyDescent="0.3">
      <c r="A10" s="680" t="s">
        <v>1919</v>
      </c>
      <c r="B10" s="671" t="s">
        <v>1824</v>
      </c>
      <c r="C10" s="671" t="s">
        <v>878</v>
      </c>
      <c r="D10" s="671" t="s">
        <v>879</v>
      </c>
      <c r="E10" s="671" t="s">
        <v>880</v>
      </c>
      <c r="F10" s="238"/>
      <c r="G10" s="238"/>
      <c r="H10" s="682">
        <v>0</v>
      </c>
      <c r="I10" s="238">
        <v>3</v>
      </c>
      <c r="J10" s="238">
        <v>313.98</v>
      </c>
      <c r="K10" s="682">
        <v>1</v>
      </c>
      <c r="L10" s="238">
        <v>3</v>
      </c>
      <c r="M10" s="713">
        <v>313.98</v>
      </c>
    </row>
    <row r="11" spans="1:13" ht="14.4" customHeight="1" x14ac:dyDescent="0.3">
      <c r="A11" s="680" t="s">
        <v>1919</v>
      </c>
      <c r="B11" s="671" t="s">
        <v>1832</v>
      </c>
      <c r="C11" s="671" t="s">
        <v>1088</v>
      </c>
      <c r="D11" s="671" t="s">
        <v>1089</v>
      </c>
      <c r="E11" s="671" t="s">
        <v>1090</v>
      </c>
      <c r="F11" s="238"/>
      <c r="G11" s="238"/>
      <c r="H11" s="682">
        <v>0</v>
      </c>
      <c r="I11" s="238">
        <v>1</v>
      </c>
      <c r="J11" s="238">
        <v>44.89</v>
      </c>
      <c r="K11" s="682">
        <v>1</v>
      </c>
      <c r="L11" s="238">
        <v>1</v>
      </c>
      <c r="M11" s="713">
        <v>44.89</v>
      </c>
    </row>
    <row r="12" spans="1:13" ht="14.4" customHeight="1" x14ac:dyDescent="0.3">
      <c r="A12" s="680" t="s">
        <v>1919</v>
      </c>
      <c r="B12" s="671" t="s">
        <v>1833</v>
      </c>
      <c r="C12" s="671" t="s">
        <v>1932</v>
      </c>
      <c r="D12" s="671" t="s">
        <v>1152</v>
      </c>
      <c r="E12" s="671" t="s">
        <v>1933</v>
      </c>
      <c r="F12" s="238">
        <v>1</v>
      </c>
      <c r="G12" s="238">
        <v>0</v>
      </c>
      <c r="H12" s="682"/>
      <c r="I12" s="238"/>
      <c r="J12" s="238"/>
      <c r="K12" s="682"/>
      <c r="L12" s="238">
        <v>1</v>
      </c>
      <c r="M12" s="713">
        <v>0</v>
      </c>
    </row>
    <row r="13" spans="1:13" ht="14.4" customHeight="1" x14ac:dyDescent="0.3">
      <c r="A13" s="680" t="s">
        <v>1919</v>
      </c>
      <c r="B13" s="671" t="s">
        <v>2508</v>
      </c>
      <c r="C13" s="671" t="s">
        <v>1964</v>
      </c>
      <c r="D13" s="671" t="s">
        <v>1965</v>
      </c>
      <c r="E13" s="671" t="s">
        <v>1938</v>
      </c>
      <c r="F13" s="238">
        <v>1</v>
      </c>
      <c r="G13" s="238">
        <v>0</v>
      </c>
      <c r="H13" s="682"/>
      <c r="I13" s="238"/>
      <c r="J13" s="238"/>
      <c r="K13" s="682"/>
      <c r="L13" s="238">
        <v>1</v>
      </c>
      <c r="M13" s="713">
        <v>0</v>
      </c>
    </row>
    <row r="14" spans="1:13" ht="14.4" customHeight="1" x14ac:dyDescent="0.3">
      <c r="A14" s="680" t="s">
        <v>1919</v>
      </c>
      <c r="B14" s="671" t="s">
        <v>1837</v>
      </c>
      <c r="C14" s="671" t="s">
        <v>1970</v>
      </c>
      <c r="D14" s="671" t="s">
        <v>1111</v>
      </c>
      <c r="E14" s="671" t="s">
        <v>1153</v>
      </c>
      <c r="F14" s="238">
        <v>1</v>
      </c>
      <c r="G14" s="238">
        <v>67.42</v>
      </c>
      <c r="H14" s="682">
        <v>1</v>
      </c>
      <c r="I14" s="238"/>
      <c r="J14" s="238"/>
      <c r="K14" s="682">
        <v>0</v>
      </c>
      <c r="L14" s="238">
        <v>1</v>
      </c>
      <c r="M14" s="713">
        <v>67.42</v>
      </c>
    </row>
    <row r="15" spans="1:13" ht="14.4" customHeight="1" x14ac:dyDescent="0.3">
      <c r="A15" s="680" t="s">
        <v>1919</v>
      </c>
      <c r="B15" s="671" t="s">
        <v>1841</v>
      </c>
      <c r="C15" s="671" t="s">
        <v>1132</v>
      </c>
      <c r="D15" s="671" t="s">
        <v>1137</v>
      </c>
      <c r="E15" s="671" t="s">
        <v>1842</v>
      </c>
      <c r="F15" s="238"/>
      <c r="G15" s="238"/>
      <c r="H15" s="682">
        <v>0</v>
      </c>
      <c r="I15" s="238">
        <v>1</v>
      </c>
      <c r="J15" s="238">
        <v>130.59</v>
      </c>
      <c r="K15" s="682">
        <v>1</v>
      </c>
      <c r="L15" s="238">
        <v>1</v>
      </c>
      <c r="M15" s="713">
        <v>130.59</v>
      </c>
    </row>
    <row r="16" spans="1:13" ht="14.4" customHeight="1" x14ac:dyDescent="0.3">
      <c r="A16" s="680" t="s">
        <v>1919</v>
      </c>
      <c r="B16" s="671" t="s">
        <v>1877</v>
      </c>
      <c r="C16" s="671" t="s">
        <v>1937</v>
      </c>
      <c r="D16" s="671" t="s">
        <v>1156</v>
      </c>
      <c r="E16" s="671" t="s">
        <v>1938</v>
      </c>
      <c r="F16" s="238">
        <v>1</v>
      </c>
      <c r="G16" s="238">
        <v>0</v>
      </c>
      <c r="H16" s="682"/>
      <c r="I16" s="238"/>
      <c r="J16" s="238"/>
      <c r="K16" s="682"/>
      <c r="L16" s="238">
        <v>1</v>
      </c>
      <c r="M16" s="713">
        <v>0</v>
      </c>
    </row>
    <row r="17" spans="1:13" ht="14.4" customHeight="1" x14ac:dyDescent="0.3">
      <c r="A17" s="680" t="s">
        <v>1930</v>
      </c>
      <c r="B17" s="671" t="s">
        <v>1901</v>
      </c>
      <c r="C17" s="671" t="s">
        <v>1656</v>
      </c>
      <c r="D17" s="671" t="s">
        <v>1657</v>
      </c>
      <c r="E17" s="671" t="s">
        <v>1658</v>
      </c>
      <c r="F17" s="238"/>
      <c r="G17" s="238"/>
      <c r="H17" s="682">
        <v>0</v>
      </c>
      <c r="I17" s="238">
        <v>1</v>
      </c>
      <c r="J17" s="238">
        <v>222.25</v>
      </c>
      <c r="K17" s="682">
        <v>1</v>
      </c>
      <c r="L17" s="238">
        <v>1</v>
      </c>
      <c r="M17" s="713">
        <v>222.25</v>
      </c>
    </row>
    <row r="18" spans="1:13" ht="14.4" customHeight="1" x14ac:dyDescent="0.3">
      <c r="A18" s="680" t="s">
        <v>1920</v>
      </c>
      <c r="B18" s="671" t="s">
        <v>1806</v>
      </c>
      <c r="C18" s="671" t="s">
        <v>1095</v>
      </c>
      <c r="D18" s="671" t="s">
        <v>1096</v>
      </c>
      <c r="E18" s="671" t="s">
        <v>1809</v>
      </c>
      <c r="F18" s="238"/>
      <c r="G18" s="238"/>
      <c r="H18" s="682">
        <v>0</v>
      </c>
      <c r="I18" s="238">
        <v>2</v>
      </c>
      <c r="J18" s="238">
        <v>195.94</v>
      </c>
      <c r="K18" s="682">
        <v>1</v>
      </c>
      <c r="L18" s="238">
        <v>2</v>
      </c>
      <c r="M18" s="713">
        <v>195.94</v>
      </c>
    </row>
    <row r="19" spans="1:13" ht="14.4" customHeight="1" x14ac:dyDescent="0.3">
      <c r="A19" s="680" t="s">
        <v>1920</v>
      </c>
      <c r="B19" s="671" t="s">
        <v>1806</v>
      </c>
      <c r="C19" s="671" t="s">
        <v>2005</v>
      </c>
      <c r="D19" s="671" t="s">
        <v>1096</v>
      </c>
      <c r="E19" s="671" t="s">
        <v>2006</v>
      </c>
      <c r="F19" s="238"/>
      <c r="G19" s="238"/>
      <c r="H19" s="682"/>
      <c r="I19" s="238">
        <v>1</v>
      </c>
      <c r="J19" s="238">
        <v>0</v>
      </c>
      <c r="K19" s="682"/>
      <c r="L19" s="238">
        <v>1</v>
      </c>
      <c r="M19" s="713">
        <v>0</v>
      </c>
    </row>
    <row r="20" spans="1:13" ht="14.4" customHeight="1" x14ac:dyDescent="0.3">
      <c r="A20" s="680" t="s">
        <v>1920</v>
      </c>
      <c r="B20" s="671" t="s">
        <v>1820</v>
      </c>
      <c r="C20" s="671" t="s">
        <v>1140</v>
      </c>
      <c r="D20" s="671" t="s">
        <v>1821</v>
      </c>
      <c r="E20" s="671" t="s">
        <v>1539</v>
      </c>
      <c r="F20" s="238"/>
      <c r="G20" s="238"/>
      <c r="H20" s="682">
        <v>0</v>
      </c>
      <c r="I20" s="238">
        <v>3</v>
      </c>
      <c r="J20" s="238">
        <v>579.41999999999996</v>
      </c>
      <c r="K20" s="682">
        <v>1</v>
      </c>
      <c r="L20" s="238">
        <v>3</v>
      </c>
      <c r="M20" s="713">
        <v>579.41999999999996</v>
      </c>
    </row>
    <row r="21" spans="1:13" ht="14.4" customHeight="1" x14ac:dyDescent="0.3">
      <c r="A21" s="680" t="s">
        <v>1920</v>
      </c>
      <c r="B21" s="671" t="s">
        <v>1822</v>
      </c>
      <c r="C21" s="671" t="s">
        <v>1118</v>
      </c>
      <c r="D21" s="671" t="s">
        <v>1119</v>
      </c>
      <c r="E21" s="671" t="s">
        <v>1083</v>
      </c>
      <c r="F21" s="238"/>
      <c r="G21" s="238"/>
      <c r="H21" s="682">
        <v>0</v>
      </c>
      <c r="I21" s="238">
        <v>4</v>
      </c>
      <c r="J21" s="238">
        <v>6998.76</v>
      </c>
      <c r="K21" s="682">
        <v>1</v>
      </c>
      <c r="L21" s="238">
        <v>4</v>
      </c>
      <c r="M21" s="713">
        <v>6998.76</v>
      </c>
    </row>
    <row r="22" spans="1:13" ht="14.4" customHeight="1" x14ac:dyDescent="0.3">
      <c r="A22" s="680" t="s">
        <v>1920</v>
      </c>
      <c r="B22" s="671" t="s">
        <v>1822</v>
      </c>
      <c r="C22" s="671" t="s">
        <v>1122</v>
      </c>
      <c r="D22" s="671" t="s">
        <v>1119</v>
      </c>
      <c r="E22" s="671" t="s">
        <v>1086</v>
      </c>
      <c r="F22" s="238"/>
      <c r="G22" s="238"/>
      <c r="H22" s="682">
        <v>0</v>
      </c>
      <c r="I22" s="238">
        <v>1</v>
      </c>
      <c r="J22" s="238">
        <v>2332.92</v>
      </c>
      <c r="K22" s="682">
        <v>1</v>
      </c>
      <c r="L22" s="238">
        <v>1</v>
      </c>
      <c r="M22" s="713">
        <v>2332.92</v>
      </c>
    </row>
    <row r="23" spans="1:13" ht="14.4" customHeight="1" x14ac:dyDescent="0.3">
      <c r="A23" s="680" t="s">
        <v>1920</v>
      </c>
      <c r="B23" s="671" t="s">
        <v>1822</v>
      </c>
      <c r="C23" s="671" t="s">
        <v>1125</v>
      </c>
      <c r="D23" s="671" t="s">
        <v>1119</v>
      </c>
      <c r="E23" s="671" t="s">
        <v>1823</v>
      </c>
      <c r="F23" s="238"/>
      <c r="G23" s="238"/>
      <c r="H23" s="682">
        <v>0</v>
      </c>
      <c r="I23" s="238">
        <v>2</v>
      </c>
      <c r="J23" s="238">
        <v>5832.32</v>
      </c>
      <c r="K23" s="682">
        <v>1</v>
      </c>
      <c r="L23" s="238">
        <v>2</v>
      </c>
      <c r="M23" s="713">
        <v>5832.32</v>
      </c>
    </row>
    <row r="24" spans="1:13" ht="14.4" customHeight="1" x14ac:dyDescent="0.3">
      <c r="A24" s="680" t="s">
        <v>1920</v>
      </c>
      <c r="B24" s="671" t="s">
        <v>1824</v>
      </c>
      <c r="C24" s="671" t="s">
        <v>878</v>
      </c>
      <c r="D24" s="671" t="s">
        <v>879</v>
      </c>
      <c r="E24" s="671" t="s">
        <v>880</v>
      </c>
      <c r="F24" s="238"/>
      <c r="G24" s="238"/>
      <c r="H24" s="682">
        <v>0</v>
      </c>
      <c r="I24" s="238">
        <v>13</v>
      </c>
      <c r="J24" s="238">
        <v>1360.58</v>
      </c>
      <c r="K24" s="682">
        <v>1</v>
      </c>
      <c r="L24" s="238">
        <v>13</v>
      </c>
      <c r="M24" s="713">
        <v>1360.58</v>
      </c>
    </row>
    <row r="25" spans="1:13" ht="14.4" customHeight="1" x14ac:dyDescent="0.3">
      <c r="A25" s="680" t="s">
        <v>1920</v>
      </c>
      <c r="B25" s="671" t="s">
        <v>2509</v>
      </c>
      <c r="C25" s="671" t="s">
        <v>2166</v>
      </c>
      <c r="D25" s="671" t="s">
        <v>2167</v>
      </c>
      <c r="E25" s="671" t="s">
        <v>2168</v>
      </c>
      <c r="F25" s="238"/>
      <c r="G25" s="238"/>
      <c r="H25" s="682">
        <v>0</v>
      </c>
      <c r="I25" s="238">
        <v>5</v>
      </c>
      <c r="J25" s="238">
        <v>10592.1</v>
      </c>
      <c r="K25" s="682">
        <v>1</v>
      </c>
      <c r="L25" s="238">
        <v>5</v>
      </c>
      <c r="M25" s="713">
        <v>10592.1</v>
      </c>
    </row>
    <row r="26" spans="1:13" ht="14.4" customHeight="1" x14ac:dyDescent="0.3">
      <c r="A26" s="680" t="s">
        <v>1920</v>
      </c>
      <c r="B26" s="671" t="s">
        <v>2509</v>
      </c>
      <c r="C26" s="671" t="s">
        <v>2169</v>
      </c>
      <c r="D26" s="671" t="s">
        <v>2170</v>
      </c>
      <c r="E26" s="671" t="s">
        <v>2171</v>
      </c>
      <c r="F26" s="238"/>
      <c r="G26" s="238"/>
      <c r="H26" s="682">
        <v>0</v>
      </c>
      <c r="I26" s="238">
        <v>3</v>
      </c>
      <c r="J26" s="238">
        <v>6355.2899999999991</v>
      </c>
      <c r="K26" s="682">
        <v>1</v>
      </c>
      <c r="L26" s="238">
        <v>3</v>
      </c>
      <c r="M26" s="713">
        <v>6355.2899999999991</v>
      </c>
    </row>
    <row r="27" spans="1:13" ht="14.4" customHeight="1" x14ac:dyDescent="0.3">
      <c r="A27" s="680" t="s">
        <v>1920</v>
      </c>
      <c r="B27" s="671" t="s">
        <v>1827</v>
      </c>
      <c r="C27" s="671" t="s">
        <v>1051</v>
      </c>
      <c r="D27" s="671" t="s">
        <v>1052</v>
      </c>
      <c r="E27" s="671" t="s">
        <v>1828</v>
      </c>
      <c r="F27" s="238"/>
      <c r="G27" s="238"/>
      <c r="H27" s="682">
        <v>0</v>
      </c>
      <c r="I27" s="238">
        <v>1</v>
      </c>
      <c r="J27" s="238">
        <v>75.28</v>
      </c>
      <c r="K27" s="682">
        <v>1</v>
      </c>
      <c r="L27" s="238">
        <v>1</v>
      </c>
      <c r="M27" s="713">
        <v>75.28</v>
      </c>
    </row>
    <row r="28" spans="1:13" ht="14.4" customHeight="1" x14ac:dyDescent="0.3">
      <c r="A28" s="680" t="s">
        <v>1920</v>
      </c>
      <c r="B28" s="671" t="s">
        <v>1830</v>
      </c>
      <c r="C28" s="671" t="s">
        <v>851</v>
      </c>
      <c r="D28" s="671" t="s">
        <v>852</v>
      </c>
      <c r="E28" s="671" t="s">
        <v>853</v>
      </c>
      <c r="F28" s="238"/>
      <c r="G28" s="238"/>
      <c r="H28" s="682">
        <v>0</v>
      </c>
      <c r="I28" s="238">
        <v>1</v>
      </c>
      <c r="J28" s="238">
        <v>112.45</v>
      </c>
      <c r="K28" s="682">
        <v>1</v>
      </c>
      <c r="L28" s="238">
        <v>1</v>
      </c>
      <c r="M28" s="713">
        <v>112.45</v>
      </c>
    </row>
    <row r="29" spans="1:13" ht="14.4" customHeight="1" x14ac:dyDescent="0.3">
      <c r="A29" s="680" t="s">
        <v>1920</v>
      </c>
      <c r="B29" s="671" t="s">
        <v>1830</v>
      </c>
      <c r="C29" s="671" t="s">
        <v>1985</v>
      </c>
      <c r="D29" s="671" t="s">
        <v>1986</v>
      </c>
      <c r="E29" s="671" t="s">
        <v>868</v>
      </c>
      <c r="F29" s="238">
        <v>1</v>
      </c>
      <c r="G29" s="238">
        <v>0</v>
      </c>
      <c r="H29" s="682"/>
      <c r="I29" s="238"/>
      <c r="J29" s="238"/>
      <c r="K29" s="682"/>
      <c r="L29" s="238">
        <v>1</v>
      </c>
      <c r="M29" s="713">
        <v>0</v>
      </c>
    </row>
    <row r="30" spans="1:13" ht="14.4" customHeight="1" x14ac:dyDescent="0.3">
      <c r="A30" s="680" t="s">
        <v>1920</v>
      </c>
      <c r="B30" s="671" t="s">
        <v>1830</v>
      </c>
      <c r="C30" s="671" t="s">
        <v>2185</v>
      </c>
      <c r="D30" s="671" t="s">
        <v>2186</v>
      </c>
      <c r="E30" s="671" t="s">
        <v>1218</v>
      </c>
      <c r="F30" s="238">
        <v>2</v>
      </c>
      <c r="G30" s="238">
        <v>67.459999999999994</v>
      </c>
      <c r="H30" s="682">
        <v>1</v>
      </c>
      <c r="I30" s="238"/>
      <c r="J30" s="238"/>
      <c r="K30" s="682">
        <v>0</v>
      </c>
      <c r="L30" s="238">
        <v>2</v>
      </c>
      <c r="M30" s="713">
        <v>67.459999999999994</v>
      </c>
    </row>
    <row r="31" spans="1:13" ht="14.4" customHeight="1" x14ac:dyDescent="0.3">
      <c r="A31" s="680" t="s">
        <v>1920</v>
      </c>
      <c r="B31" s="671" t="s">
        <v>1832</v>
      </c>
      <c r="C31" s="671" t="s">
        <v>1088</v>
      </c>
      <c r="D31" s="671" t="s">
        <v>1089</v>
      </c>
      <c r="E31" s="671" t="s">
        <v>1090</v>
      </c>
      <c r="F31" s="238"/>
      <c r="G31" s="238"/>
      <c r="H31" s="682">
        <v>0</v>
      </c>
      <c r="I31" s="238">
        <v>10</v>
      </c>
      <c r="J31" s="238">
        <v>448.90000000000003</v>
      </c>
      <c r="K31" s="682">
        <v>1</v>
      </c>
      <c r="L31" s="238">
        <v>10</v>
      </c>
      <c r="M31" s="713">
        <v>448.90000000000003</v>
      </c>
    </row>
    <row r="32" spans="1:13" ht="14.4" customHeight="1" x14ac:dyDescent="0.3">
      <c r="A32" s="680" t="s">
        <v>1920</v>
      </c>
      <c r="B32" s="671" t="s">
        <v>1832</v>
      </c>
      <c r="C32" s="671" t="s">
        <v>2052</v>
      </c>
      <c r="D32" s="671" t="s">
        <v>2053</v>
      </c>
      <c r="E32" s="671" t="s">
        <v>1090</v>
      </c>
      <c r="F32" s="238">
        <v>3</v>
      </c>
      <c r="G32" s="238">
        <v>134.67000000000002</v>
      </c>
      <c r="H32" s="682">
        <v>1</v>
      </c>
      <c r="I32" s="238"/>
      <c r="J32" s="238"/>
      <c r="K32" s="682">
        <v>0</v>
      </c>
      <c r="L32" s="238">
        <v>3</v>
      </c>
      <c r="M32" s="713">
        <v>134.67000000000002</v>
      </c>
    </row>
    <row r="33" spans="1:13" ht="14.4" customHeight="1" x14ac:dyDescent="0.3">
      <c r="A33" s="680" t="s">
        <v>1920</v>
      </c>
      <c r="B33" s="671" t="s">
        <v>1833</v>
      </c>
      <c r="C33" s="671" t="s">
        <v>2160</v>
      </c>
      <c r="D33" s="671" t="s">
        <v>1542</v>
      </c>
      <c r="E33" s="671" t="s">
        <v>1543</v>
      </c>
      <c r="F33" s="238"/>
      <c r="G33" s="238"/>
      <c r="H33" s="682">
        <v>0</v>
      </c>
      <c r="I33" s="238">
        <v>1</v>
      </c>
      <c r="J33" s="238">
        <v>270.69</v>
      </c>
      <c r="K33" s="682">
        <v>1</v>
      </c>
      <c r="L33" s="238">
        <v>1</v>
      </c>
      <c r="M33" s="713">
        <v>270.69</v>
      </c>
    </row>
    <row r="34" spans="1:13" ht="14.4" customHeight="1" x14ac:dyDescent="0.3">
      <c r="A34" s="680" t="s">
        <v>1920</v>
      </c>
      <c r="B34" s="671" t="s">
        <v>1834</v>
      </c>
      <c r="C34" s="671" t="s">
        <v>1191</v>
      </c>
      <c r="D34" s="671" t="s">
        <v>1192</v>
      </c>
      <c r="E34" s="671" t="s">
        <v>1193</v>
      </c>
      <c r="F34" s="238"/>
      <c r="G34" s="238"/>
      <c r="H34" s="682">
        <v>0</v>
      </c>
      <c r="I34" s="238">
        <v>4</v>
      </c>
      <c r="J34" s="238">
        <v>221.52</v>
      </c>
      <c r="K34" s="682">
        <v>1</v>
      </c>
      <c r="L34" s="238">
        <v>4</v>
      </c>
      <c r="M34" s="713">
        <v>221.52</v>
      </c>
    </row>
    <row r="35" spans="1:13" ht="14.4" customHeight="1" x14ac:dyDescent="0.3">
      <c r="A35" s="680" t="s">
        <v>1920</v>
      </c>
      <c r="B35" s="671" t="s">
        <v>2508</v>
      </c>
      <c r="C35" s="671" t="s">
        <v>2210</v>
      </c>
      <c r="D35" s="671" t="s">
        <v>2211</v>
      </c>
      <c r="E35" s="671" t="s">
        <v>2212</v>
      </c>
      <c r="F35" s="238">
        <v>1</v>
      </c>
      <c r="G35" s="238">
        <v>202.25</v>
      </c>
      <c r="H35" s="682">
        <v>1</v>
      </c>
      <c r="I35" s="238"/>
      <c r="J35" s="238"/>
      <c r="K35" s="682">
        <v>0</v>
      </c>
      <c r="L35" s="238">
        <v>1</v>
      </c>
      <c r="M35" s="713">
        <v>202.25</v>
      </c>
    </row>
    <row r="36" spans="1:13" ht="14.4" customHeight="1" x14ac:dyDescent="0.3">
      <c r="A36" s="680" t="s">
        <v>1920</v>
      </c>
      <c r="B36" s="671" t="s">
        <v>1837</v>
      </c>
      <c r="C36" s="671" t="s">
        <v>1058</v>
      </c>
      <c r="D36" s="671" t="s">
        <v>1838</v>
      </c>
      <c r="E36" s="671" t="s">
        <v>1060</v>
      </c>
      <c r="F36" s="238"/>
      <c r="G36" s="238"/>
      <c r="H36" s="682">
        <v>0</v>
      </c>
      <c r="I36" s="238">
        <v>6</v>
      </c>
      <c r="J36" s="238">
        <v>808.98</v>
      </c>
      <c r="K36" s="682">
        <v>1</v>
      </c>
      <c r="L36" s="238">
        <v>6</v>
      </c>
      <c r="M36" s="713">
        <v>808.98</v>
      </c>
    </row>
    <row r="37" spans="1:13" ht="14.4" customHeight="1" x14ac:dyDescent="0.3">
      <c r="A37" s="680" t="s">
        <v>1920</v>
      </c>
      <c r="B37" s="671" t="s">
        <v>1837</v>
      </c>
      <c r="C37" s="671" t="s">
        <v>2011</v>
      </c>
      <c r="D37" s="671" t="s">
        <v>1044</v>
      </c>
      <c r="E37" s="671" t="s">
        <v>1950</v>
      </c>
      <c r="F37" s="238"/>
      <c r="G37" s="238"/>
      <c r="H37" s="682">
        <v>0</v>
      </c>
      <c r="I37" s="238">
        <v>1</v>
      </c>
      <c r="J37" s="238">
        <v>33.72</v>
      </c>
      <c r="K37" s="682">
        <v>1</v>
      </c>
      <c r="L37" s="238">
        <v>1</v>
      </c>
      <c r="M37" s="713">
        <v>33.72</v>
      </c>
    </row>
    <row r="38" spans="1:13" ht="14.4" customHeight="1" x14ac:dyDescent="0.3">
      <c r="A38" s="680" t="s">
        <v>1920</v>
      </c>
      <c r="B38" s="671" t="s">
        <v>1837</v>
      </c>
      <c r="C38" s="671" t="s">
        <v>1110</v>
      </c>
      <c r="D38" s="671" t="s">
        <v>1839</v>
      </c>
      <c r="E38" s="671" t="s">
        <v>1153</v>
      </c>
      <c r="F38" s="238"/>
      <c r="G38" s="238"/>
      <c r="H38" s="682">
        <v>0</v>
      </c>
      <c r="I38" s="238">
        <v>3</v>
      </c>
      <c r="J38" s="238">
        <v>202.26</v>
      </c>
      <c r="K38" s="682">
        <v>1</v>
      </c>
      <c r="L38" s="238">
        <v>3</v>
      </c>
      <c r="M38" s="713">
        <v>202.26</v>
      </c>
    </row>
    <row r="39" spans="1:13" ht="14.4" customHeight="1" x14ac:dyDescent="0.3">
      <c r="A39" s="680" t="s">
        <v>1920</v>
      </c>
      <c r="B39" s="671" t="s">
        <v>2510</v>
      </c>
      <c r="C39" s="671" t="s">
        <v>2199</v>
      </c>
      <c r="D39" s="671" t="s">
        <v>2200</v>
      </c>
      <c r="E39" s="671" t="s">
        <v>2201</v>
      </c>
      <c r="F39" s="238"/>
      <c r="G39" s="238"/>
      <c r="H39" s="682">
        <v>0</v>
      </c>
      <c r="I39" s="238">
        <v>1</v>
      </c>
      <c r="J39" s="238">
        <v>431.14</v>
      </c>
      <c r="K39" s="682">
        <v>1</v>
      </c>
      <c r="L39" s="238">
        <v>1</v>
      </c>
      <c r="M39" s="713">
        <v>431.14</v>
      </c>
    </row>
    <row r="40" spans="1:13" ht="14.4" customHeight="1" x14ac:dyDescent="0.3">
      <c r="A40" s="680" t="s">
        <v>1920</v>
      </c>
      <c r="B40" s="671" t="s">
        <v>2511</v>
      </c>
      <c r="C40" s="671" t="s">
        <v>2233</v>
      </c>
      <c r="D40" s="671" t="s">
        <v>2234</v>
      </c>
      <c r="E40" s="671" t="s">
        <v>2235</v>
      </c>
      <c r="F40" s="238"/>
      <c r="G40" s="238"/>
      <c r="H40" s="682">
        <v>0</v>
      </c>
      <c r="I40" s="238">
        <v>1</v>
      </c>
      <c r="J40" s="238">
        <v>479.04</v>
      </c>
      <c r="K40" s="682">
        <v>1</v>
      </c>
      <c r="L40" s="238">
        <v>1</v>
      </c>
      <c r="M40" s="713">
        <v>479.04</v>
      </c>
    </row>
    <row r="41" spans="1:13" ht="14.4" customHeight="1" x14ac:dyDescent="0.3">
      <c r="A41" s="680" t="s">
        <v>1920</v>
      </c>
      <c r="B41" s="671" t="s">
        <v>2512</v>
      </c>
      <c r="C41" s="671" t="s">
        <v>2229</v>
      </c>
      <c r="D41" s="671" t="s">
        <v>2230</v>
      </c>
      <c r="E41" s="671" t="s">
        <v>2231</v>
      </c>
      <c r="F41" s="238"/>
      <c r="G41" s="238"/>
      <c r="H41" s="682">
        <v>0</v>
      </c>
      <c r="I41" s="238">
        <v>1</v>
      </c>
      <c r="J41" s="238">
        <v>108.83</v>
      </c>
      <c r="K41" s="682">
        <v>1</v>
      </c>
      <c r="L41" s="238">
        <v>1</v>
      </c>
      <c r="M41" s="713">
        <v>108.83</v>
      </c>
    </row>
    <row r="42" spans="1:13" ht="14.4" customHeight="1" x14ac:dyDescent="0.3">
      <c r="A42" s="680" t="s">
        <v>1920</v>
      </c>
      <c r="B42" s="671" t="s">
        <v>1841</v>
      </c>
      <c r="C42" s="671" t="s">
        <v>1976</v>
      </c>
      <c r="D42" s="671" t="s">
        <v>1977</v>
      </c>
      <c r="E42" s="671" t="s">
        <v>1978</v>
      </c>
      <c r="F42" s="238"/>
      <c r="G42" s="238"/>
      <c r="H42" s="682">
        <v>0</v>
      </c>
      <c r="I42" s="238">
        <v>1</v>
      </c>
      <c r="J42" s="238">
        <v>312.54000000000002</v>
      </c>
      <c r="K42" s="682">
        <v>1</v>
      </c>
      <c r="L42" s="238">
        <v>1</v>
      </c>
      <c r="M42" s="713">
        <v>312.54000000000002</v>
      </c>
    </row>
    <row r="43" spans="1:13" ht="14.4" customHeight="1" x14ac:dyDescent="0.3">
      <c r="A43" s="680" t="s">
        <v>1920</v>
      </c>
      <c r="B43" s="671" t="s">
        <v>1841</v>
      </c>
      <c r="C43" s="671" t="s">
        <v>1132</v>
      </c>
      <c r="D43" s="671" t="s">
        <v>1137</v>
      </c>
      <c r="E43" s="671" t="s">
        <v>1842</v>
      </c>
      <c r="F43" s="238"/>
      <c r="G43" s="238"/>
      <c r="H43" s="682">
        <v>0</v>
      </c>
      <c r="I43" s="238">
        <v>1</v>
      </c>
      <c r="J43" s="238">
        <v>130.59</v>
      </c>
      <c r="K43" s="682">
        <v>1</v>
      </c>
      <c r="L43" s="238">
        <v>1</v>
      </c>
      <c r="M43" s="713">
        <v>130.59</v>
      </c>
    </row>
    <row r="44" spans="1:13" ht="14.4" customHeight="1" x14ac:dyDescent="0.3">
      <c r="A44" s="680" t="s">
        <v>1920</v>
      </c>
      <c r="B44" s="671" t="s">
        <v>1841</v>
      </c>
      <c r="C44" s="671" t="s">
        <v>1136</v>
      </c>
      <c r="D44" s="671" t="s">
        <v>1137</v>
      </c>
      <c r="E44" s="671" t="s">
        <v>1843</v>
      </c>
      <c r="F44" s="238"/>
      <c r="G44" s="238"/>
      <c r="H44" s="682">
        <v>0</v>
      </c>
      <c r="I44" s="238">
        <v>1</v>
      </c>
      <c r="J44" s="238">
        <v>435.3</v>
      </c>
      <c r="K44" s="682">
        <v>1</v>
      </c>
      <c r="L44" s="238">
        <v>1</v>
      </c>
      <c r="M44" s="713">
        <v>435.3</v>
      </c>
    </row>
    <row r="45" spans="1:13" ht="14.4" customHeight="1" x14ac:dyDescent="0.3">
      <c r="A45" s="680" t="s">
        <v>1920</v>
      </c>
      <c r="B45" s="671" t="s">
        <v>1846</v>
      </c>
      <c r="C45" s="671" t="s">
        <v>2224</v>
      </c>
      <c r="D45" s="671" t="s">
        <v>2078</v>
      </c>
      <c r="E45" s="671" t="s">
        <v>2225</v>
      </c>
      <c r="F45" s="238"/>
      <c r="G45" s="238"/>
      <c r="H45" s="682">
        <v>0</v>
      </c>
      <c r="I45" s="238">
        <v>1</v>
      </c>
      <c r="J45" s="238">
        <v>605.65</v>
      </c>
      <c r="K45" s="682">
        <v>1</v>
      </c>
      <c r="L45" s="238">
        <v>1</v>
      </c>
      <c r="M45" s="713">
        <v>605.65</v>
      </c>
    </row>
    <row r="46" spans="1:13" ht="14.4" customHeight="1" x14ac:dyDescent="0.3">
      <c r="A46" s="680" t="s">
        <v>1920</v>
      </c>
      <c r="B46" s="671" t="s">
        <v>1846</v>
      </c>
      <c r="C46" s="671" t="s">
        <v>2013</v>
      </c>
      <c r="D46" s="671" t="s">
        <v>1188</v>
      </c>
      <c r="E46" s="671" t="s">
        <v>1844</v>
      </c>
      <c r="F46" s="238"/>
      <c r="G46" s="238"/>
      <c r="H46" s="682">
        <v>0</v>
      </c>
      <c r="I46" s="238">
        <v>1</v>
      </c>
      <c r="J46" s="238">
        <v>312.54000000000002</v>
      </c>
      <c r="K46" s="682">
        <v>1</v>
      </c>
      <c r="L46" s="238">
        <v>1</v>
      </c>
      <c r="M46" s="713">
        <v>312.54000000000002</v>
      </c>
    </row>
    <row r="47" spans="1:13" ht="14.4" customHeight="1" x14ac:dyDescent="0.3">
      <c r="A47" s="680" t="s">
        <v>1920</v>
      </c>
      <c r="B47" s="671" t="s">
        <v>1846</v>
      </c>
      <c r="C47" s="671" t="s">
        <v>1187</v>
      </c>
      <c r="D47" s="671" t="s">
        <v>1188</v>
      </c>
      <c r="E47" s="671" t="s">
        <v>1189</v>
      </c>
      <c r="F47" s="238"/>
      <c r="G47" s="238"/>
      <c r="H47" s="682">
        <v>0</v>
      </c>
      <c r="I47" s="238">
        <v>1</v>
      </c>
      <c r="J47" s="238">
        <v>937.62</v>
      </c>
      <c r="K47" s="682">
        <v>1</v>
      </c>
      <c r="L47" s="238">
        <v>1</v>
      </c>
      <c r="M47" s="713">
        <v>937.62</v>
      </c>
    </row>
    <row r="48" spans="1:13" ht="14.4" customHeight="1" x14ac:dyDescent="0.3">
      <c r="A48" s="680" t="s">
        <v>1920</v>
      </c>
      <c r="B48" s="671" t="s">
        <v>2513</v>
      </c>
      <c r="C48" s="671" t="s">
        <v>2176</v>
      </c>
      <c r="D48" s="671" t="s">
        <v>2177</v>
      </c>
      <c r="E48" s="671" t="s">
        <v>2178</v>
      </c>
      <c r="F48" s="238"/>
      <c r="G48" s="238"/>
      <c r="H48" s="682">
        <v>0</v>
      </c>
      <c r="I48" s="238">
        <v>1</v>
      </c>
      <c r="J48" s="238">
        <v>581.30999999999995</v>
      </c>
      <c r="K48" s="682">
        <v>1</v>
      </c>
      <c r="L48" s="238">
        <v>1</v>
      </c>
      <c r="M48" s="713">
        <v>581.30999999999995</v>
      </c>
    </row>
    <row r="49" spans="1:13" ht="14.4" customHeight="1" x14ac:dyDescent="0.3">
      <c r="A49" s="680" t="s">
        <v>1920</v>
      </c>
      <c r="B49" s="671" t="s">
        <v>1896</v>
      </c>
      <c r="C49" s="671" t="s">
        <v>1991</v>
      </c>
      <c r="D49" s="671" t="s">
        <v>1992</v>
      </c>
      <c r="E49" s="671" t="s">
        <v>1993</v>
      </c>
      <c r="F49" s="238"/>
      <c r="G49" s="238"/>
      <c r="H49" s="682">
        <v>0</v>
      </c>
      <c r="I49" s="238">
        <v>1</v>
      </c>
      <c r="J49" s="238">
        <v>50.57</v>
      </c>
      <c r="K49" s="682">
        <v>1</v>
      </c>
      <c r="L49" s="238">
        <v>1</v>
      </c>
      <c r="M49" s="713">
        <v>50.57</v>
      </c>
    </row>
    <row r="50" spans="1:13" ht="14.4" customHeight="1" x14ac:dyDescent="0.3">
      <c r="A50" s="680" t="s">
        <v>1920</v>
      </c>
      <c r="B50" s="671" t="s">
        <v>1852</v>
      </c>
      <c r="C50" s="671" t="s">
        <v>1256</v>
      </c>
      <c r="D50" s="671" t="s">
        <v>1853</v>
      </c>
      <c r="E50" s="671" t="s">
        <v>1854</v>
      </c>
      <c r="F50" s="238"/>
      <c r="G50" s="238"/>
      <c r="H50" s="682">
        <v>0</v>
      </c>
      <c r="I50" s="238">
        <v>7</v>
      </c>
      <c r="J50" s="238">
        <v>2333.17</v>
      </c>
      <c r="K50" s="682">
        <v>1</v>
      </c>
      <c r="L50" s="238">
        <v>7</v>
      </c>
      <c r="M50" s="713">
        <v>2333.17</v>
      </c>
    </row>
    <row r="51" spans="1:13" ht="14.4" customHeight="1" x14ac:dyDescent="0.3">
      <c r="A51" s="680" t="s">
        <v>1920</v>
      </c>
      <c r="B51" s="671" t="s">
        <v>1899</v>
      </c>
      <c r="C51" s="671" t="s">
        <v>2191</v>
      </c>
      <c r="D51" s="671" t="s">
        <v>2192</v>
      </c>
      <c r="E51" s="671" t="s">
        <v>2193</v>
      </c>
      <c r="F51" s="238"/>
      <c r="G51" s="238"/>
      <c r="H51" s="682">
        <v>0</v>
      </c>
      <c r="I51" s="238">
        <v>4</v>
      </c>
      <c r="J51" s="238">
        <v>467.2</v>
      </c>
      <c r="K51" s="682">
        <v>1</v>
      </c>
      <c r="L51" s="238">
        <v>4</v>
      </c>
      <c r="M51" s="713">
        <v>467.2</v>
      </c>
    </row>
    <row r="52" spans="1:13" ht="14.4" customHeight="1" x14ac:dyDescent="0.3">
      <c r="A52" s="680" t="s">
        <v>1920</v>
      </c>
      <c r="B52" s="671" t="s">
        <v>2514</v>
      </c>
      <c r="C52" s="671" t="s">
        <v>2008</v>
      </c>
      <c r="D52" s="671" t="s">
        <v>2009</v>
      </c>
      <c r="E52" s="671" t="s">
        <v>2010</v>
      </c>
      <c r="F52" s="238"/>
      <c r="G52" s="238"/>
      <c r="H52" s="682">
        <v>0</v>
      </c>
      <c r="I52" s="238">
        <v>1</v>
      </c>
      <c r="J52" s="238">
        <v>448.37</v>
      </c>
      <c r="K52" s="682">
        <v>1</v>
      </c>
      <c r="L52" s="238">
        <v>1</v>
      </c>
      <c r="M52" s="713">
        <v>448.37</v>
      </c>
    </row>
    <row r="53" spans="1:13" ht="14.4" customHeight="1" x14ac:dyDescent="0.3">
      <c r="A53" s="680" t="s">
        <v>1920</v>
      </c>
      <c r="B53" s="671" t="s">
        <v>1872</v>
      </c>
      <c r="C53" s="671" t="s">
        <v>2158</v>
      </c>
      <c r="D53" s="671" t="s">
        <v>2159</v>
      </c>
      <c r="E53" s="671" t="s">
        <v>1874</v>
      </c>
      <c r="F53" s="238">
        <v>6</v>
      </c>
      <c r="G53" s="238">
        <v>32.22</v>
      </c>
      <c r="H53" s="682">
        <v>1</v>
      </c>
      <c r="I53" s="238"/>
      <c r="J53" s="238"/>
      <c r="K53" s="682">
        <v>0</v>
      </c>
      <c r="L53" s="238">
        <v>6</v>
      </c>
      <c r="M53" s="713">
        <v>32.22</v>
      </c>
    </row>
    <row r="54" spans="1:13" ht="14.4" customHeight="1" x14ac:dyDescent="0.3">
      <c r="A54" s="680" t="s">
        <v>1921</v>
      </c>
      <c r="B54" s="671" t="s">
        <v>1820</v>
      </c>
      <c r="C54" s="671" t="s">
        <v>2045</v>
      </c>
      <c r="D54" s="671" t="s">
        <v>2046</v>
      </c>
      <c r="E54" s="671" t="s">
        <v>2047</v>
      </c>
      <c r="F54" s="238"/>
      <c r="G54" s="238"/>
      <c r="H54" s="682">
        <v>0</v>
      </c>
      <c r="I54" s="238">
        <v>1</v>
      </c>
      <c r="J54" s="238">
        <v>156.25</v>
      </c>
      <c r="K54" s="682">
        <v>1</v>
      </c>
      <c r="L54" s="238">
        <v>1</v>
      </c>
      <c r="M54" s="713">
        <v>156.25</v>
      </c>
    </row>
    <row r="55" spans="1:13" ht="14.4" customHeight="1" x14ac:dyDescent="0.3">
      <c r="A55" s="680" t="s">
        <v>1921</v>
      </c>
      <c r="B55" s="671" t="s">
        <v>1824</v>
      </c>
      <c r="C55" s="671" t="s">
        <v>878</v>
      </c>
      <c r="D55" s="671" t="s">
        <v>879</v>
      </c>
      <c r="E55" s="671" t="s">
        <v>880</v>
      </c>
      <c r="F55" s="238"/>
      <c r="G55" s="238"/>
      <c r="H55" s="682">
        <v>0</v>
      </c>
      <c r="I55" s="238">
        <v>4</v>
      </c>
      <c r="J55" s="238">
        <v>418.64</v>
      </c>
      <c r="K55" s="682">
        <v>1</v>
      </c>
      <c r="L55" s="238">
        <v>4</v>
      </c>
      <c r="M55" s="713">
        <v>418.64</v>
      </c>
    </row>
    <row r="56" spans="1:13" ht="14.4" customHeight="1" x14ac:dyDescent="0.3">
      <c r="A56" s="680" t="s">
        <v>1921</v>
      </c>
      <c r="B56" s="671" t="s">
        <v>1827</v>
      </c>
      <c r="C56" s="671" t="s">
        <v>1051</v>
      </c>
      <c r="D56" s="671" t="s">
        <v>1052</v>
      </c>
      <c r="E56" s="671" t="s">
        <v>1828</v>
      </c>
      <c r="F56" s="238"/>
      <c r="G56" s="238"/>
      <c r="H56" s="682">
        <v>0</v>
      </c>
      <c r="I56" s="238">
        <v>2</v>
      </c>
      <c r="J56" s="238">
        <v>150.56</v>
      </c>
      <c r="K56" s="682">
        <v>1</v>
      </c>
      <c r="L56" s="238">
        <v>2</v>
      </c>
      <c r="M56" s="713">
        <v>150.56</v>
      </c>
    </row>
    <row r="57" spans="1:13" ht="14.4" customHeight="1" x14ac:dyDescent="0.3">
      <c r="A57" s="680" t="s">
        <v>1921</v>
      </c>
      <c r="B57" s="671" t="s">
        <v>1831</v>
      </c>
      <c r="C57" s="671" t="s">
        <v>1099</v>
      </c>
      <c r="D57" s="671" t="s">
        <v>1100</v>
      </c>
      <c r="E57" s="671" t="s">
        <v>1101</v>
      </c>
      <c r="F57" s="238"/>
      <c r="G57" s="238"/>
      <c r="H57" s="682">
        <v>0</v>
      </c>
      <c r="I57" s="238">
        <v>1</v>
      </c>
      <c r="J57" s="238">
        <v>41.89</v>
      </c>
      <c r="K57" s="682">
        <v>1</v>
      </c>
      <c r="L57" s="238">
        <v>1</v>
      </c>
      <c r="M57" s="713">
        <v>41.89</v>
      </c>
    </row>
    <row r="58" spans="1:13" ht="14.4" customHeight="1" x14ac:dyDescent="0.3">
      <c r="A58" s="680" t="s">
        <v>1921</v>
      </c>
      <c r="B58" s="671" t="s">
        <v>1832</v>
      </c>
      <c r="C58" s="671" t="s">
        <v>1088</v>
      </c>
      <c r="D58" s="671" t="s">
        <v>1089</v>
      </c>
      <c r="E58" s="671" t="s">
        <v>1090</v>
      </c>
      <c r="F58" s="238"/>
      <c r="G58" s="238"/>
      <c r="H58" s="682">
        <v>0</v>
      </c>
      <c r="I58" s="238">
        <v>5</v>
      </c>
      <c r="J58" s="238">
        <v>224.45</v>
      </c>
      <c r="K58" s="682">
        <v>1</v>
      </c>
      <c r="L58" s="238">
        <v>5</v>
      </c>
      <c r="M58" s="713">
        <v>224.45</v>
      </c>
    </row>
    <row r="59" spans="1:13" ht="14.4" customHeight="1" x14ac:dyDescent="0.3">
      <c r="A59" s="680" t="s">
        <v>1921</v>
      </c>
      <c r="B59" s="671" t="s">
        <v>1833</v>
      </c>
      <c r="C59" s="671" t="s">
        <v>2022</v>
      </c>
      <c r="D59" s="671" t="s">
        <v>1542</v>
      </c>
      <c r="E59" s="671" t="s">
        <v>1060</v>
      </c>
      <c r="F59" s="238"/>
      <c r="G59" s="238"/>
      <c r="H59" s="682">
        <v>0</v>
      </c>
      <c r="I59" s="238">
        <v>1</v>
      </c>
      <c r="J59" s="238">
        <v>81.209999999999994</v>
      </c>
      <c r="K59" s="682">
        <v>1</v>
      </c>
      <c r="L59" s="238">
        <v>1</v>
      </c>
      <c r="M59" s="713">
        <v>81.209999999999994</v>
      </c>
    </row>
    <row r="60" spans="1:13" ht="14.4" customHeight="1" x14ac:dyDescent="0.3">
      <c r="A60" s="680" t="s">
        <v>1921</v>
      </c>
      <c r="B60" s="671" t="s">
        <v>1834</v>
      </c>
      <c r="C60" s="671" t="s">
        <v>1191</v>
      </c>
      <c r="D60" s="671" t="s">
        <v>1192</v>
      </c>
      <c r="E60" s="671" t="s">
        <v>1193</v>
      </c>
      <c r="F60" s="238"/>
      <c r="G60" s="238"/>
      <c r="H60" s="682">
        <v>0</v>
      </c>
      <c r="I60" s="238">
        <v>2</v>
      </c>
      <c r="J60" s="238">
        <v>110.76</v>
      </c>
      <c r="K60" s="682">
        <v>1</v>
      </c>
      <c r="L60" s="238">
        <v>2</v>
      </c>
      <c r="M60" s="713">
        <v>110.76</v>
      </c>
    </row>
    <row r="61" spans="1:13" ht="14.4" customHeight="1" x14ac:dyDescent="0.3">
      <c r="A61" s="680" t="s">
        <v>1921</v>
      </c>
      <c r="B61" s="671" t="s">
        <v>2508</v>
      </c>
      <c r="C61" s="671" t="s">
        <v>2041</v>
      </c>
      <c r="D61" s="671" t="s">
        <v>2042</v>
      </c>
      <c r="E61" s="671" t="s">
        <v>1946</v>
      </c>
      <c r="F61" s="238"/>
      <c r="G61" s="238"/>
      <c r="H61" s="682">
        <v>0</v>
      </c>
      <c r="I61" s="238">
        <v>1</v>
      </c>
      <c r="J61" s="238">
        <v>67.42</v>
      </c>
      <c r="K61" s="682">
        <v>1</v>
      </c>
      <c r="L61" s="238">
        <v>1</v>
      </c>
      <c r="M61" s="713">
        <v>67.42</v>
      </c>
    </row>
    <row r="62" spans="1:13" ht="14.4" customHeight="1" x14ac:dyDescent="0.3">
      <c r="A62" s="680" t="s">
        <v>1921</v>
      </c>
      <c r="B62" s="671" t="s">
        <v>1837</v>
      </c>
      <c r="C62" s="671" t="s">
        <v>1058</v>
      </c>
      <c r="D62" s="671" t="s">
        <v>1838</v>
      </c>
      <c r="E62" s="671" t="s">
        <v>1060</v>
      </c>
      <c r="F62" s="238"/>
      <c r="G62" s="238"/>
      <c r="H62" s="682">
        <v>0</v>
      </c>
      <c r="I62" s="238">
        <v>3</v>
      </c>
      <c r="J62" s="238">
        <v>404.49</v>
      </c>
      <c r="K62" s="682">
        <v>1</v>
      </c>
      <c r="L62" s="238">
        <v>3</v>
      </c>
      <c r="M62" s="713">
        <v>404.49</v>
      </c>
    </row>
    <row r="63" spans="1:13" ht="14.4" customHeight="1" x14ac:dyDescent="0.3">
      <c r="A63" s="680" t="s">
        <v>1921</v>
      </c>
      <c r="B63" s="671" t="s">
        <v>1837</v>
      </c>
      <c r="C63" s="671" t="s">
        <v>1043</v>
      </c>
      <c r="D63" s="671" t="s">
        <v>1044</v>
      </c>
      <c r="E63" s="671" t="s">
        <v>1045</v>
      </c>
      <c r="F63" s="238"/>
      <c r="G63" s="238"/>
      <c r="H63" s="682">
        <v>0</v>
      </c>
      <c r="I63" s="238">
        <v>2</v>
      </c>
      <c r="J63" s="238">
        <v>44.94</v>
      </c>
      <c r="K63" s="682">
        <v>1</v>
      </c>
      <c r="L63" s="238">
        <v>2</v>
      </c>
      <c r="M63" s="713">
        <v>44.94</v>
      </c>
    </row>
    <row r="64" spans="1:13" ht="14.4" customHeight="1" x14ac:dyDescent="0.3">
      <c r="A64" s="680" t="s">
        <v>1921</v>
      </c>
      <c r="B64" s="671" t="s">
        <v>1837</v>
      </c>
      <c r="C64" s="671" t="s">
        <v>1110</v>
      </c>
      <c r="D64" s="671" t="s">
        <v>1839</v>
      </c>
      <c r="E64" s="671" t="s">
        <v>1153</v>
      </c>
      <c r="F64" s="238"/>
      <c r="G64" s="238"/>
      <c r="H64" s="682">
        <v>0</v>
      </c>
      <c r="I64" s="238">
        <v>1</v>
      </c>
      <c r="J64" s="238">
        <v>67.42</v>
      </c>
      <c r="K64" s="682">
        <v>1</v>
      </c>
      <c r="L64" s="238">
        <v>1</v>
      </c>
      <c r="M64" s="713">
        <v>67.42</v>
      </c>
    </row>
    <row r="65" spans="1:13" ht="14.4" customHeight="1" x14ac:dyDescent="0.3">
      <c r="A65" s="680" t="s">
        <v>1921</v>
      </c>
      <c r="B65" s="671" t="s">
        <v>1841</v>
      </c>
      <c r="C65" s="671" t="s">
        <v>1132</v>
      </c>
      <c r="D65" s="671" t="s">
        <v>1137</v>
      </c>
      <c r="E65" s="671" t="s">
        <v>1842</v>
      </c>
      <c r="F65" s="238"/>
      <c r="G65" s="238"/>
      <c r="H65" s="682">
        <v>0</v>
      </c>
      <c r="I65" s="238">
        <v>2</v>
      </c>
      <c r="J65" s="238">
        <v>261.18</v>
      </c>
      <c r="K65" s="682">
        <v>1</v>
      </c>
      <c r="L65" s="238">
        <v>2</v>
      </c>
      <c r="M65" s="713">
        <v>261.18</v>
      </c>
    </row>
    <row r="66" spans="1:13" ht="14.4" customHeight="1" x14ac:dyDescent="0.3">
      <c r="A66" s="680" t="s">
        <v>1921</v>
      </c>
      <c r="B66" s="671" t="s">
        <v>1841</v>
      </c>
      <c r="C66" s="671" t="s">
        <v>1136</v>
      </c>
      <c r="D66" s="671" t="s">
        <v>1137</v>
      </c>
      <c r="E66" s="671" t="s">
        <v>1843</v>
      </c>
      <c r="F66" s="238"/>
      <c r="G66" s="238"/>
      <c r="H66" s="682">
        <v>0</v>
      </c>
      <c r="I66" s="238">
        <v>1</v>
      </c>
      <c r="J66" s="238">
        <v>435.3</v>
      </c>
      <c r="K66" s="682">
        <v>1</v>
      </c>
      <c r="L66" s="238">
        <v>1</v>
      </c>
      <c r="M66" s="713">
        <v>435.3</v>
      </c>
    </row>
    <row r="67" spans="1:13" ht="14.4" customHeight="1" x14ac:dyDescent="0.3">
      <c r="A67" s="680" t="s">
        <v>1921</v>
      </c>
      <c r="B67" s="671" t="s">
        <v>1852</v>
      </c>
      <c r="C67" s="671" t="s">
        <v>1256</v>
      </c>
      <c r="D67" s="671" t="s">
        <v>1853</v>
      </c>
      <c r="E67" s="671" t="s">
        <v>1854</v>
      </c>
      <c r="F67" s="238"/>
      <c r="G67" s="238"/>
      <c r="H67" s="682">
        <v>0</v>
      </c>
      <c r="I67" s="238">
        <v>1</v>
      </c>
      <c r="J67" s="238">
        <v>333.31</v>
      </c>
      <c r="K67" s="682">
        <v>1</v>
      </c>
      <c r="L67" s="238">
        <v>1</v>
      </c>
      <c r="M67" s="713">
        <v>333.31</v>
      </c>
    </row>
    <row r="68" spans="1:13" ht="14.4" customHeight="1" x14ac:dyDescent="0.3">
      <c r="A68" s="680" t="s">
        <v>1921</v>
      </c>
      <c r="B68" s="671" t="s">
        <v>1865</v>
      </c>
      <c r="C68" s="671" t="s">
        <v>1271</v>
      </c>
      <c r="D68" s="671" t="s">
        <v>1272</v>
      </c>
      <c r="E68" s="671" t="s">
        <v>1860</v>
      </c>
      <c r="F68" s="238"/>
      <c r="G68" s="238"/>
      <c r="H68" s="682">
        <v>0</v>
      </c>
      <c r="I68" s="238">
        <v>2</v>
      </c>
      <c r="J68" s="238">
        <v>139.72</v>
      </c>
      <c r="K68" s="682">
        <v>1</v>
      </c>
      <c r="L68" s="238">
        <v>2</v>
      </c>
      <c r="M68" s="713">
        <v>139.72</v>
      </c>
    </row>
    <row r="69" spans="1:13" ht="14.4" customHeight="1" x14ac:dyDescent="0.3">
      <c r="A69" s="680" t="s">
        <v>1922</v>
      </c>
      <c r="B69" s="671" t="s">
        <v>1806</v>
      </c>
      <c r="C69" s="671" t="s">
        <v>2069</v>
      </c>
      <c r="D69" s="671" t="s">
        <v>1041</v>
      </c>
      <c r="E69" s="671" t="s">
        <v>2070</v>
      </c>
      <c r="F69" s="238"/>
      <c r="G69" s="238"/>
      <c r="H69" s="682"/>
      <c r="I69" s="238">
        <v>1</v>
      </c>
      <c r="J69" s="238">
        <v>0</v>
      </c>
      <c r="K69" s="682"/>
      <c r="L69" s="238">
        <v>1</v>
      </c>
      <c r="M69" s="713">
        <v>0</v>
      </c>
    </row>
    <row r="70" spans="1:13" ht="14.4" customHeight="1" x14ac:dyDescent="0.3">
      <c r="A70" s="680" t="s">
        <v>1922</v>
      </c>
      <c r="B70" s="671" t="s">
        <v>1820</v>
      </c>
      <c r="C70" s="671" t="s">
        <v>2045</v>
      </c>
      <c r="D70" s="671" t="s">
        <v>2046</v>
      </c>
      <c r="E70" s="671" t="s">
        <v>2047</v>
      </c>
      <c r="F70" s="238"/>
      <c r="G70" s="238"/>
      <c r="H70" s="682">
        <v>0</v>
      </c>
      <c r="I70" s="238">
        <v>2</v>
      </c>
      <c r="J70" s="238">
        <v>312.5</v>
      </c>
      <c r="K70" s="682">
        <v>1</v>
      </c>
      <c r="L70" s="238">
        <v>2</v>
      </c>
      <c r="M70" s="713">
        <v>312.5</v>
      </c>
    </row>
    <row r="71" spans="1:13" ht="14.4" customHeight="1" x14ac:dyDescent="0.3">
      <c r="A71" s="680" t="s">
        <v>1922</v>
      </c>
      <c r="B71" s="671" t="s">
        <v>1820</v>
      </c>
      <c r="C71" s="671" t="s">
        <v>1140</v>
      </c>
      <c r="D71" s="671" t="s">
        <v>1821</v>
      </c>
      <c r="E71" s="671" t="s">
        <v>1539</v>
      </c>
      <c r="F71" s="238"/>
      <c r="G71" s="238"/>
      <c r="H71" s="682">
        <v>0</v>
      </c>
      <c r="I71" s="238">
        <v>3</v>
      </c>
      <c r="J71" s="238">
        <v>579.41999999999996</v>
      </c>
      <c r="K71" s="682">
        <v>1</v>
      </c>
      <c r="L71" s="238">
        <v>3</v>
      </c>
      <c r="M71" s="713">
        <v>579.41999999999996</v>
      </c>
    </row>
    <row r="72" spans="1:13" ht="14.4" customHeight="1" x14ac:dyDescent="0.3">
      <c r="A72" s="680" t="s">
        <v>1922</v>
      </c>
      <c r="B72" s="671" t="s">
        <v>1824</v>
      </c>
      <c r="C72" s="671" t="s">
        <v>878</v>
      </c>
      <c r="D72" s="671" t="s">
        <v>879</v>
      </c>
      <c r="E72" s="671" t="s">
        <v>880</v>
      </c>
      <c r="F72" s="238"/>
      <c r="G72" s="238"/>
      <c r="H72" s="682">
        <v>0</v>
      </c>
      <c r="I72" s="238">
        <v>5</v>
      </c>
      <c r="J72" s="238">
        <v>523.29999999999995</v>
      </c>
      <c r="K72" s="682">
        <v>1</v>
      </c>
      <c r="L72" s="238">
        <v>5</v>
      </c>
      <c r="M72" s="713">
        <v>523.29999999999995</v>
      </c>
    </row>
    <row r="73" spans="1:13" ht="14.4" customHeight="1" x14ac:dyDescent="0.3">
      <c r="A73" s="680" t="s">
        <v>1922</v>
      </c>
      <c r="B73" s="671" t="s">
        <v>1824</v>
      </c>
      <c r="C73" s="671" t="s">
        <v>2067</v>
      </c>
      <c r="D73" s="671" t="s">
        <v>2068</v>
      </c>
      <c r="E73" s="671" t="s">
        <v>880</v>
      </c>
      <c r="F73" s="238">
        <v>1</v>
      </c>
      <c r="G73" s="238">
        <v>0</v>
      </c>
      <c r="H73" s="682"/>
      <c r="I73" s="238"/>
      <c r="J73" s="238"/>
      <c r="K73" s="682"/>
      <c r="L73" s="238">
        <v>1</v>
      </c>
      <c r="M73" s="713">
        <v>0</v>
      </c>
    </row>
    <row r="74" spans="1:13" ht="14.4" customHeight="1" x14ac:dyDescent="0.3">
      <c r="A74" s="680" t="s">
        <v>1922</v>
      </c>
      <c r="B74" s="671" t="s">
        <v>1827</v>
      </c>
      <c r="C74" s="671" t="s">
        <v>1051</v>
      </c>
      <c r="D74" s="671" t="s">
        <v>1052</v>
      </c>
      <c r="E74" s="671" t="s">
        <v>1828</v>
      </c>
      <c r="F74" s="238"/>
      <c r="G74" s="238"/>
      <c r="H74" s="682">
        <v>0</v>
      </c>
      <c r="I74" s="238">
        <v>1</v>
      </c>
      <c r="J74" s="238">
        <v>75.28</v>
      </c>
      <c r="K74" s="682">
        <v>1</v>
      </c>
      <c r="L74" s="238">
        <v>1</v>
      </c>
      <c r="M74" s="713">
        <v>75.28</v>
      </c>
    </row>
    <row r="75" spans="1:13" ht="14.4" customHeight="1" x14ac:dyDescent="0.3">
      <c r="A75" s="680" t="s">
        <v>1922</v>
      </c>
      <c r="B75" s="671" t="s">
        <v>1827</v>
      </c>
      <c r="C75" s="671" t="s">
        <v>2048</v>
      </c>
      <c r="D75" s="671" t="s">
        <v>2049</v>
      </c>
      <c r="E75" s="671" t="s">
        <v>1828</v>
      </c>
      <c r="F75" s="238">
        <v>1</v>
      </c>
      <c r="G75" s="238">
        <v>0</v>
      </c>
      <c r="H75" s="682"/>
      <c r="I75" s="238"/>
      <c r="J75" s="238"/>
      <c r="K75" s="682"/>
      <c r="L75" s="238">
        <v>1</v>
      </c>
      <c r="M75" s="713">
        <v>0</v>
      </c>
    </row>
    <row r="76" spans="1:13" ht="14.4" customHeight="1" x14ac:dyDescent="0.3">
      <c r="A76" s="680" t="s">
        <v>1922</v>
      </c>
      <c r="B76" s="671" t="s">
        <v>1827</v>
      </c>
      <c r="C76" s="671" t="s">
        <v>2050</v>
      </c>
      <c r="D76" s="671" t="s">
        <v>2049</v>
      </c>
      <c r="E76" s="671" t="s">
        <v>1829</v>
      </c>
      <c r="F76" s="238">
        <v>1</v>
      </c>
      <c r="G76" s="238">
        <v>0</v>
      </c>
      <c r="H76" s="682"/>
      <c r="I76" s="238"/>
      <c r="J76" s="238"/>
      <c r="K76" s="682"/>
      <c r="L76" s="238">
        <v>1</v>
      </c>
      <c r="M76" s="713">
        <v>0</v>
      </c>
    </row>
    <row r="77" spans="1:13" ht="14.4" customHeight="1" x14ac:dyDescent="0.3">
      <c r="A77" s="680" t="s">
        <v>1922</v>
      </c>
      <c r="B77" s="671" t="s">
        <v>1830</v>
      </c>
      <c r="C77" s="671" t="s">
        <v>2061</v>
      </c>
      <c r="D77" s="671" t="s">
        <v>2062</v>
      </c>
      <c r="E77" s="671" t="s">
        <v>868</v>
      </c>
      <c r="F77" s="238">
        <v>1</v>
      </c>
      <c r="G77" s="238">
        <v>0</v>
      </c>
      <c r="H77" s="682"/>
      <c r="I77" s="238"/>
      <c r="J77" s="238"/>
      <c r="K77" s="682"/>
      <c r="L77" s="238">
        <v>1</v>
      </c>
      <c r="M77" s="713">
        <v>0</v>
      </c>
    </row>
    <row r="78" spans="1:13" ht="14.4" customHeight="1" x14ac:dyDescent="0.3">
      <c r="A78" s="680" t="s">
        <v>1922</v>
      </c>
      <c r="B78" s="671" t="s">
        <v>1830</v>
      </c>
      <c r="C78" s="671" t="s">
        <v>2063</v>
      </c>
      <c r="D78" s="671" t="s">
        <v>2062</v>
      </c>
      <c r="E78" s="671" t="s">
        <v>2035</v>
      </c>
      <c r="F78" s="238">
        <v>1</v>
      </c>
      <c r="G78" s="238">
        <v>56.23</v>
      </c>
      <c r="H78" s="682">
        <v>1</v>
      </c>
      <c r="I78" s="238"/>
      <c r="J78" s="238"/>
      <c r="K78" s="682">
        <v>0</v>
      </c>
      <c r="L78" s="238">
        <v>1</v>
      </c>
      <c r="M78" s="713">
        <v>56.23</v>
      </c>
    </row>
    <row r="79" spans="1:13" ht="14.4" customHeight="1" x14ac:dyDescent="0.3">
      <c r="A79" s="680" t="s">
        <v>1922</v>
      </c>
      <c r="B79" s="671" t="s">
        <v>1830</v>
      </c>
      <c r="C79" s="671" t="s">
        <v>2064</v>
      </c>
      <c r="D79" s="671" t="s">
        <v>1986</v>
      </c>
      <c r="E79" s="671" t="s">
        <v>2035</v>
      </c>
      <c r="F79" s="238">
        <v>1</v>
      </c>
      <c r="G79" s="238">
        <v>42.18</v>
      </c>
      <c r="H79" s="682">
        <v>1</v>
      </c>
      <c r="I79" s="238"/>
      <c r="J79" s="238"/>
      <c r="K79" s="682">
        <v>0</v>
      </c>
      <c r="L79" s="238">
        <v>1</v>
      </c>
      <c r="M79" s="713">
        <v>42.18</v>
      </c>
    </row>
    <row r="80" spans="1:13" ht="14.4" customHeight="1" x14ac:dyDescent="0.3">
      <c r="A80" s="680" t="s">
        <v>1922</v>
      </c>
      <c r="B80" s="671" t="s">
        <v>1831</v>
      </c>
      <c r="C80" s="671" t="s">
        <v>1099</v>
      </c>
      <c r="D80" s="671" t="s">
        <v>1100</v>
      </c>
      <c r="E80" s="671" t="s">
        <v>1101</v>
      </c>
      <c r="F80" s="238"/>
      <c r="G80" s="238"/>
      <c r="H80" s="682">
        <v>0</v>
      </c>
      <c r="I80" s="238">
        <v>1</v>
      </c>
      <c r="J80" s="238">
        <v>41.89</v>
      </c>
      <c r="K80" s="682">
        <v>1</v>
      </c>
      <c r="L80" s="238">
        <v>1</v>
      </c>
      <c r="M80" s="713">
        <v>41.89</v>
      </c>
    </row>
    <row r="81" spans="1:13" ht="14.4" customHeight="1" x14ac:dyDescent="0.3">
      <c r="A81" s="680" t="s">
        <v>1922</v>
      </c>
      <c r="B81" s="671" t="s">
        <v>1832</v>
      </c>
      <c r="C81" s="671" t="s">
        <v>1088</v>
      </c>
      <c r="D81" s="671" t="s">
        <v>1089</v>
      </c>
      <c r="E81" s="671" t="s">
        <v>1090</v>
      </c>
      <c r="F81" s="238"/>
      <c r="G81" s="238"/>
      <c r="H81" s="682">
        <v>0</v>
      </c>
      <c r="I81" s="238">
        <v>5</v>
      </c>
      <c r="J81" s="238">
        <v>224.45000000000002</v>
      </c>
      <c r="K81" s="682">
        <v>1</v>
      </c>
      <c r="L81" s="238">
        <v>5</v>
      </c>
      <c r="M81" s="713">
        <v>224.45000000000002</v>
      </c>
    </row>
    <row r="82" spans="1:13" ht="14.4" customHeight="1" x14ac:dyDescent="0.3">
      <c r="A82" s="680" t="s">
        <v>1922</v>
      </c>
      <c r="B82" s="671" t="s">
        <v>1832</v>
      </c>
      <c r="C82" s="671" t="s">
        <v>2052</v>
      </c>
      <c r="D82" s="671" t="s">
        <v>2053</v>
      </c>
      <c r="E82" s="671" t="s">
        <v>1090</v>
      </c>
      <c r="F82" s="238">
        <v>1</v>
      </c>
      <c r="G82" s="238">
        <v>44.89</v>
      </c>
      <c r="H82" s="682">
        <v>1</v>
      </c>
      <c r="I82" s="238"/>
      <c r="J82" s="238"/>
      <c r="K82" s="682">
        <v>0</v>
      </c>
      <c r="L82" s="238">
        <v>1</v>
      </c>
      <c r="M82" s="713">
        <v>44.89</v>
      </c>
    </row>
    <row r="83" spans="1:13" ht="14.4" customHeight="1" x14ac:dyDescent="0.3">
      <c r="A83" s="680" t="s">
        <v>1922</v>
      </c>
      <c r="B83" s="671" t="s">
        <v>1889</v>
      </c>
      <c r="C83" s="671" t="s">
        <v>1547</v>
      </c>
      <c r="D83" s="671" t="s">
        <v>1548</v>
      </c>
      <c r="E83" s="671" t="s">
        <v>1549</v>
      </c>
      <c r="F83" s="238"/>
      <c r="G83" s="238"/>
      <c r="H83" s="682">
        <v>0</v>
      </c>
      <c r="I83" s="238">
        <v>1</v>
      </c>
      <c r="J83" s="238">
        <v>25.07</v>
      </c>
      <c r="K83" s="682">
        <v>1</v>
      </c>
      <c r="L83" s="238">
        <v>1</v>
      </c>
      <c r="M83" s="713">
        <v>25.07</v>
      </c>
    </row>
    <row r="84" spans="1:13" ht="14.4" customHeight="1" x14ac:dyDescent="0.3">
      <c r="A84" s="680" t="s">
        <v>1922</v>
      </c>
      <c r="B84" s="671" t="s">
        <v>1833</v>
      </c>
      <c r="C84" s="671" t="s">
        <v>2022</v>
      </c>
      <c r="D84" s="671" t="s">
        <v>1542</v>
      </c>
      <c r="E84" s="671" t="s">
        <v>1060</v>
      </c>
      <c r="F84" s="238"/>
      <c r="G84" s="238"/>
      <c r="H84" s="682">
        <v>0</v>
      </c>
      <c r="I84" s="238">
        <v>1</v>
      </c>
      <c r="J84" s="238">
        <v>81.209999999999994</v>
      </c>
      <c r="K84" s="682">
        <v>1</v>
      </c>
      <c r="L84" s="238">
        <v>1</v>
      </c>
      <c r="M84" s="713">
        <v>81.209999999999994</v>
      </c>
    </row>
    <row r="85" spans="1:13" ht="14.4" customHeight="1" x14ac:dyDescent="0.3">
      <c r="A85" s="680" t="s">
        <v>1922</v>
      </c>
      <c r="B85" s="671" t="s">
        <v>1834</v>
      </c>
      <c r="C85" s="671" t="s">
        <v>1191</v>
      </c>
      <c r="D85" s="671" t="s">
        <v>1192</v>
      </c>
      <c r="E85" s="671" t="s">
        <v>1193</v>
      </c>
      <c r="F85" s="238"/>
      <c r="G85" s="238"/>
      <c r="H85" s="682">
        <v>0</v>
      </c>
      <c r="I85" s="238">
        <v>3</v>
      </c>
      <c r="J85" s="238">
        <v>166.14000000000001</v>
      </c>
      <c r="K85" s="682">
        <v>1</v>
      </c>
      <c r="L85" s="238">
        <v>3</v>
      </c>
      <c r="M85" s="713">
        <v>166.14000000000001</v>
      </c>
    </row>
    <row r="86" spans="1:13" ht="14.4" customHeight="1" x14ac:dyDescent="0.3">
      <c r="A86" s="680" t="s">
        <v>1922</v>
      </c>
      <c r="B86" s="671" t="s">
        <v>1837</v>
      </c>
      <c r="C86" s="671" t="s">
        <v>1058</v>
      </c>
      <c r="D86" s="671" t="s">
        <v>1838</v>
      </c>
      <c r="E86" s="671" t="s">
        <v>1060</v>
      </c>
      <c r="F86" s="238"/>
      <c r="G86" s="238"/>
      <c r="H86" s="682">
        <v>0</v>
      </c>
      <c r="I86" s="238">
        <v>2</v>
      </c>
      <c r="J86" s="238">
        <v>269.66000000000003</v>
      </c>
      <c r="K86" s="682">
        <v>1</v>
      </c>
      <c r="L86" s="238">
        <v>2</v>
      </c>
      <c r="M86" s="713">
        <v>269.66000000000003</v>
      </c>
    </row>
    <row r="87" spans="1:13" ht="14.4" customHeight="1" x14ac:dyDescent="0.3">
      <c r="A87" s="680" t="s">
        <v>1922</v>
      </c>
      <c r="B87" s="671" t="s">
        <v>1837</v>
      </c>
      <c r="C87" s="671" t="s">
        <v>2011</v>
      </c>
      <c r="D87" s="671" t="s">
        <v>1044</v>
      </c>
      <c r="E87" s="671" t="s">
        <v>1950</v>
      </c>
      <c r="F87" s="238"/>
      <c r="G87" s="238"/>
      <c r="H87" s="682">
        <v>0</v>
      </c>
      <c r="I87" s="238">
        <v>2</v>
      </c>
      <c r="J87" s="238">
        <v>67.44</v>
      </c>
      <c r="K87" s="682">
        <v>1</v>
      </c>
      <c r="L87" s="238">
        <v>2</v>
      </c>
      <c r="M87" s="713">
        <v>67.44</v>
      </c>
    </row>
    <row r="88" spans="1:13" ht="14.4" customHeight="1" x14ac:dyDescent="0.3">
      <c r="A88" s="680" t="s">
        <v>1922</v>
      </c>
      <c r="B88" s="671" t="s">
        <v>1837</v>
      </c>
      <c r="C88" s="671" t="s">
        <v>1110</v>
      </c>
      <c r="D88" s="671" t="s">
        <v>1839</v>
      </c>
      <c r="E88" s="671" t="s">
        <v>1153</v>
      </c>
      <c r="F88" s="238"/>
      <c r="G88" s="238"/>
      <c r="H88" s="682">
        <v>0</v>
      </c>
      <c r="I88" s="238">
        <v>3</v>
      </c>
      <c r="J88" s="238">
        <v>202.26</v>
      </c>
      <c r="K88" s="682">
        <v>1</v>
      </c>
      <c r="L88" s="238">
        <v>3</v>
      </c>
      <c r="M88" s="713">
        <v>202.26</v>
      </c>
    </row>
    <row r="89" spans="1:13" ht="14.4" customHeight="1" x14ac:dyDescent="0.3">
      <c r="A89" s="680" t="s">
        <v>1922</v>
      </c>
      <c r="B89" s="671" t="s">
        <v>1841</v>
      </c>
      <c r="C89" s="671" t="s">
        <v>1132</v>
      </c>
      <c r="D89" s="671" t="s">
        <v>1137</v>
      </c>
      <c r="E89" s="671" t="s">
        <v>1842</v>
      </c>
      <c r="F89" s="238"/>
      <c r="G89" s="238"/>
      <c r="H89" s="682">
        <v>0</v>
      </c>
      <c r="I89" s="238">
        <v>2</v>
      </c>
      <c r="J89" s="238">
        <v>261.18</v>
      </c>
      <c r="K89" s="682">
        <v>1</v>
      </c>
      <c r="L89" s="238">
        <v>2</v>
      </c>
      <c r="M89" s="713">
        <v>261.18</v>
      </c>
    </row>
    <row r="90" spans="1:13" ht="14.4" customHeight="1" x14ac:dyDescent="0.3">
      <c r="A90" s="680" t="s">
        <v>1922</v>
      </c>
      <c r="B90" s="671" t="s">
        <v>1841</v>
      </c>
      <c r="C90" s="671" t="s">
        <v>1179</v>
      </c>
      <c r="D90" s="671" t="s">
        <v>1184</v>
      </c>
      <c r="E90" s="671" t="s">
        <v>1844</v>
      </c>
      <c r="F90" s="238"/>
      <c r="G90" s="238"/>
      <c r="H90" s="682">
        <v>0</v>
      </c>
      <c r="I90" s="238">
        <v>6</v>
      </c>
      <c r="J90" s="238">
        <v>1211.28</v>
      </c>
      <c r="K90" s="682">
        <v>1</v>
      </c>
      <c r="L90" s="238">
        <v>6</v>
      </c>
      <c r="M90" s="713">
        <v>1211.28</v>
      </c>
    </row>
    <row r="91" spans="1:13" ht="14.4" customHeight="1" x14ac:dyDescent="0.3">
      <c r="A91" s="680" t="s">
        <v>1922</v>
      </c>
      <c r="B91" s="671" t="s">
        <v>1841</v>
      </c>
      <c r="C91" s="671" t="s">
        <v>1183</v>
      </c>
      <c r="D91" s="671" t="s">
        <v>1184</v>
      </c>
      <c r="E91" s="671" t="s">
        <v>1845</v>
      </c>
      <c r="F91" s="238"/>
      <c r="G91" s="238"/>
      <c r="H91" s="682">
        <v>0</v>
      </c>
      <c r="I91" s="238">
        <v>1</v>
      </c>
      <c r="J91" s="238">
        <v>672.94</v>
      </c>
      <c r="K91" s="682">
        <v>1</v>
      </c>
      <c r="L91" s="238">
        <v>1</v>
      </c>
      <c r="M91" s="713">
        <v>672.94</v>
      </c>
    </row>
    <row r="92" spans="1:13" ht="14.4" customHeight="1" x14ac:dyDescent="0.3">
      <c r="A92" s="680" t="s">
        <v>1922</v>
      </c>
      <c r="B92" s="671" t="s">
        <v>1841</v>
      </c>
      <c r="C92" s="671" t="s">
        <v>2051</v>
      </c>
      <c r="D92" s="671" t="s">
        <v>1977</v>
      </c>
      <c r="E92" s="671" t="s">
        <v>1978</v>
      </c>
      <c r="F92" s="238"/>
      <c r="G92" s="238"/>
      <c r="H92" s="682">
        <v>0</v>
      </c>
      <c r="I92" s="238">
        <v>1</v>
      </c>
      <c r="J92" s="238">
        <v>312.54000000000002</v>
      </c>
      <c r="K92" s="682">
        <v>1</v>
      </c>
      <c r="L92" s="238">
        <v>1</v>
      </c>
      <c r="M92" s="713">
        <v>312.54000000000002</v>
      </c>
    </row>
    <row r="93" spans="1:13" ht="14.4" customHeight="1" x14ac:dyDescent="0.3">
      <c r="A93" s="680" t="s">
        <v>1922</v>
      </c>
      <c r="B93" s="671" t="s">
        <v>1846</v>
      </c>
      <c r="C93" s="671" t="s">
        <v>2077</v>
      </c>
      <c r="D93" s="671" t="s">
        <v>2078</v>
      </c>
      <c r="E93" s="671" t="s">
        <v>1842</v>
      </c>
      <c r="F93" s="238"/>
      <c r="G93" s="238"/>
      <c r="H93" s="682">
        <v>0</v>
      </c>
      <c r="I93" s="238">
        <v>1</v>
      </c>
      <c r="J93" s="238">
        <v>201.88</v>
      </c>
      <c r="K93" s="682">
        <v>1</v>
      </c>
      <c r="L93" s="238">
        <v>1</v>
      </c>
      <c r="M93" s="713">
        <v>201.88</v>
      </c>
    </row>
    <row r="94" spans="1:13" ht="14.4" customHeight="1" x14ac:dyDescent="0.3">
      <c r="A94" s="680" t="s">
        <v>1922</v>
      </c>
      <c r="B94" s="671" t="s">
        <v>1847</v>
      </c>
      <c r="C94" s="671" t="s">
        <v>1171</v>
      </c>
      <c r="D94" s="671" t="s">
        <v>1172</v>
      </c>
      <c r="E94" s="671" t="s">
        <v>1173</v>
      </c>
      <c r="F94" s="238"/>
      <c r="G94" s="238"/>
      <c r="H94" s="682">
        <v>0</v>
      </c>
      <c r="I94" s="238">
        <v>1</v>
      </c>
      <c r="J94" s="238">
        <v>492.45</v>
      </c>
      <c r="K94" s="682">
        <v>1</v>
      </c>
      <c r="L94" s="238">
        <v>1</v>
      </c>
      <c r="M94" s="713">
        <v>492.45</v>
      </c>
    </row>
    <row r="95" spans="1:13" ht="14.4" customHeight="1" x14ac:dyDescent="0.3">
      <c r="A95" s="680" t="s">
        <v>1922</v>
      </c>
      <c r="B95" s="671" t="s">
        <v>1847</v>
      </c>
      <c r="C95" s="671" t="s">
        <v>2082</v>
      </c>
      <c r="D95" s="671" t="s">
        <v>2083</v>
      </c>
      <c r="E95" s="671" t="s">
        <v>2084</v>
      </c>
      <c r="F95" s="238">
        <v>1</v>
      </c>
      <c r="G95" s="238">
        <v>0</v>
      </c>
      <c r="H95" s="682"/>
      <c r="I95" s="238"/>
      <c r="J95" s="238"/>
      <c r="K95" s="682"/>
      <c r="L95" s="238">
        <v>1</v>
      </c>
      <c r="M95" s="713">
        <v>0</v>
      </c>
    </row>
    <row r="96" spans="1:13" ht="14.4" customHeight="1" x14ac:dyDescent="0.3">
      <c r="A96" s="680" t="s">
        <v>1922</v>
      </c>
      <c r="B96" s="671" t="s">
        <v>2515</v>
      </c>
      <c r="C96" s="671" t="s">
        <v>2056</v>
      </c>
      <c r="D96" s="671" t="s">
        <v>2057</v>
      </c>
      <c r="E96" s="671" t="s">
        <v>1090</v>
      </c>
      <c r="F96" s="238">
        <v>1</v>
      </c>
      <c r="G96" s="238">
        <v>273.48</v>
      </c>
      <c r="H96" s="682">
        <v>1</v>
      </c>
      <c r="I96" s="238"/>
      <c r="J96" s="238"/>
      <c r="K96" s="682">
        <v>0</v>
      </c>
      <c r="L96" s="238">
        <v>1</v>
      </c>
      <c r="M96" s="713">
        <v>273.48</v>
      </c>
    </row>
    <row r="97" spans="1:13" ht="14.4" customHeight="1" x14ac:dyDescent="0.3">
      <c r="A97" s="680" t="s">
        <v>1922</v>
      </c>
      <c r="B97" s="671" t="s">
        <v>1896</v>
      </c>
      <c r="C97" s="671" t="s">
        <v>1991</v>
      </c>
      <c r="D97" s="671" t="s">
        <v>1992</v>
      </c>
      <c r="E97" s="671" t="s">
        <v>1993</v>
      </c>
      <c r="F97" s="238"/>
      <c r="G97" s="238"/>
      <c r="H97" s="682">
        <v>0</v>
      </c>
      <c r="I97" s="238">
        <v>1</v>
      </c>
      <c r="J97" s="238">
        <v>50.57</v>
      </c>
      <c r="K97" s="682">
        <v>1</v>
      </c>
      <c r="L97" s="238">
        <v>1</v>
      </c>
      <c r="M97" s="713">
        <v>50.57</v>
      </c>
    </row>
    <row r="98" spans="1:13" ht="14.4" customHeight="1" x14ac:dyDescent="0.3">
      <c r="A98" s="680" t="s">
        <v>1922</v>
      </c>
      <c r="B98" s="671" t="s">
        <v>1865</v>
      </c>
      <c r="C98" s="671" t="s">
        <v>2252</v>
      </c>
      <c r="D98" s="671" t="s">
        <v>2253</v>
      </c>
      <c r="E98" s="671" t="s">
        <v>1860</v>
      </c>
      <c r="F98" s="238">
        <v>1</v>
      </c>
      <c r="G98" s="238">
        <v>69.86</v>
      </c>
      <c r="H98" s="682">
        <v>1</v>
      </c>
      <c r="I98" s="238"/>
      <c r="J98" s="238"/>
      <c r="K98" s="682">
        <v>0</v>
      </c>
      <c r="L98" s="238">
        <v>1</v>
      </c>
      <c r="M98" s="713">
        <v>69.86</v>
      </c>
    </row>
    <row r="99" spans="1:13" ht="14.4" customHeight="1" x14ac:dyDescent="0.3">
      <c r="A99" s="680" t="s">
        <v>1922</v>
      </c>
      <c r="B99" s="671" t="s">
        <v>2514</v>
      </c>
      <c r="C99" s="671" t="s">
        <v>2074</v>
      </c>
      <c r="D99" s="671" t="s">
        <v>2075</v>
      </c>
      <c r="E99" s="671" t="s">
        <v>2076</v>
      </c>
      <c r="F99" s="238"/>
      <c r="G99" s="238"/>
      <c r="H99" s="682">
        <v>0</v>
      </c>
      <c r="I99" s="238">
        <v>1</v>
      </c>
      <c r="J99" s="238">
        <v>1344.66</v>
      </c>
      <c r="K99" s="682">
        <v>1</v>
      </c>
      <c r="L99" s="238">
        <v>1</v>
      </c>
      <c r="M99" s="713">
        <v>1344.66</v>
      </c>
    </row>
    <row r="100" spans="1:13" ht="14.4" customHeight="1" x14ac:dyDescent="0.3">
      <c r="A100" s="680" t="s">
        <v>1923</v>
      </c>
      <c r="B100" s="671" t="s">
        <v>1859</v>
      </c>
      <c r="C100" s="671" t="s">
        <v>1267</v>
      </c>
      <c r="D100" s="671" t="s">
        <v>1268</v>
      </c>
      <c r="E100" s="671" t="s">
        <v>1860</v>
      </c>
      <c r="F100" s="238"/>
      <c r="G100" s="238"/>
      <c r="H100" s="682">
        <v>0</v>
      </c>
      <c r="I100" s="238">
        <v>1</v>
      </c>
      <c r="J100" s="238">
        <v>184.22</v>
      </c>
      <c r="K100" s="682">
        <v>1</v>
      </c>
      <c r="L100" s="238">
        <v>1</v>
      </c>
      <c r="M100" s="713">
        <v>184.22</v>
      </c>
    </row>
    <row r="101" spans="1:13" ht="14.4" customHeight="1" x14ac:dyDescent="0.3">
      <c r="A101" s="680" t="s">
        <v>1923</v>
      </c>
      <c r="B101" s="671" t="s">
        <v>1899</v>
      </c>
      <c r="C101" s="671" t="s">
        <v>2257</v>
      </c>
      <c r="D101" s="671" t="s">
        <v>2258</v>
      </c>
      <c r="E101" s="671" t="s">
        <v>2259</v>
      </c>
      <c r="F101" s="238"/>
      <c r="G101" s="238"/>
      <c r="H101" s="682">
        <v>0</v>
      </c>
      <c r="I101" s="238">
        <v>2</v>
      </c>
      <c r="J101" s="238">
        <v>175.2</v>
      </c>
      <c r="K101" s="682">
        <v>1</v>
      </c>
      <c r="L101" s="238">
        <v>2</v>
      </c>
      <c r="M101" s="713">
        <v>175.2</v>
      </c>
    </row>
    <row r="102" spans="1:13" ht="14.4" customHeight="1" x14ac:dyDescent="0.3">
      <c r="A102" s="680" t="s">
        <v>1923</v>
      </c>
      <c r="B102" s="671" t="s">
        <v>1875</v>
      </c>
      <c r="C102" s="671" t="s">
        <v>2261</v>
      </c>
      <c r="D102" s="671" t="s">
        <v>2262</v>
      </c>
      <c r="E102" s="671" t="s">
        <v>2263</v>
      </c>
      <c r="F102" s="238"/>
      <c r="G102" s="238"/>
      <c r="H102" s="682"/>
      <c r="I102" s="238">
        <v>5</v>
      </c>
      <c r="J102" s="238">
        <v>0</v>
      </c>
      <c r="K102" s="682"/>
      <c r="L102" s="238">
        <v>5</v>
      </c>
      <c r="M102" s="713">
        <v>0</v>
      </c>
    </row>
    <row r="103" spans="1:13" ht="14.4" customHeight="1" x14ac:dyDescent="0.3">
      <c r="A103" s="680" t="s">
        <v>1924</v>
      </c>
      <c r="B103" s="671" t="s">
        <v>1806</v>
      </c>
      <c r="C103" s="671" t="s">
        <v>1205</v>
      </c>
      <c r="D103" s="671" t="s">
        <v>1096</v>
      </c>
      <c r="E103" s="671" t="s">
        <v>1807</v>
      </c>
      <c r="F103" s="238"/>
      <c r="G103" s="238"/>
      <c r="H103" s="682">
        <v>0</v>
      </c>
      <c r="I103" s="238">
        <v>1</v>
      </c>
      <c r="J103" s="238">
        <v>349.88</v>
      </c>
      <c r="K103" s="682">
        <v>1</v>
      </c>
      <c r="L103" s="238">
        <v>1</v>
      </c>
      <c r="M103" s="713">
        <v>349.88</v>
      </c>
    </row>
    <row r="104" spans="1:13" ht="14.4" customHeight="1" x14ac:dyDescent="0.3">
      <c r="A104" s="680" t="s">
        <v>1924</v>
      </c>
      <c r="B104" s="671" t="s">
        <v>1806</v>
      </c>
      <c r="C104" s="671" t="s">
        <v>1095</v>
      </c>
      <c r="D104" s="671" t="s">
        <v>1096</v>
      </c>
      <c r="E104" s="671" t="s">
        <v>1809</v>
      </c>
      <c r="F104" s="238"/>
      <c r="G104" s="238"/>
      <c r="H104" s="682">
        <v>0</v>
      </c>
      <c r="I104" s="238">
        <v>1</v>
      </c>
      <c r="J104" s="238">
        <v>97.97</v>
      </c>
      <c r="K104" s="682">
        <v>1</v>
      </c>
      <c r="L104" s="238">
        <v>1</v>
      </c>
      <c r="M104" s="713">
        <v>97.97</v>
      </c>
    </row>
    <row r="105" spans="1:13" ht="14.4" customHeight="1" x14ac:dyDescent="0.3">
      <c r="A105" s="680" t="s">
        <v>1924</v>
      </c>
      <c r="B105" s="671" t="s">
        <v>1806</v>
      </c>
      <c r="C105" s="671" t="s">
        <v>2094</v>
      </c>
      <c r="D105" s="671" t="s">
        <v>1096</v>
      </c>
      <c r="E105" s="671" t="s">
        <v>1097</v>
      </c>
      <c r="F105" s="238"/>
      <c r="G105" s="238"/>
      <c r="H105" s="682"/>
      <c r="I105" s="238">
        <v>1</v>
      </c>
      <c r="J105" s="238">
        <v>0</v>
      </c>
      <c r="K105" s="682"/>
      <c r="L105" s="238">
        <v>1</v>
      </c>
      <c r="M105" s="713">
        <v>0</v>
      </c>
    </row>
    <row r="106" spans="1:13" ht="14.4" customHeight="1" x14ac:dyDescent="0.3">
      <c r="A106" s="680" t="s">
        <v>1924</v>
      </c>
      <c r="B106" s="671" t="s">
        <v>1806</v>
      </c>
      <c r="C106" s="671" t="s">
        <v>2347</v>
      </c>
      <c r="D106" s="671" t="s">
        <v>1096</v>
      </c>
      <c r="E106" s="671" t="s">
        <v>2348</v>
      </c>
      <c r="F106" s="238"/>
      <c r="G106" s="238"/>
      <c r="H106" s="682"/>
      <c r="I106" s="238">
        <v>2</v>
      </c>
      <c r="J106" s="238">
        <v>0</v>
      </c>
      <c r="K106" s="682"/>
      <c r="L106" s="238">
        <v>2</v>
      </c>
      <c r="M106" s="713">
        <v>0</v>
      </c>
    </row>
    <row r="107" spans="1:13" ht="14.4" customHeight="1" x14ac:dyDescent="0.3">
      <c r="A107" s="680" t="s">
        <v>1924</v>
      </c>
      <c r="B107" s="671" t="s">
        <v>1806</v>
      </c>
      <c r="C107" s="671" t="s">
        <v>2349</v>
      </c>
      <c r="D107" s="671" t="s">
        <v>1096</v>
      </c>
      <c r="E107" s="671" t="s">
        <v>2350</v>
      </c>
      <c r="F107" s="238"/>
      <c r="G107" s="238"/>
      <c r="H107" s="682"/>
      <c r="I107" s="238">
        <v>5</v>
      </c>
      <c r="J107" s="238">
        <v>0</v>
      </c>
      <c r="K107" s="682"/>
      <c r="L107" s="238">
        <v>5</v>
      </c>
      <c r="M107" s="713">
        <v>0</v>
      </c>
    </row>
    <row r="108" spans="1:13" ht="14.4" customHeight="1" x14ac:dyDescent="0.3">
      <c r="A108" s="680" t="s">
        <v>1924</v>
      </c>
      <c r="B108" s="671" t="s">
        <v>2516</v>
      </c>
      <c r="C108" s="671" t="s">
        <v>2097</v>
      </c>
      <c r="D108" s="671" t="s">
        <v>2098</v>
      </c>
      <c r="E108" s="671" t="s">
        <v>2099</v>
      </c>
      <c r="F108" s="238"/>
      <c r="G108" s="238"/>
      <c r="H108" s="682">
        <v>0</v>
      </c>
      <c r="I108" s="238">
        <v>1</v>
      </c>
      <c r="J108" s="238">
        <v>56.01</v>
      </c>
      <c r="K108" s="682">
        <v>1</v>
      </c>
      <c r="L108" s="238">
        <v>1</v>
      </c>
      <c r="M108" s="713">
        <v>56.01</v>
      </c>
    </row>
    <row r="109" spans="1:13" ht="14.4" customHeight="1" x14ac:dyDescent="0.3">
      <c r="A109" s="680" t="s">
        <v>1924</v>
      </c>
      <c r="B109" s="671" t="s">
        <v>2516</v>
      </c>
      <c r="C109" s="671" t="s">
        <v>2359</v>
      </c>
      <c r="D109" s="671" t="s">
        <v>2098</v>
      </c>
      <c r="E109" s="671" t="s">
        <v>2360</v>
      </c>
      <c r="F109" s="238"/>
      <c r="G109" s="238"/>
      <c r="H109" s="682">
        <v>0</v>
      </c>
      <c r="I109" s="238">
        <v>12</v>
      </c>
      <c r="J109" s="238">
        <v>1680.3600000000001</v>
      </c>
      <c r="K109" s="682">
        <v>1</v>
      </c>
      <c r="L109" s="238">
        <v>12</v>
      </c>
      <c r="M109" s="713">
        <v>1680.3600000000001</v>
      </c>
    </row>
    <row r="110" spans="1:13" ht="14.4" customHeight="1" x14ac:dyDescent="0.3">
      <c r="A110" s="680" t="s">
        <v>1924</v>
      </c>
      <c r="B110" s="671" t="s">
        <v>1815</v>
      </c>
      <c r="C110" s="671" t="s">
        <v>2315</v>
      </c>
      <c r="D110" s="671" t="s">
        <v>2316</v>
      </c>
      <c r="E110" s="671" t="s">
        <v>2317</v>
      </c>
      <c r="F110" s="238"/>
      <c r="G110" s="238"/>
      <c r="H110" s="682">
        <v>0</v>
      </c>
      <c r="I110" s="238">
        <v>1</v>
      </c>
      <c r="J110" s="238">
        <v>886.91</v>
      </c>
      <c r="K110" s="682">
        <v>1</v>
      </c>
      <c r="L110" s="238">
        <v>1</v>
      </c>
      <c r="M110" s="713">
        <v>886.91</v>
      </c>
    </row>
    <row r="111" spans="1:13" ht="14.4" customHeight="1" x14ac:dyDescent="0.3">
      <c r="A111" s="680" t="s">
        <v>1924</v>
      </c>
      <c r="B111" s="671" t="s">
        <v>1820</v>
      </c>
      <c r="C111" s="671" t="s">
        <v>2045</v>
      </c>
      <c r="D111" s="671" t="s">
        <v>2046</v>
      </c>
      <c r="E111" s="671" t="s">
        <v>2047</v>
      </c>
      <c r="F111" s="238"/>
      <c r="G111" s="238"/>
      <c r="H111" s="682">
        <v>0</v>
      </c>
      <c r="I111" s="238">
        <v>2</v>
      </c>
      <c r="J111" s="238">
        <v>312.5</v>
      </c>
      <c r="K111" s="682">
        <v>1</v>
      </c>
      <c r="L111" s="238">
        <v>2</v>
      </c>
      <c r="M111" s="713">
        <v>312.5</v>
      </c>
    </row>
    <row r="112" spans="1:13" ht="14.4" customHeight="1" x14ac:dyDescent="0.3">
      <c r="A112" s="680" t="s">
        <v>1924</v>
      </c>
      <c r="B112" s="671" t="s">
        <v>1820</v>
      </c>
      <c r="C112" s="671" t="s">
        <v>1140</v>
      </c>
      <c r="D112" s="671" t="s">
        <v>1821</v>
      </c>
      <c r="E112" s="671" t="s">
        <v>1539</v>
      </c>
      <c r="F112" s="238"/>
      <c r="G112" s="238"/>
      <c r="H112" s="682">
        <v>0</v>
      </c>
      <c r="I112" s="238">
        <v>1</v>
      </c>
      <c r="J112" s="238">
        <v>193.14</v>
      </c>
      <c r="K112" s="682">
        <v>1</v>
      </c>
      <c r="L112" s="238">
        <v>1</v>
      </c>
      <c r="M112" s="713">
        <v>193.14</v>
      </c>
    </row>
    <row r="113" spans="1:13" ht="14.4" customHeight="1" x14ac:dyDescent="0.3">
      <c r="A113" s="680" t="s">
        <v>1924</v>
      </c>
      <c r="B113" s="671" t="s">
        <v>1822</v>
      </c>
      <c r="C113" s="671" t="s">
        <v>1118</v>
      </c>
      <c r="D113" s="671" t="s">
        <v>1119</v>
      </c>
      <c r="E113" s="671" t="s">
        <v>1083</v>
      </c>
      <c r="F113" s="238"/>
      <c r="G113" s="238"/>
      <c r="H113" s="682">
        <v>0</v>
      </c>
      <c r="I113" s="238">
        <v>1</v>
      </c>
      <c r="J113" s="238">
        <v>1749.69</v>
      </c>
      <c r="K113" s="682">
        <v>1</v>
      </c>
      <c r="L113" s="238">
        <v>1</v>
      </c>
      <c r="M113" s="713">
        <v>1749.69</v>
      </c>
    </row>
    <row r="114" spans="1:13" ht="14.4" customHeight="1" x14ac:dyDescent="0.3">
      <c r="A114" s="680" t="s">
        <v>1924</v>
      </c>
      <c r="B114" s="671" t="s">
        <v>1822</v>
      </c>
      <c r="C114" s="671" t="s">
        <v>1122</v>
      </c>
      <c r="D114" s="671" t="s">
        <v>1119</v>
      </c>
      <c r="E114" s="671" t="s">
        <v>1086</v>
      </c>
      <c r="F114" s="238"/>
      <c r="G114" s="238"/>
      <c r="H114" s="682">
        <v>0</v>
      </c>
      <c r="I114" s="238">
        <v>1</v>
      </c>
      <c r="J114" s="238">
        <v>2332.92</v>
      </c>
      <c r="K114" s="682">
        <v>1</v>
      </c>
      <c r="L114" s="238">
        <v>1</v>
      </c>
      <c r="M114" s="713">
        <v>2332.92</v>
      </c>
    </row>
    <row r="115" spans="1:13" ht="14.4" customHeight="1" x14ac:dyDescent="0.3">
      <c r="A115" s="680" t="s">
        <v>1924</v>
      </c>
      <c r="B115" s="671" t="s">
        <v>1822</v>
      </c>
      <c r="C115" s="671" t="s">
        <v>1125</v>
      </c>
      <c r="D115" s="671" t="s">
        <v>1119</v>
      </c>
      <c r="E115" s="671" t="s">
        <v>1823</v>
      </c>
      <c r="F115" s="238"/>
      <c r="G115" s="238"/>
      <c r="H115" s="682">
        <v>0</v>
      </c>
      <c r="I115" s="238">
        <v>3</v>
      </c>
      <c r="J115" s="238">
        <v>8748.48</v>
      </c>
      <c r="K115" s="682">
        <v>1</v>
      </c>
      <c r="L115" s="238">
        <v>3</v>
      </c>
      <c r="M115" s="713">
        <v>8748.48</v>
      </c>
    </row>
    <row r="116" spans="1:13" ht="14.4" customHeight="1" x14ac:dyDescent="0.3">
      <c r="A116" s="680" t="s">
        <v>1924</v>
      </c>
      <c r="B116" s="671" t="s">
        <v>1824</v>
      </c>
      <c r="C116" s="671" t="s">
        <v>878</v>
      </c>
      <c r="D116" s="671" t="s">
        <v>879</v>
      </c>
      <c r="E116" s="671" t="s">
        <v>880</v>
      </c>
      <c r="F116" s="238"/>
      <c r="G116" s="238"/>
      <c r="H116" s="682">
        <v>0</v>
      </c>
      <c r="I116" s="238">
        <v>4</v>
      </c>
      <c r="J116" s="238">
        <v>418.64</v>
      </c>
      <c r="K116" s="682">
        <v>1</v>
      </c>
      <c r="L116" s="238">
        <v>4</v>
      </c>
      <c r="M116" s="713">
        <v>418.64</v>
      </c>
    </row>
    <row r="117" spans="1:13" ht="14.4" customHeight="1" x14ac:dyDescent="0.3">
      <c r="A117" s="680" t="s">
        <v>1924</v>
      </c>
      <c r="B117" s="671" t="s">
        <v>2509</v>
      </c>
      <c r="C117" s="671" t="s">
        <v>2166</v>
      </c>
      <c r="D117" s="671" t="s">
        <v>2167</v>
      </c>
      <c r="E117" s="671" t="s">
        <v>2168</v>
      </c>
      <c r="F117" s="238"/>
      <c r="G117" s="238"/>
      <c r="H117" s="682">
        <v>0</v>
      </c>
      <c r="I117" s="238">
        <v>5</v>
      </c>
      <c r="J117" s="238">
        <v>10592.1</v>
      </c>
      <c r="K117" s="682">
        <v>1</v>
      </c>
      <c r="L117" s="238">
        <v>5</v>
      </c>
      <c r="M117" s="713">
        <v>10592.1</v>
      </c>
    </row>
    <row r="118" spans="1:13" ht="14.4" customHeight="1" x14ac:dyDescent="0.3">
      <c r="A118" s="680" t="s">
        <v>1924</v>
      </c>
      <c r="B118" s="671" t="s">
        <v>1827</v>
      </c>
      <c r="C118" s="671" t="s">
        <v>1051</v>
      </c>
      <c r="D118" s="671" t="s">
        <v>1052</v>
      </c>
      <c r="E118" s="671" t="s">
        <v>1828</v>
      </c>
      <c r="F118" s="238"/>
      <c r="G118" s="238"/>
      <c r="H118" s="682">
        <v>0</v>
      </c>
      <c r="I118" s="238">
        <v>1</v>
      </c>
      <c r="J118" s="238">
        <v>75.28</v>
      </c>
      <c r="K118" s="682">
        <v>1</v>
      </c>
      <c r="L118" s="238">
        <v>1</v>
      </c>
      <c r="M118" s="713">
        <v>75.28</v>
      </c>
    </row>
    <row r="119" spans="1:13" ht="14.4" customHeight="1" x14ac:dyDescent="0.3">
      <c r="A119" s="680" t="s">
        <v>1924</v>
      </c>
      <c r="B119" s="671" t="s">
        <v>1827</v>
      </c>
      <c r="C119" s="671" t="s">
        <v>1055</v>
      </c>
      <c r="D119" s="671" t="s">
        <v>1052</v>
      </c>
      <c r="E119" s="671" t="s">
        <v>1829</v>
      </c>
      <c r="F119" s="238"/>
      <c r="G119" s="238"/>
      <c r="H119" s="682">
        <v>0</v>
      </c>
      <c r="I119" s="238">
        <v>6</v>
      </c>
      <c r="J119" s="238">
        <v>903.30000000000007</v>
      </c>
      <c r="K119" s="682">
        <v>1</v>
      </c>
      <c r="L119" s="238">
        <v>6</v>
      </c>
      <c r="M119" s="713">
        <v>903.30000000000007</v>
      </c>
    </row>
    <row r="120" spans="1:13" ht="14.4" customHeight="1" x14ac:dyDescent="0.3">
      <c r="A120" s="680" t="s">
        <v>1924</v>
      </c>
      <c r="B120" s="671" t="s">
        <v>2517</v>
      </c>
      <c r="C120" s="671" t="s">
        <v>2336</v>
      </c>
      <c r="D120" s="671" t="s">
        <v>2337</v>
      </c>
      <c r="E120" s="671" t="s">
        <v>2338</v>
      </c>
      <c r="F120" s="238">
        <v>1</v>
      </c>
      <c r="G120" s="238">
        <v>480.18</v>
      </c>
      <c r="H120" s="682">
        <v>1</v>
      </c>
      <c r="I120" s="238"/>
      <c r="J120" s="238"/>
      <c r="K120" s="682">
        <v>0</v>
      </c>
      <c r="L120" s="238">
        <v>1</v>
      </c>
      <c r="M120" s="713">
        <v>480.18</v>
      </c>
    </row>
    <row r="121" spans="1:13" ht="14.4" customHeight="1" x14ac:dyDescent="0.3">
      <c r="A121" s="680" t="s">
        <v>1924</v>
      </c>
      <c r="B121" s="671" t="s">
        <v>1830</v>
      </c>
      <c r="C121" s="671" t="s">
        <v>1985</v>
      </c>
      <c r="D121" s="671" t="s">
        <v>1986</v>
      </c>
      <c r="E121" s="671" t="s">
        <v>868</v>
      </c>
      <c r="F121" s="238">
        <v>1</v>
      </c>
      <c r="G121" s="238">
        <v>0</v>
      </c>
      <c r="H121" s="682"/>
      <c r="I121" s="238"/>
      <c r="J121" s="238"/>
      <c r="K121" s="682"/>
      <c r="L121" s="238">
        <v>1</v>
      </c>
      <c r="M121" s="713">
        <v>0</v>
      </c>
    </row>
    <row r="122" spans="1:13" ht="14.4" customHeight="1" x14ac:dyDescent="0.3">
      <c r="A122" s="680" t="s">
        <v>1924</v>
      </c>
      <c r="B122" s="671" t="s">
        <v>2518</v>
      </c>
      <c r="C122" s="671" t="s">
        <v>2333</v>
      </c>
      <c r="D122" s="671" t="s">
        <v>2093</v>
      </c>
      <c r="E122" s="671" t="s">
        <v>2334</v>
      </c>
      <c r="F122" s="238">
        <v>4</v>
      </c>
      <c r="G122" s="238">
        <v>800.28</v>
      </c>
      <c r="H122" s="682">
        <v>1</v>
      </c>
      <c r="I122" s="238"/>
      <c r="J122" s="238"/>
      <c r="K122" s="682">
        <v>0</v>
      </c>
      <c r="L122" s="238">
        <v>4</v>
      </c>
      <c r="M122" s="713">
        <v>800.28</v>
      </c>
    </row>
    <row r="123" spans="1:13" ht="14.4" customHeight="1" x14ac:dyDescent="0.3">
      <c r="A123" s="680" t="s">
        <v>1924</v>
      </c>
      <c r="B123" s="671" t="s">
        <v>2518</v>
      </c>
      <c r="C123" s="671" t="s">
        <v>2092</v>
      </c>
      <c r="D123" s="671" t="s">
        <v>2093</v>
      </c>
      <c r="E123" s="671" t="s">
        <v>723</v>
      </c>
      <c r="F123" s="238">
        <v>3</v>
      </c>
      <c r="G123" s="238">
        <v>180.06</v>
      </c>
      <c r="H123" s="682">
        <v>1</v>
      </c>
      <c r="I123" s="238"/>
      <c r="J123" s="238"/>
      <c r="K123" s="682">
        <v>0</v>
      </c>
      <c r="L123" s="238">
        <v>3</v>
      </c>
      <c r="M123" s="713">
        <v>180.06</v>
      </c>
    </row>
    <row r="124" spans="1:13" ht="14.4" customHeight="1" x14ac:dyDescent="0.3">
      <c r="A124" s="680" t="s">
        <v>1924</v>
      </c>
      <c r="B124" s="671" t="s">
        <v>1831</v>
      </c>
      <c r="C124" s="671" t="s">
        <v>1099</v>
      </c>
      <c r="D124" s="671" t="s">
        <v>1100</v>
      </c>
      <c r="E124" s="671" t="s">
        <v>1101</v>
      </c>
      <c r="F124" s="238"/>
      <c r="G124" s="238"/>
      <c r="H124" s="682">
        <v>0</v>
      </c>
      <c r="I124" s="238">
        <v>2</v>
      </c>
      <c r="J124" s="238">
        <v>83.78</v>
      </c>
      <c r="K124" s="682">
        <v>1</v>
      </c>
      <c r="L124" s="238">
        <v>2</v>
      </c>
      <c r="M124" s="713">
        <v>83.78</v>
      </c>
    </row>
    <row r="125" spans="1:13" ht="14.4" customHeight="1" x14ac:dyDescent="0.3">
      <c r="A125" s="680" t="s">
        <v>1924</v>
      </c>
      <c r="B125" s="671" t="s">
        <v>1831</v>
      </c>
      <c r="C125" s="671" t="s">
        <v>1103</v>
      </c>
      <c r="D125" s="671" t="s">
        <v>1100</v>
      </c>
      <c r="E125" s="671" t="s">
        <v>1104</v>
      </c>
      <c r="F125" s="238"/>
      <c r="G125" s="238"/>
      <c r="H125" s="682">
        <v>0</v>
      </c>
      <c r="I125" s="238">
        <v>1</v>
      </c>
      <c r="J125" s="238">
        <v>146.63</v>
      </c>
      <c r="K125" s="682">
        <v>1</v>
      </c>
      <c r="L125" s="238">
        <v>1</v>
      </c>
      <c r="M125" s="713">
        <v>146.63</v>
      </c>
    </row>
    <row r="126" spans="1:13" ht="14.4" customHeight="1" x14ac:dyDescent="0.3">
      <c r="A126" s="680" t="s">
        <v>1924</v>
      </c>
      <c r="B126" s="671" t="s">
        <v>1832</v>
      </c>
      <c r="C126" s="671" t="s">
        <v>2285</v>
      </c>
      <c r="D126" s="671" t="s">
        <v>1089</v>
      </c>
      <c r="E126" s="671" t="s">
        <v>819</v>
      </c>
      <c r="F126" s="238">
        <v>1</v>
      </c>
      <c r="G126" s="238">
        <v>134.66</v>
      </c>
      <c r="H126" s="682">
        <v>1</v>
      </c>
      <c r="I126" s="238"/>
      <c r="J126" s="238"/>
      <c r="K126" s="682">
        <v>0</v>
      </c>
      <c r="L126" s="238">
        <v>1</v>
      </c>
      <c r="M126" s="713">
        <v>134.66</v>
      </c>
    </row>
    <row r="127" spans="1:13" ht="14.4" customHeight="1" x14ac:dyDescent="0.3">
      <c r="A127" s="680" t="s">
        <v>1924</v>
      </c>
      <c r="B127" s="671" t="s">
        <v>1832</v>
      </c>
      <c r="C127" s="671" t="s">
        <v>1088</v>
      </c>
      <c r="D127" s="671" t="s">
        <v>1089</v>
      </c>
      <c r="E127" s="671" t="s">
        <v>1090</v>
      </c>
      <c r="F127" s="238"/>
      <c r="G127" s="238"/>
      <c r="H127" s="682">
        <v>0</v>
      </c>
      <c r="I127" s="238">
        <v>15</v>
      </c>
      <c r="J127" s="238">
        <v>673.35000000000014</v>
      </c>
      <c r="K127" s="682">
        <v>1</v>
      </c>
      <c r="L127" s="238">
        <v>15</v>
      </c>
      <c r="M127" s="713">
        <v>673.35000000000014</v>
      </c>
    </row>
    <row r="128" spans="1:13" ht="14.4" customHeight="1" x14ac:dyDescent="0.3">
      <c r="A128" s="680" t="s">
        <v>1924</v>
      </c>
      <c r="B128" s="671" t="s">
        <v>1832</v>
      </c>
      <c r="C128" s="671" t="s">
        <v>2052</v>
      </c>
      <c r="D128" s="671" t="s">
        <v>2053</v>
      </c>
      <c r="E128" s="671" t="s">
        <v>1090</v>
      </c>
      <c r="F128" s="238">
        <v>2</v>
      </c>
      <c r="G128" s="238">
        <v>89.78</v>
      </c>
      <c r="H128" s="682">
        <v>1</v>
      </c>
      <c r="I128" s="238"/>
      <c r="J128" s="238"/>
      <c r="K128" s="682">
        <v>0</v>
      </c>
      <c r="L128" s="238">
        <v>2</v>
      </c>
      <c r="M128" s="713">
        <v>89.78</v>
      </c>
    </row>
    <row r="129" spans="1:13" ht="14.4" customHeight="1" x14ac:dyDescent="0.3">
      <c r="A129" s="680" t="s">
        <v>1924</v>
      </c>
      <c r="B129" s="671" t="s">
        <v>1833</v>
      </c>
      <c r="C129" s="671" t="s">
        <v>2160</v>
      </c>
      <c r="D129" s="671" t="s">
        <v>1542</v>
      </c>
      <c r="E129" s="671" t="s">
        <v>1543</v>
      </c>
      <c r="F129" s="238"/>
      <c r="G129" s="238"/>
      <c r="H129" s="682">
        <v>0</v>
      </c>
      <c r="I129" s="238">
        <v>1</v>
      </c>
      <c r="J129" s="238">
        <v>270.69</v>
      </c>
      <c r="K129" s="682">
        <v>1</v>
      </c>
      <c r="L129" s="238">
        <v>1</v>
      </c>
      <c r="M129" s="713">
        <v>270.69</v>
      </c>
    </row>
    <row r="130" spans="1:13" ht="14.4" customHeight="1" x14ac:dyDescent="0.3">
      <c r="A130" s="680" t="s">
        <v>1924</v>
      </c>
      <c r="B130" s="671" t="s">
        <v>1833</v>
      </c>
      <c r="C130" s="671" t="s">
        <v>2277</v>
      </c>
      <c r="D130" s="671" t="s">
        <v>2278</v>
      </c>
      <c r="E130" s="671" t="s">
        <v>1543</v>
      </c>
      <c r="F130" s="238">
        <v>1</v>
      </c>
      <c r="G130" s="238">
        <v>270.69</v>
      </c>
      <c r="H130" s="682">
        <v>1</v>
      </c>
      <c r="I130" s="238"/>
      <c r="J130" s="238"/>
      <c r="K130" s="682">
        <v>0</v>
      </c>
      <c r="L130" s="238">
        <v>1</v>
      </c>
      <c r="M130" s="713">
        <v>270.69</v>
      </c>
    </row>
    <row r="131" spans="1:13" ht="14.4" customHeight="1" x14ac:dyDescent="0.3">
      <c r="A131" s="680" t="s">
        <v>1924</v>
      </c>
      <c r="B131" s="671" t="s">
        <v>1834</v>
      </c>
      <c r="C131" s="671" t="s">
        <v>1191</v>
      </c>
      <c r="D131" s="671" t="s">
        <v>1192</v>
      </c>
      <c r="E131" s="671" t="s">
        <v>1193</v>
      </c>
      <c r="F131" s="238"/>
      <c r="G131" s="238"/>
      <c r="H131" s="682">
        <v>0</v>
      </c>
      <c r="I131" s="238">
        <v>1</v>
      </c>
      <c r="J131" s="238">
        <v>55.38</v>
      </c>
      <c r="K131" s="682">
        <v>1</v>
      </c>
      <c r="L131" s="238">
        <v>1</v>
      </c>
      <c r="M131" s="713">
        <v>55.38</v>
      </c>
    </row>
    <row r="132" spans="1:13" ht="14.4" customHeight="1" x14ac:dyDescent="0.3">
      <c r="A132" s="680" t="s">
        <v>1924</v>
      </c>
      <c r="B132" s="671" t="s">
        <v>2519</v>
      </c>
      <c r="C132" s="671" t="s">
        <v>2394</v>
      </c>
      <c r="D132" s="671" t="s">
        <v>2141</v>
      </c>
      <c r="E132" s="671" t="s">
        <v>2395</v>
      </c>
      <c r="F132" s="238">
        <v>1</v>
      </c>
      <c r="G132" s="238">
        <v>525.88</v>
      </c>
      <c r="H132" s="682">
        <v>1</v>
      </c>
      <c r="I132" s="238"/>
      <c r="J132" s="238"/>
      <c r="K132" s="682">
        <v>0</v>
      </c>
      <c r="L132" s="238">
        <v>1</v>
      </c>
      <c r="M132" s="713">
        <v>525.88</v>
      </c>
    </row>
    <row r="133" spans="1:13" ht="14.4" customHeight="1" x14ac:dyDescent="0.3">
      <c r="A133" s="680" t="s">
        <v>1924</v>
      </c>
      <c r="B133" s="671" t="s">
        <v>1837</v>
      </c>
      <c r="C133" s="671" t="s">
        <v>1058</v>
      </c>
      <c r="D133" s="671" t="s">
        <v>1838</v>
      </c>
      <c r="E133" s="671" t="s">
        <v>1060</v>
      </c>
      <c r="F133" s="238"/>
      <c r="G133" s="238"/>
      <c r="H133" s="682">
        <v>0</v>
      </c>
      <c r="I133" s="238">
        <v>4</v>
      </c>
      <c r="J133" s="238">
        <v>539.32000000000005</v>
      </c>
      <c r="K133" s="682">
        <v>1</v>
      </c>
      <c r="L133" s="238">
        <v>4</v>
      </c>
      <c r="M133" s="713">
        <v>539.32000000000005</v>
      </c>
    </row>
    <row r="134" spans="1:13" ht="14.4" customHeight="1" x14ac:dyDescent="0.3">
      <c r="A134" s="680" t="s">
        <v>1924</v>
      </c>
      <c r="B134" s="671" t="s">
        <v>1837</v>
      </c>
      <c r="C134" s="671" t="s">
        <v>2361</v>
      </c>
      <c r="D134" s="671" t="s">
        <v>2362</v>
      </c>
      <c r="E134" s="671" t="s">
        <v>1153</v>
      </c>
      <c r="F134" s="238">
        <v>3</v>
      </c>
      <c r="G134" s="238">
        <v>202.26</v>
      </c>
      <c r="H134" s="682">
        <v>1</v>
      </c>
      <c r="I134" s="238"/>
      <c r="J134" s="238"/>
      <c r="K134" s="682">
        <v>0</v>
      </c>
      <c r="L134" s="238">
        <v>3</v>
      </c>
      <c r="M134" s="713">
        <v>202.26</v>
      </c>
    </row>
    <row r="135" spans="1:13" ht="14.4" customHeight="1" x14ac:dyDescent="0.3">
      <c r="A135" s="680" t="s">
        <v>1924</v>
      </c>
      <c r="B135" s="671" t="s">
        <v>1837</v>
      </c>
      <c r="C135" s="671" t="s">
        <v>2363</v>
      </c>
      <c r="D135" s="671" t="s">
        <v>2364</v>
      </c>
      <c r="E135" s="671" t="s">
        <v>2365</v>
      </c>
      <c r="F135" s="238"/>
      <c r="G135" s="238"/>
      <c r="H135" s="682">
        <v>0</v>
      </c>
      <c r="I135" s="238">
        <v>5</v>
      </c>
      <c r="J135" s="238">
        <v>73</v>
      </c>
      <c r="K135" s="682">
        <v>1</v>
      </c>
      <c r="L135" s="238">
        <v>5</v>
      </c>
      <c r="M135" s="713">
        <v>73</v>
      </c>
    </row>
    <row r="136" spans="1:13" ht="14.4" customHeight="1" x14ac:dyDescent="0.3">
      <c r="A136" s="680" t="s">
        <v>1924</v>
      </c>
      <c r="B136" s="671" t="s">
        <v>1837</v>
      </c>
      <c r="C136" s="671" t="s">
        <v>2366</v>
      </c>
      <c r="D136" s="671" t="s">
        <v>1839</v>
      </c>
      <c r="E136" s="671" t="s">
        <v>1539</v>
      </c>
      <c r="F136" s="238">
        <v>1</v>
      </c>
      <c r="G136" s="238">
        <v>224.71</v>
      </c>
      <c r="H136" s="682">
        <v>1</v>
      </c>
      <c r="I136" s="238"/>
      <c r="J136" s="238"/>
      <c r="K136" s="682">
        <v>0</v>
      </c>
      <c r="L136" s="238">
        <v>1</v>
      </c>
      <c r="M136" s="713">
        <v>224.71</v>
      </c>
    </row>
    <row r="137" spans="1:13" ht="14.4" customHeight="1" x14ac:dyDescent="0.3">
      <c r="A137" s="680" t="s">
        <v>1924</v>
      </c>
      <c r="B137" s="671" t="s">
        <v>2520</v>
      </c>
      <c r="C137" s="671" t="s">
        <v>2309</v>
      </c>
      <c r="D137" s="671" t="s">
        <v>2310</v>
      </c>
      <c r="E137" s="671" t="s">
        <v>2311</v>
      </c>
      <c r="F137" s="238"/>
      <c r="G137" s="238"/>
      <c r="H137" s="682">
        <v>0</v>
      </c>
      <c r="I137" s="238">
        <v>1</v>
      </c>
      <c r="J137" s="238">
        <v>301.05</v>
      </c>
      <c r="K137" s="682">
        <v>1</v>
      </c>
      <c r="L137" s="238">
        <v>1</v>
      </c>
      <c r="M137" s="713">
        <v>301.05</v>
      </c>
    </row>
    <row r="138" spans="1:13" ht="14.4" customHeight="1" x14ac:dyDescent="0.3">
      <c r="A138" s="680" t="s">
        <v>1924</v>
      </c>
      <c r="B138" s="671" t="s">
        <v>2520</v>
      </c>
      <c r="C138" s="671" t="s">
        <v>2312</v>
      </c>
      <c r="D138" s="671" t="s">
        <v>2313</v>
      </c>
      <c r="E138" s="671" t="s">
        <v>2311</v>
      </c>
      <c r="F138" s="238"/>
      <c r="G138" s="238"/>
      <c r="H138" s="682">
        <v>0</v>
      </c>
      <c r="I138" s="238">
        <v>1</v>
      </c>
      <c r="J138" s="238">
        <v>249.54</v>
      </c>
      <c r="K138" s="682">
        <v>1</v>
      </c>
      <c r="L138" s="238">
        <v>1</v>
      </c>
      <c r="M138" s="713">
        <v>249.54</v>
      </c>
    </row>
    <row r="139" spans="1:13" ht="14.4" customHeight="1" x14ac:dyDescent="0.3">
      <c r="A139" s="680" t="s">
        <v>1924</v>
      </c>
      <c r="B139" s="671" t="s">
        <v>2510</v>
      </c>
      <c r="C139" s="671" t="s">
        <v>2329</v>
      </c>
      <c r="D139" s="671" t="s">
        <v>2330</v>
      </c>
      <c r="E139" s="671" t="s">
        <v>2331</v>
      </c>
      <c r="F139" s="238"/>
      <c r="G139" s="238"/>
      <c r="H139" s="682"/>
      <c r="I139" s="238">
        <v>1</v>
      </c>
      <c r="J139" s="238">
        <v>0</v>
      </c>
      <c r="K139" s="682"/>
      <c r="L139" s="238">
        <v>1</v>
      </c>
      <c r="M139" s="713">
        <v>0</v>
      </c>
    </row>
    <row r="140" spans="1:13" ht="14.4" customHeight="1" x14ac:dyDescent="0.3">
      <c r="A140" s="680" t="s">
        <v>1924</v>
      </c>
      <c r="B140" s="671" t="s">
        <v>2511</v>
      </c>
      <c r="C140" s="671" t="s">
        <v>2233</v>
      </c>
      <c r="D140" s="671" t="s">
        <v>2234</v>
      </c>
      <c r="E140" s="671" t="s">
        <v>2235</v>
      </c>
      <c r="F140" s="238"/>
      <c r="G140" s="238"/>
      <c r="H140" s="682">
        <v>0</v>
      </c>
      <c r="I140" s="238">
        <v>2</v>
      </c>
      <c r="J140" s="238">
        <v>958.08</v>
      </c>
      <c r="K140" s="682">
        <v>1</v>
      </c>
      <c r="L140" s="238">
        <v>2</v>
      </c>
      <c r="M140" s="713">
        <v>958.08</v>
      </c>
    </row>
    <row r="141" spans="1:13" ht="14.4" customHeight="1" x14ac:dyDescent="0.3">
      <c r="A141" s="680" t="s">
        <v>1924</v>
      </c>
      <c r="B141" s="671" t="s">
        <v>1841</v>
      </c>
      <c r="C141" s="671" t="s">
        <v>1976</v>
      </c>
      <c r="D141" s="671" t="s">
        <v>1977</v>
      </c>
      <c r="E141" s="671" t="s">
        <v>1978</v>
      </c>
      <c r="F141" s="238"/>
      <c r="G141" s="238"/>
      <c r="H141" s="682">
        <v>0</v>
      </c>
      <c r="I141" s="238">
        <v>3</v>
      </c>
      <c r="J141" s="238">
        <v>937.62000000000012</v>
      </c>
      <c r="K141" s="682">
        <v>1</v>
      </c>
      <c r="L141" s="238">
        <v>3</v>
      </c>
      <c r="M141" s="713">
        <v>937.62000000000012</v>
      </c>
    </row>
    <row r="142" spans="1:13" ht="14.4" customHeight="1" x14ac:dyDescent="0.3">
      <c r="A142" s="680" t="s">
        <v>1924</v>
      </c>
      <c r="B142" s="671" t="s">
        <v>1841</v>
      </c>
      <c r="C142" s="671" t="s">
        <v>1136</v>
      </c>
      <c r="D142" s="671" t="s">
        <v>1137</v>
      </c>
      <c r="E142" s="671" t="s">
        <v>1843</v>
      </c>
      <c r="F142" s="238"/>
      <c r="G142" s="238"/>
      <c r="H142" s="682">
        <v>0</v>
      </c>
      <c r="I142" s="238">
        <v>4</v>
      </c>
      <c r="J142" s="238">
        <v>1741.2</v>
      </c>
      <c r="K142" s="682">
        <v>1</v>
      </c>
      <c r="L142" s="238">
        <v>4</v>
      </c>
      <c r="M142" s="713">
        <v>1741.2</v>
      </c>
    </row>
    <row r="143" spans="1:13" ht="14.4" customHeight="1" x14ac:dyDescent="0.3">
      <c r="A143" s="680" t="s">
        <v>1924</v>
      </c>
      <c r="B143" s="671" t="s">
        <v>1841</v>
      </c>
      <c r="C143" s="671" t="s">
        <v>1179</v>
      </c>
      <c r="D143" s="671" t="s">
        <v>1184</v>
      </c>
      <c r="E143" s="671" t="s">
        <v>1844</v>
      </c>
      <c r="F143" s="238"/>
      <c r="G143" s="238"/>
      <c r="H143" s="682">
        <v>0</v>
      </c>
      <c r="I143" s="238">
        <v>1</v>
      </c>
      <c r="J143" s="238">
        <v>201.88</v>
      </c>
      <c r="K143" s="682">
        <v>1</v>
      </c>
      <c r="L143" s="238">
        <v>1</v>
      </c>
      <c r="M143" s="713">
        <v>201.88</v>
      </c>
    </row>
    <row r="144" spans="1:13" ht="14.4" customHeight="1" x14ac:dyDescent="0.3">
      <c r="A144" s="680" t="s">
        <v>1924</v>
      </c>
      <c r="B144" s="671" t="s">
        <v>1841</v>
      </c>
      <c r="C144" s="671" t="s">
        <v>1183</v>
      </c>
      <c r="D144" s="671" t="s">
        <v>1184</v>
      </c>
      <c r="E144" s="671" t="s">
        <v>1845</v>
      </c>
      <c r="F144" s="238"/>
      <c r="G144" s="238"/>
      <c r="H144" s="682">
        <v>0</v>
      </c>
      <c r="I144" s="238">
        <v>2</v>
      </c>
      <c r="J144" s="238">
        <v>1345.88</v>
      </c>
      <c r="K144" s="682">
        <v>1</v>
      </c>
      <c r="L144" s="238">
        <v>2</v>
      </c>
      <c r="M144" s="713">
        <v>1345.88</v>
      </c>
    </row>
    <row r="145" spans="1:13" ht="14.4" customHeight="1" x14ac:dyDescent="0.3">
      <c r="A145" s="680" t="s">
        <v>1924</v>
      </c>
      <c r="B145" s="671" t="s">
        <v>1846</v>
      </c>
      <c r="C145" s="671" t="s">
        <v>2367</v>
      </c>
      <c r="D145" s="671" t="s">
        <v>2368</v>
      </c>
      <c r="E145" s="671" t="s">
        <v>2369</v>
      </c>
      <c r="F145" s="238"/>
      <c r="G145" s="238"/>
      <c r="H145" s="682">
        <v>0</v>
      </c>
      <c r="I145" s="238">
        <v>1</v>
      </c>
      <c r="J145" s="238">
        <v>391.77</v>
      </c>
      <c r="K145" s="682">
        <v>1</v>
      </c>
      <c r="L145" s="238">
        <v>1</v>
      </c>
      <c r="M145" s="713">
        <v>391.77</v>
      </c>
    </row>
    <row r="146" spans="1:13" ht="14.4" customHeight="1" x14ac:dyDescent="0.3">
      <c r="A146" s="680" t="s">
        <v>1924</v>
      </c>
      <c r="B146" s="671" t="s">
        <v>1846</v>
      </c>
      <c r="C146" s="671" t="s">
        <v>2077</v>
      </c>
      <c r="D146" s="671" t="s">
        <v>2078</v>
      </c>
      <c r="E146" s="671" t="s">
        <v>1842</v>
      </c>
      <c r="F146" s="238"/>
      <c r="G146" s="238"/>
      <c r="H146" s="682">
        <v>0</v>
      </c>
      <c r="I146" s="238">
        <v>1</v>
      </c>
      <c r="J146" s="238">
        <v>201.88</v>
      </c>
      <c r="K146" s="682">
        <v>1</v>
      </c>
      <c r="L146" s="238">
        <v>1</v>
      </c>
      <c r="M146" s="713">
        <v>201.88</v>
      </c>
    </row>
    <row r="147" spans="1:13" ht="14.4" customHeight="1" x14ac:dyDescent="0.3">
      <c r="A147" s="680" t="s">
        <v>1924</v>
      </c>
      <c r="B147" s="671" t="s">
        <v>1846</v>
      </c>
      <c r="C147" s="671" t="s">
        <v>2224</v>
      </c>
      <c r="D147" s="671" t="s">
        <v>2078</v>
      </c>
      <c r="E147" s="671" t="s">
        <v>2225</v>
      </c>
      <c r="F147" s="238"/>
      <c r="G147" s="238"/>
      <c r="H147" s="682">
        <v>0</v>
      </c>
      <c r="I147" s="238">
        <v>2</v>
      </c>
      <c r="J147" s="238">
        <v>1211.3</v>
      </c>
      <c r="K147" s="682">
        <v>1</v>
      </c>
      <c r="L147" s="238">
        <v>2</v>
      </c>
      <c r="M147" s="713">
        <v>1211.3</v>
      </c>
    </row>
    <row r="148" spans="1:13" ht="14.4" customHeight="1" x14ac:dyDescent="0.3">
      <c r="A148" s="680" t="s">
        <v>1924</v>
      </c>
      <c r="B148" s="671" t="s">
        <v>1890</v>
      </c>
      <c r="C148" s="671" t="s">
        <v>2282</v>
      </c>
      <c r="D148" s="671" t="s">
        <v>2283</v>
      </c>
      <c r="E148" s="671" t="s">
        <v>993</v>
      </c>
      <c r="F148" s="238"/>
      <c r="G148" s="238"/>
      <c r="H148" s="682">
        <v>0</v>
      </c>
      <c r="I148" s="238">
        <v>2</v>
      </c>
      <c r="J148" s="238">
        <v>1545.86</v>
      </c>
      <c r="K148" s="682">
        <v>1</v>
      </c>
      <c r="L148" s="238">
        <v>2</v>
      </c>
      <c r="M148" s="713">
        <v>1545.86</v>
      </c>
    </row>
    <row r="149" spans="1:13" ht="14.4" customHeight="1" x14ac:dyDescent="0.3">
      <c r="A149" s="680" t="s">
        <v>1924</v>
      </c>
      <c r="B149" s="671" t="s">
        <v>1896</v>
      </c>
      <c r="C149" s="671" t="s">
        <v>1531</v>
      </c>
      <c r="D149" s="671" t="s">
        <v>1532</v>
      </c>
      <c r="E149" s="671" t="s">
        <v>1897</v>
      </c>
      <c r="F149" s="238"/>
      <c r="G149" s="238"/>
      <c r="H149" s="682">
        <v>0</v>
      </c>
      <c r="I149" s="238">
        <v>1</v>
      </c>
      <c r="J149" s="238">
        <v>65.069999999999993</v>
      </c>
      <c r="K149" s="682">
        <v>1</v>
      </c>
      <c r="L149" s="238">
        <v>1</v>
      </c>
      <c r="M149" s="713">
        <v>65.069999999999993</v>
      </c>
    </row>
    <row r="150" spans="1:13" ht="14.4" customHeight="1" x14ac:dyDescent="0.3">
      <c r="A150" s="680" t="s">
        <v>1924</v>
      </c>
      <c r="B150" s="671" t="s">
        <v>1901</v>
      </c>
      <c r="C150" s="671" t="s">
        <v>1656</v>
      </c>
      <c r="D150" s="671" t="s">
        <v>1657</v>
      </c>
      <c r="E150" s="671" t="s">
        <v>1658</v>
      </c>
      <c r="F150" s="238"/>
      <c r="G150" s="238"/>
      <c r="H150" s="682">
        <v>0</v>
      </c>
      <c r="I150" s="238">
        <v>2</v>
      </c>
      <c r="J150" s="238">
        <v>444.5</v>
      </c>
      <c r="K150" s="682">
        <v>1</v>
      </c>
      <c r="L150" s="238">
        <v>2</v>
      </c>
      <c r="M150" s="713">
        <v>444.5</v>
      </c>
    </row>
    <row r="151" spans="1:13" ht="14.4" customHeight="1" x14ac:dyDescent="0.3">
      <c r="A151" s="680" t="s">
        <v>1924</v>
      </c>
      <c r="B151" s="671" t="s">
        <v>2521</v>
      </c>
      <c r="C151" s="671" t="s">
        <v>2268</v>
      </c>
      <c r="D151" s="671" t="s">
        <v>2269</v>
      </c>
      <c r="E151" s="671" t="s">
        <v>2270</v>
      </c>
      <c r="F151" s="238"/>
      <c r="G151" s="238"/>
      <c r="H151" s="682">
        <v>0</v>
      </c>
      <c r="I151" s="238">
        <v>3</v>
      </c>
      <c r="J151" s="238">
        <v>285.75</v>
      </c>
      <c r="K151" s="682">
        <v>1</v>
      </c>
      <c r="L151" s="238">
        <v>3</v>
      </c>
      <c r="M151" s="713">
        <v>285.75</v>
      </c>
    </row>
    <row r="152" spans="1:13" ht="14.4" customHeight="1" x14ac:dyDescent="0.3">
      <c r="A152" s="680" t="s">
        <v>1924</v>
      </c>
      <c r="B152" s="671" t="s">
        <v>2522</v>
      </c>
      <c r="C152" s="671" t="s">
        <v>2382</v>
      </c>
      <c r="D152" s="671" t="s">
        <v>2383</v>
      </c>
      <c r="E152" s="671" t="s">
        <v>2384</v>
      </c>
      <c r="F152" s="238">
        <v>2</v>
      </c>
      <c r="G152" s="238">
        <v>628.67999999999995</v>
      </c>
      <c r="H152" s="682">
        <v>1</v>
      </c>
      <c r="I152" s="238"/>
      <c r="J152" s="238"/>
      <c r="K152" s="682">
        <v>0</v>
      </c>
      <c r="L152" s="238">
        <v>2</v>
      </c>
      <c r="M152" s="713">
        <v>628.67999999999995</v>
      </c>
    </row>
    <row r="153" spans="1:13" ht="14.4" customHeight="1" x14ac:dyDescent="0.3">
      <c r="A153" s="680" t="s">
        <v>1924</v>
      </c>
      <c r="B153" s="671" t="s">
        <v>2522</v>
      </c>
      <c r="C153" s="671" t="s">
        <v>2385</v>
      </c>
      <c r="D153" s="671" t="s">
        <v>2386</v>
      </c>
      <c r="E153" s="671" t="s">
        <v>2387</v>
      </c>
      <c r="F153" s="238"/>
      <c r="G153" s="238"/>
      <c r="H153" s="682">
        <v>0</v>
      </c>
      <c r="I153" s="238">
        <v>2</v>
      </c>
      <c r="J153" s="238">
        <v>327.45999999999998</v>
      </c>
      <c r="K153" s="682">
        <v>1</v>
      </c>
      <c r="L153" s="238">
        <v>2</v>
      </c>
      <c r="M153" s="713">
        <v>327.45999999999998</v>
      </c>
    </row>
    <row r="154" spans="1:13" ht="14.4" customHeight="1" x14ac:dyDescent="0.3">
      <c r="A154" s="680" t="s">
        <v>1924</v>
      </c>
      <c r="B154" s="671" t="s">
        <v>2522</v>
      </c>
      <c r="C154" s="671" t="s">
        <v>2388</v>
      </c>
      <c r="D154" s="671" t="s">
        <v>2389</v>
      </c>
      <c r="E154" s="671" t="s">
        <v>1959</v>
      </c>
      <c r="F154" s="238">
        <v>1</v>
      </c>
      <c r="G154" s="238">
        <v>98.23</v>
      </c>
      <c r="H154" s="682">
        <v>1</v>
      </c>
      <c r="I154" s="238"/>
      <c r="J154" s="238"/>
      <c r="K154" s="682">
        <v>0</v>
      </c>
      <c r="L154" s="238">
        <v>1</v>
      </c>
      <c r="M154" s="713">
        <v>98.23</v>
      </c>
    </row>
    <row r="155" spans="1:13" ht="14.4" customHeight="1" x14ac:dyDescent="0.3">
      <c r="A155" s="680" t="s">
        <v>1924</v>
      </c>
      <c r="B155" s="671" t="s">
        <v>2523</v>
      </c>
      <c r="C155" s="671" t="s">
        <v>2374</v>
      </c>
      <c r="D155" s="671" t="s">
        <v>2375</v>
      </c>
      <c r="E155" s="671" t="s">
        <v>2376</v>
      </c>
      <c r="F155" s="238">
        <v>1</v>
      </c>
      <c r="G155" s="238">
        <v>0</v>
      </c>
      <c r="H155" s="682"/>
      <c r="I155" s="238"/>
      <c r="J155" s="238"/>
      <c r="K155" s="682"/>
      <c r="L155" s="238">
        <v>1</v>
      </c>
      <c r="M155" s="713">
        <v>0</v>
      </c>
    </row>
    <row r="156" spans="1:13" ht="14.4" customHeight="1" x14ac:dyDescent="0.3">
      <c r="A156" s="680" t="s">
        <v>1924</v>
      </c>
      <c r="B156" s="671" t="s">
        <v>1872</v>
      </c>
      <c r="C156" s="671" t="s">
        <v>2271</v>
      </c>
      <c r="D156" s="671" t="s">
        <v>2272</v>
      </c>
      <c r="E156" s="671" t="s">
        <v>2273</v>
      </c>
      <c r="F156" s="238"/>
      <c r="G156" s="238"/>
      <c r="H156" s="682">
        <v>0</v>
      </c>
      <c r="I156" s="238">
        <v>2</v>
      </c>
      <c r="J156" s="238">
        <v>21.46</v>
      </c>
      <c r="K156" s="682">
        <v>1</v>
      </c>
      <c r="L156" s="238">
        <v>2</v>
      </c>
      <c r="M156" s="713">
        <v>21.46</v>
      </c>
    </row>
    <row r="157" spans="1:13" ht="14.4" customHeight="1" x14ac:dyDescent="0.3">
      <c r="A157" s="680" t="s">
        <v>1924</v>
      </c>
      <c r="B157" s="671" t="s">
        <v>1872</v>
      </c>
      <c r="C157" s="671" t="s">
        <v>2274</v>
      </c>
      <c r="D157" s="671" t="s">
        <v>2275</v>
      </c>
      <c r="E157" s="671" t="s">
        <v>2276</v>
      </c>
      <c r="F157" s="238"/>
      <c r="G157" s="238"/>
      <c r="H157" s="682">
        <v>0</v>
      </c>
      <c r="I157" s="238">
        <v>4</v>
      </c>
      <c r="J157" s="238">
        <v>70.760000000000005</v>
      </c>
      <c r="K157" s="682">
        <v>1</v>
      </c>
      <c r="L157" s="238">
        <v>4</v>
      </c>
      <c r="M157" s="713">
        <v>70.760000000000005</v>
      </c>
    </row>
    <row r="158" spans="1:13" ht="14.4" customHeight="1" x14ac:dyDescent="0.3">
      <c r="A158" s="680" t="s">
        <v>1924</v>
      </c>
      <c r="B158" s="671" t="s">
        <v>1877</v>
      </c>
      <c r="C158" s="671" t="s">
        <v>2292</v>
      </c>
      <c r="D158" s="671" t="s">
        <v>2293</v>
      </c>
      <c r="E158" s="671" t="s">
        <v>1842</v>
      </c>
      <c r="F158" s="238">
        <v>3</v>
      </c>
      <c r="G158" s="238">
        <v>648.48</v>
      </c>
      <c r="H158" s="682">
        <v>1</v>
      </c>
      <c r="I158" s="238"/>
      <c r="J158" s="238"/>
      <c r="K158" s="682">
        <v>0</v>
      </c>
      <c r="L158" s="238">
        <v>3</v>
      </c>
      <c r="M158" s="713">
        <v>648.48</v>
      </c>
    </row>
    <row r="159" spans="1:13" ht="14.4" customHeight="1" x14ac:dyDescent="0.3">
      <c r="A159" s="680" t="s">
        <v>1924</v>
      </c>
      <c r="B159" s="671" t="s">
        <v>1879</v>
      </c>
      <c r="C159" s="671" t="s">
        <v>1208</v>
      </c>
      <c r="D159" s="671" t="s">
        <v>1880</v>
      </c>
      <c r="E159" s="671" t="s">
        <v>1881</v>
      </c>
      <c r="F159" s="238"/>
      <c r="G159" s="238"/>
      <c r="H159" s="682">
        <v>0</v>
      </c>
      <c r="I159" s="238">
        <v>2</v>
      </c>
      <c r="J159" s="238">
        <v>403.5</v>
      </c>
      <c r="K159" s="682">
        <v>1</v>
      </c>
      <c r="L159" s="238">
        <v>2</v>
      </c>
      <c r="M159" s="713">
        <v>403.5</v>
      </c>
    </row>
    <row r="160" spans="1:13" ht="14.4" customHeight="1" x14ac:dyDescent="0.3">
      <c r="A160" s="680" t="s">
        <v>1924</v>
      </c>
      <c r="B160" s="671" t="s">
        <v>2524</v>
      </c>
      <c r="C160" s="671" t="s">
        <v>2295</v>
      </c>
      <c r="D160" s="671" t="s">
        <v>2296</v>
      </c>
      <c r="E160" s="671" t="s">
        <v>2297</v>
      </c>
      <c r="F160" s="238">
        <v>1</v>
      </c>
      <c r="G160" s="238">
        <v>0</v>
      </c>
      <c r="H160" s="682"/>
      <c r="I160" s="238"/>
      <c r="J160" s="238"/>
      <c r="K160" s="682"/>
      <c r="L160" s="238">
        <v>1</v>
      </c>
      <c r="M160" s="713">
        <v>0</v>
      </c>
    </row>
    <row r="161" spans="1:13" ht="14.4" customHeight="1" x14ac:dyDescent="0.3">
      <c r="A161" s="680" t="s">
        <v>1924</v>
      </c>
      <c r="B161" s="671" t="s">
        <v>2524</v>
      </c>
      <c r="C161" s="671" t="s">
        <v>2298</v>
      </c>
      <c r="D161" s="671" t="s">
        <v>2296</v>
      </c>
      <c r="E161" s="671" t="s">
        <v>2299</v>
      </c>
      <c r="F161" s="238">
        <v>4</v>
      </c>
      <c r="G161" s="238">
        <v>807</v>
      </c>
      <c r="H161" s="682">
        <v>1</v>
      </c>
      <c r="I161" s="238"/>
      <c r="J161" s="238"/>
      <c r="K161" s="682">
        <v>0</v>
      </c>
      <c r="L161" s="238">
        <v>4</v>
      </c>
      <c r="M161" s="713">
        <v>807</v>
      </c>
    </row>
    <row r="162" spans="1:13" ht="14.4" customHeight="1" x14ac:dyDescent="0.3">
      <c r="A162" s="680" t="s">
        <v>1924</v>
      </c>
      <c r="B162" s="671" t="s">
        <v>2524</v>
      </c>
      <c r="C162" s="671" t="s">
        <v>2089</v>
      </c>
      <c r="D162" s="671" t="s">
        <v>2090</v>
      </c>
      <c r="E162" s="671" t="s">
        <v>2091</v>
      </c>
      <c r="F162" s="238">
        <v>1</v>
      </c>
      <c r="G162" s="238">
        <v>216.94</v>
      </c>
      <c r="H162" s="682">
        <v>1</v>
      </c>
      <c r="I162" s="238"/>
      <c r="J162" s="238"/>
      <c r="K162" s="682">
        <v>0</v>
      </c>
      <c r="L162" s="238">
        <v>1</v>
      </c>
      <c r="M162" s="713">
        <v>216.94</v>
      </c>
    </row>
    <row r="163" spans="1:13" ht="14.4" customHeight="1" x14ac:dyDescent="0.3">
      <c r="A163" s="680" t="s">
        <v>1924</v>
      </c>
      <c r="B163" s="671" t="s">
        <v>2525</v>
      </c>
      <c r="C163" s="671" t="s">
        <v>2289</v>
      </c>
      <c r="D163" s="671" t="s">
        <v>2290</v>
      </c>
      <c r="E163" s="671" t="s">
        <v>2291</v>
      </c>
      <c r="F163" s="238">
        <v>1</v>
      </c>
      <c r="G163" s="238">
        <v>0</v>
      </c>
      <c r="H163" s="682"/>
      <c r="I163" s="238"/>
      <c r="J163" s="238"/>
      <c r="K163" s="682"/>
      <c r="L163" s="238">
        <v>1</v>
      </c>
      <c r="M163" s="713">
        <v>0</v>
      </c>
    </row>
    <row r="164" spans="1:13" ht="14.4" customHeight="1" x14ac:dyDescent="0.3">
      <c r="A164" s="680" t="s">
        <v>1925</v>
      </c>
      <c r="B164" s="671" t="s">
        <v>1820</v>
      </c>
      <c r="C164" s="671" t="s">
        <v>2420</v>
      </c>
      <c r="D164" s="671" t="s">
        <v>2421</v>
      </c>
      <c r="E164" s="671" t="s">
        <v>1539</v>
      </c>
      <c r="F164" s="238"/>
      <c r="G164" s="238"/>
      <c r="H164" s="682">
        <v>0</v>
      </c>
      <c r="I164" s="238">
        <v>1</v>
      </c>
      <c r="J164" s="238">
        <v>193.14</v>
      </c>
      <c r="K164" s="682">
        <v>1</v>
      </c>
      <c r="L164" s="238">
        <v>1</v>
      </c>
      <c r="M164" s="713">
        <v>193.14</v>
      </c>
    </row>
    <row r="165" spans="1:13" ht="14.4" customHeight="1" x14ac:dyDescent="0.3">
      <c r="A165" s="680" t="s">
        <v>1925</v>
      </c>
      <c r="B165" s="671" t="s">
        <v>1827</v>
      </c>
      <c r="C165" s="671" t="s">
        <v>1051</v>
      </c>
      <c r="D165" s="671" t="s">
        <v>1052</v>
      </c>
      <c r="E165" s="671" t="s">
        <v>1828</v>
      </c>
      <c r="F165" s="238"/>
      <c r="G165" s="238"/>
      <c r="H165" s="682">
        <v>0</v>
      </c>
      <c r="I165" s="238">
        <v>3</v>
      </c>
      <c r="J165" s="238">
        <v>225.84</v>
      </c>
      <c r="K165" s="682">
        <v>1</v>
      </c>
      <c r="L165" s="238">
        <v>3</v>
      </c>
      <c r="M165" s="713">
        <v>225.84</v>
      </c>
    </row>
    <row r="166" spans="1:13" ht="14.4" customHeight="1" x14ac:dyDescent="0.3">
      <c r="A166" s="680" t="s">
        <v>1925</v>
      </c>
      <c r="B166" s="671" t="s">
        <v>1841</v>
      </c>
      <c r="C166" s="671" t="s">
        <v>1136</v>
      </c>
      <c r="D166" s="671" t="s">
        <v>1137</v>
      </c>
      <c r="E166" s="671" t="s">
        <v>1843</v>
      </c>
      <c r="F166" s="238"/>
      <c r="G166" s="238"/>
      <c r="H166" s="682">
        <v>0</v>
      </c>
      <c r="I166" s="238">
        <v>1</v>
      </c>
      <c r="J166" s="238">
        <v>435.3</v>
      </c>
      <c r="K166" s="682">
        <v>1</v>
      </c>
      <c r="L166" s="238">
        <v>1</v>
      </c>
      <c r="M166" s="713">
        <v>435.3</v>
      </c>
    </row>
    <row r="167" spans="1:13" ht="14.4" customHeight="1" x14ac:dyDescent="0.3">
      <c r="A167" s="680" t="s">
        <v>1926</v>
      </c>
      <c r="B167" s="671" t="s">
        <v>1806</v>
      </c>
      <c r="C167" s="671" t="s">
        <v>2133</v>
      </c>
      <c r="D167" s="671" t="s">
        <v>1041</v>
      </c>
      <c r="E167" s="671" t="s">
        <v>2134</v>
      </c>
      <c r="F167" s="238"/>
      <c r="G167" s="238"/>
      <c r="H167" s="682"/>
      <c r="I167" s="238">
        <v>1</v>
      </c>
      <c r="J167" s="238">
        <v>0</v>
      </c>
      <c r="K167" s="682"/>
      <c r="L167" s="238">
        <v>1</v>
      </c>
      <c r="M167" s="713">
        <v>0</v>
      </c>
    </row>
    <row r="168" spans="1:13" ht="14.4" customHeight="1" x14ac:dyDescent="0.3">
      <c r="A168" s="680" t="s">
        <v>1926</v>
      </c>
      <c r="B168" s="671" t="s">
        <v>1820</v>
      </c>
      <c r="C168" s="671" t="s">
        <v>2045</v>
      </c>
      <c r="D168" s="671" t="s">
        <v>2046</v>
      </c>
      <c r="E168" s="671" t="s">
        <v>2047</v>
      </c>
      <c r="F168" s="238"/>
      <c r="G168" s="238"/>
      <c r="H168" s="682">
        <v>0</v>
      </c>
      <c r="I168" s="238">
        <v>2</v>
      </c>
      <c r="J168" s="238">
        <v>312.5</v>
      </c>
      <c r="K168" s="682">
        <v>1</v>
      </c>
      <c r="L168" s="238">
        <v>2</v>
      </c>
      <c r="M168" s="713">
        <v>312.5</v>
      </c>
    </row>
    <row r="169" spans="1:13" ht="14.4" customHeight="1" x14ac:dyDescent="0.3">
      <c r="A169" s="680" t="s">
        <v>1926</v>
      </c>
      <c r="B169" s="671" t="s">
        <v>1820</v>
      </c>
      <c r="C169" s="671" t="s">
        <v>1140</v>
      </c>
      <c r="D169" s="671" t="s">
        <v>1821</v>
      </c>
      <c r="E169" s="671" t="s">
        <v>1539</v>
      </c>
      <c r="F169" s="238"/>
      <c r="G169" s="238"/>
      <c r="H169" s="682">
        <v>0</v>
      </c>
      <c r="I169" s="238">
        <v>3</v>
      </c>
      <c r="J169" s="238">
        <v>579.41999999999996</v>
      </c>
      <c r="K169" s="682">
        <v>1</v>
      </c>
      <c r="L169" s="238">
        <v>3</v>
      </c>
      <c r="M169" s="713">
        <v>579.41999999999996</v>
      </c>
    </row>
    <row r="170" spans="1:13" ht="14.4" customHeight="1" x14ac:dyDescent="0.3">
      <c r="A170" s="680" t="s">
        <v>1926</v>
      </c>
      <c r="B170" s="671" t="s">
        <v>1824</v>
      </c>
      <c r="C170" s="671" t="s">
        <v>878</v>
      </c>
      <c r="D170" s="671" t="s">
        <v>879</v>
      </c>
      <c r="E170" s="671" t="s">
        <v>880</v>
      </c>
      <c r="F170" s="238"/>
      <c r="G170" s="238"/>
      <c r="H170" s="682">
        <v>0</v>
      </c>
      <c r="I170" s="238">
        <v>5</v>
      </c>
      <c r="J170" s="238">
        <v>523.29999999999995</v>
      </c>
      <c r="K170" s="682">
        <v>1</v>
      </c>
      <c r="L170" s="238">
        <v>5</v>
      </c>
      <c r="M170" s="713">
        <v>523.29999999999995</v>
      </c>
    </row>
    <row r="171" spans="1:13" ht="14.4" customHeight="1" x14ac:dyDescent="0.3">
      <c r="A171" s="680" t="s">
        <v>1926</v>
      </c>
      <c r="B171" s="671" t="s">
        <v>1827</v>
      </c>
      <c r="C171" s="671" t="s">
        <v>1051</v>
      </c>
      <c r="D171" s="671" t="s">
        <v>1052</v>
      </c>
      <c r="E171" s="671" t="s">
        <v>1828</v>
      </c>
      <c r="F171" s="238"/>
      <c r="G171" s="238"/>
      <c r="H171" s="682">
        <v>0</v>
      </c>
      <c r="I171" s="238">
        <v>1</v>
      </c>
      <c r="J171" s="238">
        <v>75.28</v>
      </c>
      <c r="K171" s="682">
        <v>1</v>
      </c>
      <c r="L171" s="238">
        <v>1</v>
      </c>
      <c r="M171" s="713">
        <v>75.28</v>
      </c>
    </row>
    <row r="172" spans="1:13" ht="14.4" customHeight="1" x14ac:dyDescent="0.3">
      <c r="A172" s="680" t="s">
        <v>1926</v>
      </c>
      <c r="B172" s="671" t="s">
        <v>1832</v>
      </c>
      <c r="C172" s="671" t="s">
        <v>1088</v>
      </c>
      <c r="D172" s="671" t="s">
        <v>1089</v>
      </c>
      <c r="E172" s="671" t="s">
        <v>1090</v>
      </c>
      <c r="F172" s="238"/>
      <c r="G172" s="238"/>
      <c r="H172" s="682">
        <v>0</v>
      </c>
      <c r="I172" s="238">
        <v>6</v>
      </c>
      <c r="J172" s="238">
        <v>269.33999999999997</v>
      </c>
      <c r="K172" s="682">
        <v>1</v>
      </c>
      <c r="L172" s="238">
        <v>6</v>
      </c>
      <c r="M172" s="713">
        <v>269.33999999999997</v>
      </c>
    </row>
    <row r="173" spans="1:13" ht="14.4" customHeight="1" x14ac:dyDescent="0.3">
      <c r="A173" s="680" t="s">
        <v>1926</v>
      </c>
      <c r="B173" s="671" t="s">
        <v>1834</v>
      </c>
      <c r="C173" s="671" t="s">
        <v>1191</v>
      </c>
      <c r="D173" s="671" t="s">
        <v>1192</v>
      </c>
      <c r="E173" s="671" t="s">
        <v>1193</v>
      </c>
      <c r="F173" s="238"/>
      <c r="G173" s="238"/>
      <c r="H173" s="682">
        <v>0</v>
      </c>
      <c r="I173" s="238">
        <v>1</v>
      </c>
      <c r="J173" s="238">
        <v>55.38</v>
      </c>
      <c r="K173" s="682">
        <v>1</v>
      </c>
      <c r="L173" s="238">
        <v>1</v>
      </c>
      <c r="M173" s="713">
        <v>55.38</v>
      </c>
    </row>
    <row r="174" spans="1:13" ht="14.4" customHeight="1" x14ac:dyDescent="0.3">
      <c r="A174" s="680" t="s">
        <v>1926</v>
      </c>
      <c r="B174" s="671" t="s">
        <v>1834</v>
      </c>
      <c r="C174" s="671" t="s">
        <v>2130</v>
      </c>
      <c r="D174" s="671" t="s">
        <v>2131</v>
      </c>
      <c r="E174" s="671" t="s">
        <v>2132</v>
      </c>
      <c r="F174" s="238">
        <v>1</v>
      </c>
      <c r="G174" s="238">
        <v>51.69</v>
      </c>
      <c r="H174" s="682">
        <v>1</v>
      </c>
      <c r="I174" s="238"/>
      <c r="J174" s="238"/>
      <c r="K174" s="682">
        <v>0</v>
      </c>
      <c r="L174" s="238">
        <v>1</v>
      </c>
      <c r="M174" s="713">
        <v>51.69</v>
      </c>
    </row>
    <row r="175" spans="1:13" ht="14.4" customHeight="1" x14ac:dyDescent="0.3">
      <c r="A175" s="680" t="s">
        <v>1926</v>
      </c>
      <c r="B175" s="671" t="s">
        <v>2519</v>
      </c>
      <c r="C175" s="671" t="s">
        <v>2140</v>
      </c>
      <c r="D175" s="671" t="s">
        <v>2141</v>
      </c>
      <c r="E175" s="671" t="s">
        <v>2142</v>
      </c>
      <c r="F175" s="238">
        <v>1</v>
      </c>
      <c r="G175" s="238">
        <v>157.76</v>
      </c>
      <c r="H175" s="682">
        <v>1</v>
      </c>
      <c r="I175" s="238"/>
      <c r="J175" s="238"/>
      <c r="K175" s="682">
        <v>0</v>
      </c>
      <c r="L175" s="238">
        <v>1</v>
      </c>
      <c r="M175" s="713">
        <v>157.76</v>
      </c>
    </row>
    <row r="176" spans="1:13" ht="14.4" customHeight="1" x14ac:dyDescent="0.3">
      <c r="A176" s="680" t="s">
        <v>1926</v>
      </c>
      <c r="B176" s="671" t="s">
        <v>1837</v>
      </c>
      <c r="C176" s="671" t="s">
        <v>2011</v>
      </c>
      <c r="D176" s="671" t="s">
        <v>1044</v>
      </c>
      <c r="E176" s="671" t="s">
        <v>1950</v>
      </c>
      <c r="F176" s="238"/>
      <c r="G176" s="238"/>
      <c r="H176" s="682">
        <v>0</v>
      </c>
      <c r="I176" s="238">
        <v>2</v>
      </c>
      <c r="J176" s="238">
        <v>67.44</v>
      </c>
      <c r="K176" s="682">
        <v>1</v>
      </c>
      <c r="L176" s="238">
        <v>2</v>
      </c>
      <c r="M176" s="713">
        <v>67.44</v>
      </c>
    </row>
    <row r="177" spans="1:13" ht="14.4" customHeight="1" x14ac:dyDescent="0.3">
      <c r="A177" s="680" t="s">
        <v>1926</v>
      </c>
      <c r="B177" s="671" t="s">
        <v>1837</v>
      </c>
      <c r="C177" s="671" t="s">
        <v>1110</v>
      </c>
      <c r="D177" s="671" t="s">
        <v>1839</v>
      </c>
      <c r="E177" s="671" t="s">
        <v>1153</v>
      </c>
      <c r="F177" s="238"/>
      <c r="G177" s="238"/>
      <c r="H177" s="682">
        <v>0</v>
      </c>
      <c r="I177" s="238">
        <v>2</v>
      </c>
      <c r="J177" s="238">
        <v>134.84</v>
      </c>
      <c r="K177" s="682">
        <v>1</v>
      </c>
      <c r="L177" s="238">
        <v>2</v>
      </c>
      <c r="M177" s="713">
        <v>134.84</v>
      </c>
    </row>
    <row r="178" spans="1:13" ht="14.4" customHeight="1" x14ac:dyDescent="0.3">
      <c r="A178" s="680" t="s">
        <v>1926</v>
      </c>
      <c r="B178" s="671" t="s">
        <v>1841</v>
      </c>
      <c r="C178" s="671" t="s">
        <v>2112</v>
      </c>
      <c r="D178" s="671" t="s">
        <v>2113</v>
      </c>
      <c r="E178" s="671" t="s">
        <v>1844</v>
      </c>
      <c r="F178" s="238"/>
      <c r="G178" s="238"/>
      <c r="H178" s="682">
        <v>0</v>
      </c>
      <c r="I178" s="238">
        <v>1</v>
      </c>
      <c r="J178" s="238">
        <v>201.88</v>
      </c>
      <c r="K178" s="682">
        <v>1</v>
      </c>
      <c r="L178" s="238">
        <v>1</v>
      </c>
      <c r="M178" s="713">
        <v>201.88</v>
      </c>
    </row>
    <row r="179" spans="1:13" ht="14.4" customHeight="1" x14ac:dyDescent="0.3">
      <c r="A179" s="680" t="s">
        <v>1926</v>
      </c>
      <c r="B179" s="671" t="s">
        <v>1841</v>
      </c>
      <c r="C179" s="671" t="s">
        <v>1132</v>
      </c>
      <c r="D179" s="671" t="s">
        <v>1137</v>
      </c>
      <c r="E179" s="671" t="s">
        <v>1842</v>
      </c>
      <c r="F179" s="238"/>
      <c r="G179" s="238"/>
      <c r="H179" s="682">
        <v>0</v>
      </c>
      <c r="I179" s="238">
        <v>5</v>
      </c>
      <c r="J179" s="238">
        <v>652.95000000000005</v>
      </c>
      <c r="K179" s="682">
        <v>1</v>
      </c>
      <c r="L179" s="238">
        <v>5</v>
      </c>
      <c r="M179" s="713">
        <v>652.95000000000005</v>
      </c>
    </row>
    <row r="180" spans="1:13" ht="14.4" customHeight="1" x14ac:dyDescent="0.3">
      <c r="A180" s="680" t="s">
        <v>1926</v>
      </c>
      <c r="B180" s="671" t="s">
        <v>1841</v>
      </c>
      <c r="C180" s="671" t="s">
        <v>1179</v>
      </c>
      <c r="D180" s="671" t="s">
        <v>1184</v>
      </c>
      <c r="E180" s="671" t="s">
        <v>1844</v>
      </c>
      <c r="F180" s="238"/>
      <c r="G180" s="238"/>
      <c r="H180" s="682">
        <v>0</v>
      </c>
      <c r="I180" s="238">
        <v>2</v>
      </c>
      <c r="J180" s="238">
        <v>403.76</v>
      </c>
      <c r="K180" s="682">
        <v>1</v>
      </c>
      <c r="L180" s="238">
        <v>2</v>
      </c>
      <c r="M180" s="713">
        <v>403.76</v>
      </c>
    </row>
    <row r="181" spans="1:13" ht="14.4" customHeight="1" x14ac:dyDescent="0.3">
      <c r="A181" s="680" t="s">
        <v>1926</v>
      </c>
      <c r="B181" s="671" t="s">
        <v>1846</v>
      </c>
      <c r="C181" s="671" t="s">
        <v>2077</v>
      </c>
      <c r="D181" s="671" t="s">
        <v>2078</v>
      </c>
      <c r="E181" s="671" t="s">
        <v>1842</v>
      </c>
      <c r="F181" s="238"/>
      <c r="G181" s="238"/>
      <c r="H181" s="682">
        <v>0</v>
      </c>
      <c r="I181" s="238">
        <v>1</v>
      </c>
      <c r="J181" s="238">
        <v>201.88</v>
      </c>
      <c r="K181" s="682">
        <v>1</v>
      </c>
      <c r="L181" s="238">
        <v>1</v>
      </c>
      <c r="M181" s="713">
        <v>201.88</v>
      </c>
    </row>
    <row r="182" spans="1:13" ht="14.4" customHeight="1" x14ac:dyDescent="0.3">
      <c r="A182" s="680" t="s">
        <v>1927</v>
      </c>
      <c r="B182" s="671" t="s">
        <v>1820</v>
      </c>
      <c r="C182" s="671" t="s">
        <v>1140</v>
      </c>
      <c r="D182" s="671" t="s">
        <v>1821</v>
      </c>
      <c r="E182" s="671" t="s">
        <v>1539</v>
      </c>
      <c r="F182" s="238"/>
      <c r="G182" s="238"/>
      <c r="H182" s="682">
        <v>0</v>
      </c>
      <c r="I182" s="238">
        <v>1</v>
      </c>
      <c r="J182" s="238">
        <v>193.14</v>
      </c>
      <c r="K182" s="682">
        <v>1</v>
      </c>
      <c r="L182" s="238">
        <v>1</v>
      </c>
      <c r="M182" s="713">
        <v>193.14</v>
      </c>
    </row>
    <row r="183" spans="1:13" ht="14.4" customHeight="1" x14ac:dyDescent="0.3">
      <c r="A183" s="680" t="s">
        <v>1927</v>
      </c>
      <c r="B183" s="671" t="s">
        <v>1822</v>
      </c>
      <c r="C183" s="671" t="s">
        <v>1125</v>
      </c>
      <c r="D183" s="671" t="s">
        <v>1119</v>
      </c>
      <c r="E183" s="671" t="s">
        <v>1823</v>
      </c>
      <c r="F183" s="238"/>
      <c r="G183" s="238"/>
      <c r="H183" s="682">
        <v>0</v>
      </c>
      <c r="I183" s="238">
        <v>1</v>
      </c>
      <c r="J183" s="238">
        <v>2916.16</v>
      </c>
      <c r="K183" s="682">
        <v>1</v>
      </c>
      <c r="L183" s="238">
        <v>1</v>
      </c>
      <c r="M183" s="713">
        <v>2916.16</v>
      </c>
    </row>
    <row r="184" spans="1:13" ht="14.4" customHeight="1" x14ac:dyDescent="0.3">
      <c r="A184" s="680" t="s">
        <v>1927</v>
      </c>
      <c r="B184" s="671" t="s">
        <v>1832</v>
      </c>
      <c r="C184" s="671" t="s">
        <v>2143</v>
      </c>
      <c r="D184" s="671" t="s">
        <v>2144</v>
      </c>
      <c r="E184" s="671" t="s">
        <v>2145</v>
      </c>
      <c r="F184" s="238"/>
      <c r="G184" s="238"/>
      <c r="H184" s="682">
        <v>0</v>
      </c>
      <c r="I184" s="238">
        <v>1</v>
      </c>
      <c r="J184" s="238">
        <v>60.02</v>
      </c>
      <c r="K184" s="682">
        <v>1</v>
      </c>
      <c r="L184" s="238">
        <v>1</v>
      </c>
      <c r="M184" s="713">
        <v>60.02</v>
      </c>
    </row>
    <row r="185" spans="1:13" ht="14.4" customHeight="1" x14ac:dyDescent="0.3">
      <c r="A185" s="680" t="s">
        <v>1928</v>
      </c>
      <c r="B185" s="671" t="s">
        <v>1824</v>
      </c>
      <c r="C185" s="671" t="s">
        <v>2067</v>
      </c>
      <c r="D185" s="671" t="s">
        <v>2068</v>
      </c>
      <c r="E185" s="671" t="s">
        <v>880</v>
      </c>
      <c r="F185" s="238">
        <v>2</v>
      </c>
      <c r="G185" s="238">
        <v>0</v>
      </c>
      <c r="H185" s="682"/>
      <c r="I185" s="238"/>
      <c r="J185" s="238"/>
      <c r="K185" s="682"/>
      <c r="L185" s="238">
        <v>2</v>
      </c>
      <c r="M185" s="713">
        <v>0</v>
      </c>
    </row>
    <row r="186" spans="1:13" ht="14.4" customHeight="1" x14ac:dyDescent="0.3">
      <c r="A186" s="680" t="s">
        <v>1928</v>
      </c>
      <c r="B186" s="671" t="s">
        <v>2518</v>
      </c>
      <c r="C186" s="671" t="s">
        <v>2092</v>
      </c>
      <c r="D186" s="671" t="s">
        <v>2093</v>
      </c>
      <c r="E186" s="671" t="s">
        <v>723</v>
      </c>
      <c r="F186" s="238">
        <v>3</v>
      </c>
      <c r="G186" s="238">
        <v>180.06</v>
      </c>
      <c r="H186" s="682">
        <v>1</v>
      </c>
      <c r="I186" s="238"/>
      <c r="J186" s="238"/>
      <c r="K186" s="682">
        <v>0</v>
      </c>
      <c r="L186" s="238">
        <v>3</v>
      </c>
      <c r="M186" s="713">
        <v>180.06</v>
      </c>
    </row>
    <row r="187" spans="1:13" ht="14.4" customHeight="1" x14ac:dyDescent="0.3">
      <c r="A187" s="680" t="s">
        <v>1928</v>
      </c>
      <c r="B187" s="671" t="s">
        <v>1832</v>
      </c>
      <c r="C187" s="671" t="s">
        <v>2146</v>
      </c>
      <c r="D187" s="671" t="s">
        <v>2147</v>
      </c>
      <c r="E187" s="671" t="s">
        <v>2148</v>
      </c>
      <c r="F187" s="238">
        <v>1</v>
      </c>
      <c r="G187" s="238">
        <v>31.43</v>
      </c>
      <c r="H187" s="682">
        <v>1</v>
      </c>
      <c r="I187" s="238"/>
      <c r="J187" s="238"/>
      <c r="K187" s="682">
        <v>0</v>
      </c>
      <c r="L187" s="238">
        <v>1</v>
      </c>
      <c r="M187" s="713">
        <v>31.43</v>
      </c>
    </row>
    <row r="188" spans="1:13" ht="14.4" customHeight="1" x14ac:dyDescent="0.3">
      <c r="A188" s="680" t="s">
        <v>1928</v>
      </c>
      <c r="B188" s="671" t="s">
        <v>1834</v>
      </c>
      <c r="C188" s="671" t="s">
        <v>1191</v>
      </c>
      <c r="D188" s="671" t="s">
        <v>1192</v>
      </c>
      <c r="E188" s="671" t="s">
        <v>1193</v>
      </c>
      <c r="F188" s="238"/>
      <c r="G188" s="238"/>
      <c r="H188" s="682">
        <v>0</v>
      </c>
      <c r="I188" s="238">
        <v>1</v>
      </c>
      <c r="J188" s="238">
        <v>55.38</v>
      </c>
      <c r="K188" s="682">
        <v>1</v>
      </c>
      <c r="L188" s="238">
        <v>1</v>
      </c>
      <c r="M188" s="713">
        <v>55.38</v>
      </c>
    </row>
    <row r="189" spans="1:13" ht="14.4" customHeight="1" x14ac:dyDescent="0.3">
      <c r="A189" s="680" t="s">
        <v>1928</v>
      </c>
      <c r="B189" s="671" t="s">
        <v>1841</v>
      </c>
      <c r="C189" s="671" t="s">
        <v>1132</v>
      </c>
      <c r="D189" s="671" t="s">
        <v>1137</v>
      </c>
      <c r="E189" s="671" t="s">
        <v>1842</v>
      </c>
      <c r="F189" s="238"/>
      <c r="G189" s="238"/>
      <c r="H189" s="682">
        <v>0</v>
      </c>
      <c r="I189" s="238">
        <v>1</v>
      </c>
      <c r="J189" s="238">
        <v>130.59</v>
      </c>
      <c r="K189" s="682">
        <v>1</v>
      </c>
      <c r="L189" s="238">
        <v>1</v>
      </c>
      <c r="M189" s="713">
        <v>130.59</v>
      </c>
    </row>
    <row r="190" spans="1:13" ht="14.4" customHeight="1" x14ac:dyDescent="0.3">
      <c r="A190" s="680" t="s">
        <v>1928</v>
      </c>
      <c r="B190" s="671" t="s">
        <v>1841</v>
      </c>
      <c r="C190" s="671" t="s">
        <v>1179</v>
      </c>
      <c r="D190" s="671" t="s">
        <v>1184</v>
      </c>
      <c r="E190" s="671" t="s">
        <v>1844</v>
      </c>
      <c r="F190" s="238"/>
      <c r="G190" s="238"/>
      <c r="H190" s="682">
        <v>0</v>
      </c>
      <c r="I190" s="238">
        <v>1</v>
      </c>
      <c r="J190" s="238">
        <v>201.88</v>
      </c>
      <c r="K190" s="682">
        <v>1</v>
      </c>
      <c r="L190" s="238">
        <v>1</v>
      </c>
      <c r="M190" s="713">
        <v>201.88</v>
      </c>
    </row>
    <row r="191" spans="1:13" ht="14.4" customHeight="1" x14ac:dyDescent="0.3">
      <c r="A191" s="680" t="s">
        <v>1928</v>
      </c>
      <c r="B191" s="671" t="s">
        <v>1846</v>
      </c>
      <c r="C191" s="671" t="s">
        <v>2367</v>
      </c>
      <c r="D191" s="671" t="s">
        <v>2368</v>
      </c>
      <c r="E191" s="671" t="s">
        <v>2369</v>
      </c>
      <c r="F191" s="238"/>
      <c r="G191" s="238"/>
      <c r="H191" s="682">
        <v>0</v>
      </c>
      <c r="I191" s="238">
        <v>1</v>
      </c>
      <c r="J191" s="238">
        <v>391.77</v>
      </c>
      <c r="K191" s="682">
        <v>1</v>
      </c>
      <c r="L191" s="238">
        <v>1</v>
      </c>
      <c r="M191" s="713">
        <v>391.77</v>
      </c>
    </row>
    <row r="192" spans="1:13" ht="14.4" customHeight="1" x14ac:dyDescent="0.3">
      <c r="A192" s="680" t="s">
        <v>1928</v>
      </c>
      <c r="B192" s="671" t="s">
        <v>1852</v>
      </c>
      <c r="C192" s="671" t="s">
        <v>1256</v>
      </c>
      <c r="D192" s="671" t="s">
        <v>1853</v>
      </c>
      <c r="E192" s="671" t="s">
        <v>1854</v>
      </c>
      <c r="F192" s="238"/>
      <c r="G192" s="238"/>
      <c r="H192" s="682">
        <v>0</v>
      </c>
      <c r="I192" s="238">
        <v>1</v>
      </c>
      <c r="J192" s="238">
        <v>333.31</v>
      </c>
      <c r="K192" s="682">
        <v>1</v>
      </c>
      <c r="L192" s="238">
        <v>1</v>
      </c>
      <c r="M192" s="713">
        <v>333.31</v>
      </c>
    </row>
    <row r="193" spans="1:13" ht="14.4" customHeight="1" x14ac:dyDescent="0.3">
      <c r="A193" s="680" t="s">
        <v>1928</v>
      </c>
      <c r="B193" s="671" t="s">
        <v>1872</v>
      </c>
      <c r="C193" s="671" t="s">
        <v>2422</v>
      </c>
      <c r="D193" s="671" t="s">
        <v>2423</v>
      </c>
      <c r="E193" s="671" t="s">
        <v>1874</v>
      </c>
      <c r="F193" s="238">
        <v>2</v>
      </c>
      <c r="G193" s="238">
        <v>13.96</v>
      </c>
      <c r="H193" s="682">
        <v>1</v>
      </c>
      <c r="I193" s="238"/>
      <c r="J193" s="238"/>
      <c r="K193" s="682">
        <v>0</v>
      </c>
      <c r="L193" s="238">
        <v>2</v>
      </c>
      <c r="M193" s="713">
        <v>13.96</v>
      </c>
    </row>
    <row r="194" spans="1:13" ht="14.4" customHeight="1" x14ac:dyDescent="0.3">
      <c r="A194" s="680" t="s">
        <v>1929</v>
      </c>
      <c r="B194" s="671" t="s">
        <v>1806</v>
      </c>
      <c r="C194" s="671" t="s">
        <v>2094</v>
      </c>
      <c r="D194" s="671" t="s">
        <v>1096</v>
      </c>
      <c r="E194" s="671" t="s">
        <v>1097</v>
      </c>
      <c r="F194" s="238"/>
      <c r="G194" s="238"/>
      <c r="H194" s="682"/>
      <c r="I194" s="238">
        <v>1</v>
      </c>
      <c r="J194" s="238">
        <v>0</v>
      </c>
      <c r="K194" s="682"/>
      <c r="L194" s="238">
        <v>1</v>
      </c>
      <c r="M194" s="713">
        <v>0</v>
      </c>
    </row>
    <row r="195" spans="1:13" ht="14.4" customHeight="1" x14ac:dyDescent="0.3">
      <c r="A195" s="680" t="s">
        <v>1929</v>
      </c>
      <c r="B195" s="671" t="s">
        <v>1810</v>
      </c>
      <c r="C195" s="671" t="s">
        <v>1062</v>
      </c>
      <c r="D195" s="671" t="s">
        <v>1811</v>
      </c>
      <c r="E195" s="671" t="s">
        <v>1812</v>
      </c>
      <c r="F195" s="238"/>
      <c r="G195" s="238"/>
      <c r="H195" s="682">
        <v>0</v>
      </c>
      <c r="I195" s="238">
        <v>6</v>
      </c>
      <c r="J195" s="238">
        <v>587.81999999999994</v>
      </c>
      <c r="K195" s="682">
        <v>1</v>
      </c>
      <c r="L195" s="238">
        <v>6</v>
      </c>
      <c r="M195" s="713">
        <v>587.81999999999994</v>
      </c>
    </row>
    <row r="196" spans="1:13" ht="14.4" customHeight="1" x14ac:dyDescent="0.3">
      <c r="A196" s="680" t="s">
        <v>1929</v>
      </c>
      <c r="B196" s="671" t="s">
        <v>1817</v>
      </c>
      <c r="C196" s="671" t="s">
        <v>2450</v>
      </c>
      <c r="D196" s="671" t="s">
        <v>2451</v>
      </c>
      <c r="E196" s="671" t="s">
        <v>2452</v>
      </c>
      <c r="F196" s="238">
        <v>1</v>
      </c>
      <c r="G196" s="238">
        <v>0</v>
      </c>
      <c r="H196" s="682"/>
      <c r="I196" s="238"/>
      <c r="J196" s="238"/>
      <c r="K196" s="682"/>
      <c r="L196" s="238">
        <v>1</v>
      </c>
      <c r="M196" s="713">
        <v>0</v>
      </c>
    </row>
    <row r="197" spans="1:13" ht="14.4" customHeight="1" x14ac:dyDescent="0.3">
      <c r="A197" s="680" t="s">
        <v>1929</v>
      </c>
      <c r="B197" s="671" t="s">
        <v>1820</v>
      </c>
      <c r="C197" s="671" t="s">
        <v>2420</v>
      </c>
      <c r="D197" s="671" t="s">
        <v>2421</v>
      </c>
      <c r="E197" s="671" t="s">
        <v>1539</v>
      </c>
      <c r="F197" s="238"/>
      <c r="G197" s="238"/>
      <c r="H197" s="682">
        <v>0</v>
      </c>
      <c r="I197" s="238">
        <v>2</v>
      </c>
      <c r="J197" s="238">
        <v>386.28</v>
      </c>
      <c r="K197" s="682">
        <v>1</v>
      </c>
      <c r="L197" s="238">
        <v>2</v>
      </c>
      <c r="M197" s="713">
        <v>386.28</v>
      </c>
    </row>
    <row r="198" spans="1:13" ht="14.4" customHeight="1" x14ac:dyDescent="0.3">
      <c r="A198" s="680" t="s">
        <v>1929</v>
      </c>
      <c r="B198" s="671" t="s">
        <v>1822</v>
      </c>
      <c r="C198" s="671" t="s">
        <v>1118</v>
      </c>
      <c r="D198" s="671" t="s">
        <v>1119</v>
      </c>
      <c r="E198" s="671" t="s">
        <v>1083</v>
      </c>
      <c r="F198" s="238"/>
      <c r="G198" s="238"/>
      <c r="H198" s="682">
        <v>0</v>
      </c>
      <c r="I198" s="238">
        <v>1</v>
      </c>
      <c r="J198" s="238">
        <v>1749.69</v>
      </c>
      <c r="K198" s="682">
        <v>1</v>
      </c>
      <c r="L198" s="238">
        <v>1</v>
      </c>
      <c r="M198" s="713">
        <v>1749.69</v>
      </c>
    </row>
    <row r="199" spans="1:13" ht="14.4" customHeight="1" x14ac:dyDescent="0.3">
      <c r="A199" s="680" t="s">
        <v>1929</v>
      </c>
      <c r="B199" s="671" t="s">
        <v>1824</v>
      </c>
      <c r="C199" s="671" t="s">
        <v>878</v>
      </c>
      <c r="D199" s="671" t="s">
        <v>879</v>
      </c>
      <c r="E199" s="671" t="s">
        <v>880</v>
      </c>
      <c r="F199" s="238"/>
      <c r="G199" s="238"/>
      <c r="H199" s="682">
        <v>0</v>
      </c>
      <c r="I199" s="238">
        <v>2</v>
      </c>
      <c r="J199" s="238">
        <v>209.32</v>
      </c>
      <c r="K199" s="682">
        <v>1</v>
      </c>
      <c r="L199" s="238">
        <v>2</v>
      </c>
      <c r="M199" s="713">
        <v>209.32</v>
      </c>
    </row>
    <row r="200" spans="1:13" ht="14.4" customHeight="1" x14ac:dyDescent="0.3">
      <c r="A200" s="680" t="s">
        <v>1929</v>
      </c>
      <c r="B200" s="671" t="s">
        <v>1827</v>
      </c>
      <c r="C200" s="671" t="s">
        <v>1051</v>
      </c>
      <c r="D200" s="671" t="s">
        <v>1052</v>
      </c>
      <c r="E200" s="671" t="s">
        <v>1828</v>
      </c>
      <c r="F200" s="238"/>
      <c r="G200" s="238"/>
      <c r="H200" s="682">
        <v>0</v>
      </c>
      <c r="I200" s="238">
        <v>1</v>
      </c>
      <c r="J200" s="238">
        <v>75.28</v>
      </c>
      <c r="K200" s="682">
        <v>1</v>
      </c>
      <c r="L200" s="238">
        <v>1</v>
      </c>
      <c r="M200" s="713">
        <v>75.28</v>
      </c>
    </row>
    <row r="201" spans="1:13" ht="14.4" customHeight="1" x14ac:dyDescent="0.3">
      <c r="A201" s="680" t="s">
        <v>1929</v>
      </c>
      <c r="B201" s="671" t="s">
        <v>1832</v>
      </c>
      <c r="C201" s="671" t="s">
        <v>2285</v>
      </c>
      <c r="D201" s="671" t="s">
        <v>1089</v>
      </c>
      <c r="E201" s="671" t="s">
        <v>819</v>
      </c>
      <c r="F201" s="238">
        <v>1</v>
      </c>
      <c r="G201" s="238">
        <v>134.66</v>
      </c>
      <c r="H201" s="682">
        <v>1</v>
      </c>
      <c r="I201" s="238"/>
      <c r="J201" s="238"/>
      <c r="K201" s="682">
        <v>0</v>
      </c>
      <c r="L201" s="238">
        <v>1</v>
      </c>
      <c r="M201" s="713">
        <v>134.66</v>
      </c>
    </row>
    <row r="202" spans="1:13" ht="14.4" customHeight="1" x14ac:dyDescent="0.3">
      <c r="A202" s="680" t="s">
        <v>1929</v>
      </c>
      <c r="B202" s="671" t="s">
        <v>1832</v>
      </c>
      <c r="C202" s="671" t="s">
        <v>2146</v>
      </c>
      <c r="D202" s="671" t="s">
        <v>2147</v>
      </c>
      <c r="E202" s="671" t="s">
        <v>2148</v>
      </c>
      <c r="F202" s="238">
        <v>1</v>
      </c>
      <c r="G202" s="238">
        <v>31.43</v>
      </c>
      <c r="H202" s="682">
        <v>1</v>
      </c>
      <c r="I202" s="238"/>
      <c r="J202" s="238"/>
      <c r="K202" s="682">
        <v>0</v>
      </c>
      <c r="L202" s="238">
        <v>1</v>
      </c>
      <c r="M202" s="713">
        <v>31.43</v>
      </c>
    </row>
    <row r="203" spans="1:13" ht="14.4" customHeight="1" x14ac:dyDescent="0.3">
      <c r="A203" s="680" t="s">
        <v>1929</v>
      </c>
      <c r="B203" s="671" t="s">
        <v>1832</v>
      </c>
      <c r="C203" s="671" t="s">
        <v>2052</v>
      </c>
      <c r="D203" s="671" t="s">
        <v>2053</v>
      </c>
      <c r="E203" s="671" t="s">
        <v>1090</v>
      </c>
      <c r="F203" s="238">
        <v>1</v>
      </c>
      <c r="G203" s="238">
        <v>44.89</v>
      </c>
      <c r="H203" s="682">
        <v>1</v>
      </c>
      <c r="I203" s="238"/>
      <c r="J203" s="238"/>
      <c r="K203" s="682">
        <v>0</v>
      </c>
      <c r="L203" s="238">
        <v>1</v>
      </c>
      <c r="M203" s="713">
        <v>44.89</v>
      </c>
    </row>
    <row r="204" spans="1:13" ht="14.4" customHeight="1" x14ac:dyDescent="0.3">
      <c r="A204" s="680" t="s">
        <v>1929</v>
      </c>
      <c r="B204" s="671" t="s">
        <v>1833</v>
      </c>
      <c r="C204" s="671" t="s">
        <v>2428</v>
      </c>
      <c r="D204" s="671" t="s">
        <v>2429</v>
      </c>
      <c r="E204" s="671" t="s">
        <v>1153</v>
      </c>
      <c r="F204" s="238">
        <v>2</v>
      </c>
      <c r="G204" s="238">
        <v>121.84</v>
      </c>
      <c r="H204" s="682">
        <v>1</v>
      </c>
      <c r="I204" s="238"/>
      <c r="J204" s="238"/>
      <c r="K204" s="682">
        <v>0</v>
      </c>
      <c r="L204" s="238">
        <v>2</v>
      </c>
      <c r="M204" s="713">
        <v>121.84</v>
      </c>
    </row>
    <row r="205" spans="1:13" ht="14.4" customHeight="1" x14ac:dyDescent="0.3">
      <c r="A205" s="680" t="s">
        <v>1929</v>
      </c>
      <c r="B205" s="671" t="s">
        <v>1834</v>
      </c>
      <c r="C205" s="671" t="s">
        <v>1191</v>
      </c>
      <c r="D205" s="671" t="s">
        <v>1192</v>
      </c>
      <c r="E205" s="671" t="s">
        <v>1193</v>
      </c>
      <c r="F205" s="238"/>
      <c r="G205" s="238"/>
      <c r="H205" s="682">
        <v>0</v>
      </c>
      <c r="I205" s="238">
        <v>1</v>
      </c>
      <c r="J205" s="238">
        <v>55.38</v>
      </c>
      <c r="K205" s="682">
        <v>1</v>
      </c>
      <c r="L205" s="238">
        <v>1</v>
      </c>
      <c r="M205" s="713">
        <v>55.38</v>
      </c>
    </row>
    <row r="206" spans="1:13" ht="14.4" customHeight="1" x14ac:dyDescent="0.3">
      <c r="A206" s="680" t="s">
        <v>1929</v>
      </c>
      <c r="B206" s="671" t="s">
        <v>1834</v>
      </c>
      <c r="C206" s="671" t="s">
        <v>2130</v>
      </c>
      <c r="D206" s="671" t="s">
        <v>2131</v>
      </c>
      <c r="E206" s="671" t="s">
        <v>2132</v>
      </c>
      <c r="F206" s="238">
        <v>1</v>
      </c>
      <c r="G206" s="238">
        <v>51.69</v>
      </c>
      <c r="H206" s="682">
        <v>1</v>
      </c>
      <c r="I206" s="238"/>
      <c r="J206" s="238"/>
      <c r="K206" s="682">
        <v>0</v>
      </c>
      <c r="L206" s="238">
        <v>1</v>
      </c>
      <c r="M206" s="713">
        <v>51.69</v>
      </c>
    </row>
    <row r="207" spans="1:13" ht="14.4" customHeight="1" x14ac:dyDescent="0.3">
      <c r="A207" s="680" t="s">
        <v>1929</v>
      </c>
      <c r="B207" s="671" t="s">
        <v>2510</v>
      </c>
      <c r="C207" s="671" t="s">
        <v>2329</v>
      </c>
      <c r="D207" s="671" t="s">
        <v>2330</v>
      </c>
      <c r="E207" s="671" t="s">
        <v>2331</v>
      </c>
      <c r="F207" s="238"/>
      <c r="G207" s="238"/>
      <c r="H207" s="682"/>
      <c r="I207" s="238">
        <v>1</v>
      </c>
      <c r="J207" s="238">
        <v>0</v>
      </c>
      <c r="K207" s="682"/>
      <c r="L207" s="238">
        <v>1</v>
      </c>
      <c r="M207" s="713">
        <v>0</v>
      </c>
    </row>
    <row r="208" spans="1:13" ht="14.4" customHeight="1" x14ac:dyDescent="0.3">
      <c r="A208" s="680" t="s">
        <v>1929</v>
      </c>
      <c r="B208" s="671" t="s">
        <v>2511</v>
      </c>
      <c r="C208" s="671" t="s">
        <v>2473</v>
      </c>
      <c r="D208" s="671" t="s">
        <v>2234</v>
      </c>
      <c r="E208" s="671" t="s">
        <v>2474</v>
      </c>
      <c r="F208" s="238"/>
      <c r="G208" s="238"/>
      <c r="H208" s="682">
        <v>0</v>
      </c>
      <c r="I208" s="238">
        <v>3</v>
      </c>
      <c r="J208" s="238">
        <v>431.13</v>
      </c>
      <c r="K208" s="682">
        <v>1</v>
      </c>
      <c r="L208" s="238">
        <v>3</v>
      </c>
      <c r="M208" s="713">
        <v>431.13</v>
      </c>
    </row>
    <row r="209" spans="1:13" ht="14.4" customHeight="1" x14ac:dyDescent="0.3">
      <c r="A209" s="680" t="s">
        <v>1929</v>
      </c>
      <c r="B209" s="671" t="s">
        <v>2511</v>
      </c>
      <c r="C209" s="671" t="s">
        <v>2475</v>
      </c>
      <c r="D209" s="671" t="s">
        <v>2476</v>
      </c>
      <c r="E209" s="671" t="s">
        <v>2477</v>
      </c>
      <c r="F209" s="238">
        <v>1</v>
      </c>
      <c r="G209" s="238">
        <v>469.47</v>
      </c>
      <c r="H209" s="682">
        <v>1</v>
      </c>
      <c r="I209" s="238"/>
      <c r="J209" s="238"/>
      <c r="K209" s="682">
        <v>0</v>
      </c>
      <c r="L209" s="238">
        <v>1</v>
      </c>
      <c r="M209" s="713">
        <v>469.47</v>
      </c>
    </row>
    <row r="210" spans="1:13" ht="14.4" customHeight="1" x14ac:dyDescent="0.3">
      <c r="A210" s="680" t="s">
        <v>1929</v>
      </c>
      <c r="B210" s="671" t="s">
        <v>1841</v>
      </c>
      <c r="C210" s="671" t="s">
        <v>2430</v>
      </c>
      <c r="D210" s="671" t="s">
        <v>2431</v>
      </c>
      <c r="E210" s="671" t="s">
        <v>2225</v>
      </c>
      <c r="F210" s="238">
        <v>1</v>
      </c>
      <c r="G210" s="238">
        <v>391.77</v>
      </c>
      <c r="H210" s="682">
        <v>1</v>
      </c>
      <c r="I210" s="238"/>
      <c r="J210" s="238"/>
      <c r="K210" s="682">
        <v>0</v>
      </c>
      <c r="L210" s="238">
        <v>1</v>
      </c>
      <c r="M210" s="713">
        <v>391.77</v>
      </c>
    </row>
    <row r="211" spans="1:13" ht="14.4" customHeight="1" x14ac:dyDescent="0.3">
      <c r="A211" s="680" t="s">
        <v>1929</v>
      </c>
      <c r="B211" s="671" t="s">
        <v>1841</v>
      </c>
      <c r="C211" s="671" t="s">
        <v>1179</v>
      </c>
      <c r="D211" s="671" t="s">
        <v>1184</v>
      </c>
      <c r="E211" s="671" t="s">
        <v>1844</v>
      </c>
      <c r="F211" s="238"/>
      <c r="G211" s="238"/>
      <c r="H211" s="682">
        <v>0</v>
      </c>
      <c r="I211" s="238">
        <v>1</v>
      </c>
      <c r="J211" s="238">
        <v>201.88</v>
      </c>
      <c r="K211" s="682">
        <v>1</v>
      </c>
      <c r="L211" s="238">
        <v>1</v>
      </c>
      <c r="M211" s="713">
        <v>201.88</v>
      </c>
    </row>
    <row r="212" spans="1:13" ht="14.4" customHeight="1" x14ac:dyDescent="0.3">
      <c r="A212" s="680" t="s">
        <v>1929</v>
      </c>
      <c r="B212" s="671" t="s">
        <v>1841</v>
      </c>
      <c r="C212" s="671" t="s">
        <v>2051</v>
      </c>
      <c r="D212" s="671" t="s">
        <v>1977</v>
      </c>
      <c r="E212" s="671" t="s">
        <v>1978</v>
      </c>
      <c r="F212" s="238"/>
      <c r="G212" s="238"/>
      <c r="H212" s="682">
        <v>0</v>
      </c>
      <c r="I212" s="238">
        <v>1</v>
      </c>
      <c r="J212" s="238">
        <v>312.54000000000002</v>
      </c>
      <c r="K212" s="682">
        <v>1</v>
      </c>
      <c r="L212" s="238">
        <v>1</v>
      </c>
      <c r="M212" s="713">
        <v>312.54000000000002</v>
      </c>
    </row>
    <row r="213" spans="1:13" ht="14.4" customHeight="1" x14ac:dyDescent="0.3">
      <c r="A213" s="680" t="s">
        <v>1929</v>
      </c>
      <c r="B213" s="671" t="s">
        <v>1896</v>
      </c>
      <c r="C213" s="671" t="s">
        <v>1531</v>
      </c>
      <c r="D213" s="671" t="s">
        <v>1532</v>
      </c>
      <c r="E213" s="671" t="s">
        <v>1897</v>
      </c>
      <c r="F213" s="238"/>
      <c r="G213" s="238"/>
      <c r="H213" s="682">
        <v>0</v>
      </c>
      <c r="I213" s="238">
        <v>1</v>
      </c>
      <c r="J213" s="238">
        <v>65.069999999999993</v>
      </c>
      <c r="K213" s="682">
        <v>1</v>
      </c>
      <c r="L213" s="238">
        <v>1</v>
      </c>
      <c r="M213" s="713">
        <v>65.069999999999993</v>
      </c>
    </row>
    <row r="214" spans="1:13" ht="14.4" customHeight="1" thickBot="1" x14ac:dyDescent="0.35">
      <c r="A214" s="637" t="s">
        <v>1929</v>
      </c>
      <c r="B214" s="673" t="s">
        <v>1872</v>
      </c>
      <c r="C214" s="673" t="s">
        <v>2158</v>
      </c>
      <c r="D214" s="673" t="s">
        <v>2159</v>
      </c>
      <c r="E214" s="673" t="s">
        <v>1874</v>
      </c>
      <c r="F214" s="674">
        <v>1</v>
      </c>
      <c r="G214" s="674">
        <v>5.37</v>
      </c>
      <c r="H214" s="683">
        <v>1</v>
      </c>
      <c r="I214" s="674"/>
      <c r="J214" s="674"/>
      <c r="K214" s="683">
        <v>0</v>
      </c>
      <c r="L214" s="674">
        <v>1</v>
      </c>
      <c r="M214" s="714">
        <v>5.37</v>
      </c>
    </row>
  </sheetData>
  <autoFilter ref="A5:M1005"/>
  <mergeCells count="4">
    <mergeCell ref="A1:M1"/>
    <mergeCell ref="F4:H4"/>
    <mergeCell ref="I4:K4"/>
    <mergeCell ref="L4:M4"/>
  </mergeCells>
  <hyperlinks>
    <hyperlink ref="A2" location="Obsah!A1" display="Zpět na Obsah  KL 01  1.-4.měsíc"/>
  </hyperlinks>
  <pageMargins left="0.25" right="0.25" top="0.75" bottom="0.75" header="0.3" footer="0.3"/>
  <pageSetup paperSize="9" scale="99" fitToHeight="0" orientation="landscape" r:id="rId1"/>
  <ignoredErrors>
    <ignoredError sqref="H3 K3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3">
    <tabColor theme="3" tint="0.39997558519241921"/>
    <pageSetUpPr fitToPage="1"/>
  </sheetPr>
  <dimension ref="A1:I56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344" bestFit="1" customWidth="1"/>
    <col min="2" max="2" width="9.33203125" style="344" customWidth="1"/>
    <col min="3" max="3" width="28.88671875" style="260" bestFit="1" customWidth="1"/>
    <col min="4" max="5" width="11.109375" style="345" customWidth="1"/>
    <col min="6" max="6" width="6.6640625" style="346" customWidth="1"/>
    <col min="7" max="7" width="12.21875" style="343" bestFit="1" customWidth="1"/>
    <col min="8" max="8" width="0" style="260" hidden="1" customWidth="1"/>
    <col min="9" max="16384" width="8.88671875" style="260"/>
  </cols>
  <sheetData>
    <row r="1" spans="1:9" ht="18.600000000000001" customHeight="1" thickBot="1" x14ac:dyDescent="0.4">
      <c r="A1" s="486" t="s">
        <v>182</v>
      </c>
      <c r="B1" s="487"/>
      <c r="C1" s="487"/>
      <c r="D1" s="487"/>
      <c r="E1" s="487"/>
      <c r="F1" s="487"/>
      <c r="G1" s="463"/>
    </row>
    <row r="2" spans="1:9" ht="14.4" customHeight="1" thickBot="1" x14ac:dyDescent="0.35">
      <c r="A2" s="389" t="s">
        <v>298</v>
      </c>
      <c r="B2" s="342"/>
      <c r="C2" s="342"/>
      <c r="D2" s="342"/>
      <c r="E2" s="342"/>
      <c r="F2" s="342"/>
    </row>
    <row r="3" spans="1:9" ht="14.4" customHeight="1" thickBot="1" x14ac:dyDescent="0.35">
      <c r="A3" s="106" t="s">
        <v>0</v>
      </c>
      <c r="B3" s="107" t="s">
        <v>1</v>
      </c>
      <c r="C3" s="210" t="s">
        <v>2</v>
      </c>
      <c r="D3" s="211" t="s">
        <v>3</v>
      </c>
      <c r="E3" s="211" t="s">
        <v>4</v>
      </c>
      <c r="F3" s="211" t="s">
        <v>5</v>
      </c>
      <c r="G3" s="212" t="s">
        <v>188</v>
      </c>
    </row>
    <row r="4" spans="1:9" ht="14.4" customHeight="1" x14ac:dyDescent="0.3">
      <c r="A4" s="616" t="s">
        <v>534</v>
      </c>
      <c r="B4" s="617" t="s">
        <v>535</v>
      </c>
      <c r="C4" s="618" t="s">
        <v>536</v>
      </c>
      <c r="D4" s="618" t="s">
        <v>535</v>
      </c>
      <c r="E4" s="618" t="s">
        <v>535</v>
      </c>
      <c r="F4" s="619" t="s">
        <v>535</v>
      </c>
      <c r="G4" s="618" t="s">
        <v>535</v>
      </c>
      <c r="H4" s="618" t="s">
        <v>77</v>
      </c>
      <c r="I4"/>
    </row>
    <row r="5" spans="1:9" ht="14.4" customHeight="1" x14ac:dyDescent="0.3">
      <c r="A5" s="616" t="s">
        <v>534</v>
      </c>
      <c r="B5" s="617" t="s">
        <v>2527</v>
      </c>
      <c r="C5" s="618" t="s">
        <v>2528</v>
      </c>
      <c r="D5" s="618">
        <v>197158.81069235221</v>
      </c>
      <c r="E5" s="618">
        <v>750.74</v>
      </c>
      <c r="F5" s="619">
        <v>3.8077933081644482E-3</v>
      </c>
      <c r="G5" s="618">
        <v>-196408.07069235222</v>
      </c>
      <c r="H5" s="618" t="s">
        <v>2</v>
      </c>
      <c r="I5"/>
    </row>
    <row r="6" spans="1:9" ht="14.4" customHeight="1" x14ac:dyDescent="0.3">
      <c r="A6" s="616" t="s">
        <v>534</v>
      </c>
      <c r="B6" s="617" t="s">
        <v>2527</v>
      </c>
      <c r="C6" s="618" t="s">
        <v>2528</v>
      </c>
      <c r="D6" s="618">
        <v>197158.81069235221</v>
      </c>
      <c r="E6" s="618">
        <v>182771.87999999998</v>
      </c>
      <c r="F6" s="619">
        <v>0.92702872044201112</v>
      </c>
      <c r="G6" s="618">
        <v>-14386.930692352238</v>
      </c>
      <c r="H6" s="618" t="s">
        <v>2</v>
      </c>
      <c r="I6"/>
    </row>
    <row r="7" spans="1:9" ht="14.4" customHeight="1" x14ac:dyDescent="0.3">
      <c r="A7" s="616" t="s">
        <v>534</v>
      </c>
      <c r="B7" s="617" t="s">
        <v>2529</v>
      </c>
      <c r="C7" s="618" t="s">
        <v>2530</v>
      </c>
      <c r="D7" s="618">
        <v>168085.60478071283</v>
      </c>
      <c r="E7" s="618">
        <v>102258.70000000001</v>
      </c>
      <c r="F7" s="619">
        <v>0.60837274038671152</v>
      </c>
      <c r="G7" s="618">
        <v>-65826.904780712823</v>
      </c>
      <c r="H7" s="618" t="s">
        <v>2</v>
      </c>
      <c r="I7"/>
    </row>
    <row r="8" spans="1:9" ht="14.4" customHeight="1" x14ac:dyDescent="0.3">
      <c r="A8" s="616" t="s">
        <v>534</v>
      </c>
      <c r="B8" s="617" t="s">
        <v>2531</v>
      </c>
      <c r="C8" s="618" t="s">
        <v>2532</v>
      </c>
      <c r="D8" s="618">
        <v>3610093.8690417404</v>
      </c>
      <c r="E8" s="618">
        <v>3618264.9399999995</v>
      </c>
      <c r="F8" s="619">
        <v>1.0022633957051172</v>
      </c>
      <c r="G8" s="618">
        <v>8171.0709582590498</v>
      </c>
      <c r="H8" s="618" t="s">
        <v>2</v>
      </c>
      <c r="I8"/>
    </row>
    <row r="9" spans="1:9" ht="14.4" customHeight="1" x14ac:dyDescent="0.3">
      <c r="A9" s="616" t="s">
        <v>534</v>
      </c>
      <c r="B9" s="617" t="s">
        <v>2533</v>
      </c>
      <c r="C9" s="618" t="s">
        <v>2534</v>
      </c>
      <c r="D9" s="618">
        <v>257.63795305044431</v>
      </c>
      <c r="E9" s="618">
        <v>181.5</v>
      </c>
      <c r="F9" s="619">
        <v>0.70447695244831865</v>
      </c>
      <c r="G9" s="618">
        <v>-76.13795305044431</v>
      </c>
      <c r="H9" s="618" t="s">
        <v>2</v>
      </c>
      <c r="I9"/>
    </row>
    <row r="10" spans="1:9" ht="14.4" customHeight="1" x14ac:dyDescent="0.3">
      <c r="A10" s="616" t="s">
        <v>534</v>
      </c>
      <c r="B10" s="617" t="s">
        <v>2535</v>
      </c>
      <c r="C10" s="618" t="s">
        <v>2536</v>
      </c>
      <c r="D10" s="618">
        <v>867166.19974973553</v>
      </c>
      <c r="E10" s="618">
        <v>499269.8</v>
      </c>
      <c r="F10" s="619">
        <v>0.57574868594289008</v>
      </c>
      <c r="G10" s="618">
        <v>-367896.39974973554</v>
      </c>
      <c r="H10" s="618" t="s">
        <v>2</v>
      </c>
      <c r="I10"/>
    </row>
    <row r="11" spans="1:9" ht="14.4" customHeight="1" x14ac:dyDescent="0.3">
      <c r="A11" s="616" t="s">
        <v>534</v>
      </c>
      <c r="B11" s="617" t="s">
        <v>2537</v>
      </c>
      <c r="C11" s="618" t="s">
        <v>2538</v>
      </c>
      <c r="D11" s="618">
        <v>494598.53923981957</v>
      </c>
      <c r="E11" s="618">
        <v>470141.45999999996</v>
      </c>
      <c r="F11" s="619">
        <v>0.95055165492924976</v>
      </c>
      <c r="G11" s="618">
        <v>-24457.079239819606</v>
      </c>
      <c r="H11" s="618" t="s">
        <v>2</v>
      </c>
      <c r="I11"/>
    </row>
    <row r="12" spans="1:9" ht="14.4" customHeight="1" x14ac:dyDescent="0.3">
      <c r="A12" s="616" t="s">
        <v>534</v>
      </c>
      <c r="B12" s="617" t="s">
        <v>2539</v>
      </c>
      <c r="C12" s="618" t="s">
        <v>2540</v>
      </c>
      <c r="D12" s="618">
        <v>31999.982769930168</v>
      </c>
      <c r="E12" s="618">
        <v>69907.26999999999</v>
      </c>
      <c r="F12" s="619">
        <v>2.1846033637771409</v>
      </c>
      <c r="G12" s="618">
        <v>37907.287230069822</v>
      </c>
      <c r="H12" s="618" t="s">
        <v>2</v>
      </c>
      <c r="I12"/>
    </row>
    <row r="13" spans="1:9" ht="14.4" customHeight="1" x14ac:dyDescent="0.3">
      <c r="A13" s="616" t="s">
        <v>534</v>
      </c>
      <c r="B13" s="617" t="s">
        <v>2541</v>
      </c>
      <c r="C13" s="618" t="s">
        <v>2542</v>
      </c>
      <c r="D13" s="618">
        <v>184783.79523384021</v>
      </c>
      <c r="E13" s="618">
        <v>175725.76</v>
      </c>
      <c r="F13" s="619">
        <v>0.95098035938499137</v>
      </c>
      <c r="G13" s="618">
        <v>-9058.0352338402008</v>
      </c>
      <c r="H13" s="618" t="s">
        <v>2</v>
      </c>
      <c r="I13"/>
    </row>
    <row r="14" spans="1:9" ht="14.4" customHeight="1" x14ac:dyDescent="0.3">
      <c r="A14" s="616" t="s">
        <v>534</v>
      </c>
      <c r="B14" s="617" t="s">
        <v>2543</v>
      </c>
      <c r="C14" s="618" t="s">
        <v>2544</v>
      </c>
      <c r="D14" s="618">
        <v>348006.08305948664</v>
      </c>
      <c r="E14" s="618">
        <v>252902.65000000005</v>
      </c>
      <c r="F14" s="619">
        <v>0.72671904978387969</v>
      </c>
      <c r="G14" s="618">
        <v>-95103.43305948659</v>
      </c>
      <c r="H14" s="618" t="s">
        <v>2</v>
      </c>
      <c r="I14"/>
    </row>
    <row r="15" spans="1:9" ht="14.4" customHeight="1" x14ac:dyDescent="0.3">
      <c r="A15" s="616" t="s">
        <v>534</v>
      </c>
      <c r="B15" s="617" t="s">
        <v>2545</v>
      </c>
      <c r="C15" s="618" t="s">
        <v>2546</v>
      </c>
      <c r="D15" s="618">
        <v>21093.570353822681</v>
      </c>
      <c r="E15" s="618">
        <v>5684.76</v>
      </c>
      <c r="F15" s="619">
        <v>0.26950202856339966</v>
      </c>
      <c r="G15" s="618">
        <v>-15408.810353822681</v>
      </c>
      <c r="H15" s="618" t="s">
        <v>2</v>
      </c>
      <c r="I15"/>
    </row>
    <row r="16" spans="1:9" ht="14.4" customHeight="1" x14ac:dyDescent="0.3">
      <c r="A16" s="616" t="s">
        <v>534</v>
      </c>
      <c r="B16" s="617" t="s">
        <v>2547</v>
      </c>
      <c r="C16" s="618" t="s">
        <v>2548</v>
      </c>
      <c r="D16" s="618">
        <v>45281.829135572429</v>
      </c>
      <c r="E16" s="618">
        <v>41107.219999999994</v>
      </c>
      <c r="F16" s="619">
        <v>0.90780829274643959</v>
      </c>
      <c r="G16" s="618">
        <v>-4174.6091355724348</v>
      </c>
      <c r="H16" s="618" t="s">
        <v>2</v>
      </c>
      <c r="I16"/>
    </row>
    <row r="17" spans="1:9" ht="14.4" customHeight="1" x14ac:dyDescent="0.3">
      <c r="A17" s="616" t="s">
        <v>534</v>
      </c>
      <c r="B17" s="617" t="s">
        <v>6</v>
      </c>
      <c r="C17" s="618" t="s">
        <v>536</v>
      </c>
      <c r="D17" s="618">
        <v>6000025.9050492132</v>
      </c>
      <c r="E17" s="618">
        <v>5418966.6799999988</v>
      </c>
      <c r="F17" s="619">
        <v>0.90315721394465409</v>
      </c>
      <c r="G17" s="618">
        <v>-581059.22504921444</v>
      </c>
      <c r="H17" s="618" t="s">
        <v>547</v>
      </c>
      <c r="I17"/>
    </row>
    <row r="19" spans="1:9" ht="14.4" customHeight="1" x14ac:dyDescent="0.3">
      <c r="A19" s="616" t="s">
        <v>534</v>
      </c>
      <c r="B19" s="617" t="s">
        <v>535</v>
      </c>
      <c r="C19" s="618" t="s">
        <v>536</v>
      </c>
      <c r="D19" s="618" t="s">
        <v>535</v>
      </c>
      <c r="E19" s="618" t="s">
        <v>535</v>
      </c>
      <c r="F19" s="619" t="s">
        <v>535</v>
      </c>
      <c r="G19" s="618" t="s">
        <v>535</v>
      </c>
      <c r="H19" s="618" t="s">
        <v>77</v>
      </c>
      <c r="I19"/>
    </row>
    <row r="20" spans="1:9" ht="14.4" customHeight="1" x14ac:dyDescent="0.3">
      <c r="A20" s="616" t="s">
        <v>548</v>
      </c>
      <c r="B20" s="617" t="s">
        <v>2527</v>
      </c>
      <c r="C20" s="618" t="s">
        <v>2528</v>
      </c>
      <c r="D20" s="618">
        <v>4187.1205651989167</v>
      </c>
      <c r="E20" s="618">
        <v>3021.74</v>
      </c>
      <c r="F20" s="619">
        <v>0.72167494414062727</v>
      </c>
      <c r="G20" s="618">
        <v>-1165.3805651989169</v>
      </c>
      <c r="H20" s="618" t="s">
        <v>2</v>
      </c>
      <c r="I20"/>
    </row>
    <row r="21" spans="1:9" ht="14.4" customHeight="1" x14ac:dyDescent="0.3">
      <c r="A21" s="616" t="s">
        <v>548</v>
      </c>
      <c r="B21" s="617" t="s">
        <v>2529</v>
      </c>
      <c r="C21" s="618" t="s">
        <v>2530</v>
      </c>
      <c r="D21" s="618">
        <v>39890.410171019168</v>
      </c>
      <c r="E21" s="618">
        <v>17580.510000000002</v>
      </c>
      <c r="F21" s="619">
        <v>0.44072021131465927</v>
      </c>
      <c r="G21" s="618">
        <v>-22309.900171019166</v>
      </c>
      <c r="H21" s="618" t="s">
        <v>2</v>
      </c>
      <c r="I21"/>
    </row>
    <row r="22" spans="1:9" ht="14.4" customHeight="1" x14ac:dyDescent="0.3">
      <c r="A22" s="616" t="s">
        <v>548</v>
      </c>
      <c r="B22" s="617" t="s">
        <v>2531</v>
      </c>
      <c r="C22" s="618" t="s">
        <v>2532</v>
      </c>
      <c r="D22" s="618">
        <v>102944.59851578284</v>
      </c>
      <c r="E22" s="618">
        <v>83444.039999999964</v>
      </c>
      <c r="F22" s="619">
        <v>0.81057230008242576</v>
      </c>
      <c r="G22" s="618">
        <v>-19500.558515782875</v>
      </c>
      <c r="H22" s="618" t="s">
        <v>2</v>
      </c>
      <c r="I22"/>
    </row>
    <row r="23" spans="1:9" ht="14.4" customHeight="1" x14ac:dyDescent="0.3">
      <c r="A23" s="616" t="s">
        <v>548</v>
      </c>
      <c r="B23" s="617" t="s">
        <v>2541</v>
      </c>
      <c r="C23" s="618" t="s">
        <v>2542</v>
      </c>
      <c r="D23" s="618">
        <v>6478.5188497790159</v>
      </c>
      <c r="E23" s="618">
        <v>4592.7</v>
      </c>
      <c r="F23" s="619">
        <v>0.70891203784282542</v>
      </c>
      <c r="G23" s="618">
        <v>-1885.8188497790161</v>
      </c>
      <c r="H23" s="618" t="s">
        <v>2</v>
      </c>
      <c r="I23"/>
    </row>
    <row r="24" spans="1:9" ht="14.4" customHeight="1" x14ac:dyDescent="0.3">
      <c r="A24" s="616" t="s">
        <v>548</v>
      </c>
      <c r="B24" s="617" t="s">
        <v>2545</v>
      </c>
      <c r="C24" s="618" t="s">
        <v>2546</v>
      </c>
      <c r="D24" s="618">
        <v>534.10807518201671</v>
      </c>
      <c r="E24" s="618">
        <v>302</v>
      </c>
      <c r="F24" s="619">
        <v>0.56542863520099851</v>
      </c>
      <c r="G24" s="618">
        <v>-232.10807518201671</v>
      </c>
      <c r="H24" s="618" t="s">
        <v>2</v>
      </c>
      <c r="I24"/>
    </row>
    <row r="25" spans="1:9" ht="14.4" customHeight="1" x14ac:dyDescent="0.3">
      <c r="A25" s="616" t="s">
        <v>548</v>
      </c>
      <c r="B25" s="617" t="s">
        <v>2547</v>
      </c>
      <c r="C25" s="618" t="s">
        <v>2548</v>
      </c>
      <c r="D25" s="618">
        <v>9223.4264978637002</v>
      </c>
      <c r="E25" s="618">
        <v>9168</v>
      </c>
      <c r="F25" s="619">
        <v>0.99399068254335432</v>
      </c>
      <c r="G25" s="618">
        <v>-55.426497863700206</v>
      </c>
      <c r="H25" s="618" t="s">
        <v>2</v>
      </c>
      <c r="I25"/>
    </row>
    <row r="26" spans="1:9" ht="14.4" customHeight="1" x14ac:dyDescent="0.3">
      <c r="A26" s="616" t="s">
        <v>548</v>
      </c>
      <c r="B26" s="617" t="s">
        <v>6</v>
      </c>
      <c r="C26" s="618" t="s">
        <v>549</v>
      </c>
      <c r="D26" s="618">
        <v>164488.89942889576</v>
      </c>
      <c r="E26" s="618">
        <v>118108.98999999996</v>
      </c>
      <c r="F26" s="619">
        <v>0.71803623472510003</v>
      </c>
      <c r="G26" s="618">
        <v>-46379.9094288958</v>
      </c>
      <c r="H26" s="618" t="s">
        <v>550</v>
      </c>
      <c r="I26"/>
    </row>
    <row r="27" spans="1:9" ht="14.4" customHeight="1" x14ac:dyDescent="0.3">
      <c r="A27" s="616" t="s">
        <v>535</v>
      </c>
      <c r="B27" s="617" t="s">
        <v>535</v>
      </c>
      <c r="C27" s="618" t="s">
        <v>535</v>
      </c>
      <c r="D27" s="618" t="s">
        <v>535</v>
      </c>
      <c r="E27" s="618" t="s">
        <v>535</v>
      </c>
      <c r="F27" s="619" t="s">
        <v>535</v>
      </c>
      <c r="G27" s="618" t="s">
        <v>535</v>
      </c>
      <c r="H27" s="618" t="s">
        <v>551</v>
      </c>
      <c r="I27"/>
    </row>
    <row r="28" spans="1:9" ht="14.4" customHeight="1" x14ac:dyDescent="0.3">
      <c r="A28" s="616" t="s">
        <v>552</v>
      </c>
      <c r="B28" s="617" t="s">
        <v>2529</v>
      </c>
      <c r="C28" s="618" t="s">
        <v>2530</v>
      </c>
      <c r="D28" s="618">
        <v>1576.9946971399884</v>
      </c>
      <c r="E28" s="618">
        <v>641.3599999999999</v>
      </c>
      <c r="F28" s="619">
        <v>0.40669762629079215</v>
      </c>
      <c r="G28" s="618">
        <v>-935.63469713998848</v>
      </c>
      <c r="H28" s="618" t="s">
        <v>2</v>
      </c>
      <c r="I28"/>
    </row>
    <row r="29" spans="1:9" ht="14.4" customHeight="1" x14ac:dyDescent="0.3">
      <c r="A29" s="616" t="s">
        <v>552</v>
      </c>
      <c r="B29" s="617" t="s">
        <v>2531</v>
      </c>
      <c r="C29" s="618" t="s">
        <v>2532</v>
      </c>
      <c r="D29" s="618">
        <v>2605.1458878768499</v>
      </c>
      <c r="E29" s="618">
        <v>3044.4300000000003</v>
      </c>
      <c r="F29" s="619">
        <v>1.1686216937667009</v>
      </c>
      <c r="G29" s="618">
        <v>439.28411212315041</v>
      </c>
      <c r="H29" s="618" t="s">
        <v>2</v>
      </c>
      <c r="I29"/>
    </row>
    <row r="30" spans="1:9" ht="14.4" customHeight="1" x14ac:dyDescent="0.3">
      <c r="A30" s="616" t="s">
        <v>552</v>
      </c>
      <c r="B30" s="617" t="s">
        <v>2547</v>
      </c>
      <c r="C30" s="618" t="s">
        <v>2548</v>
      </c>
      <c r="D30" s="618">
        <v>283.62408462876164</v>
      </c>
      <c r="E30" s="618">
        <v>78</v>
      </c>
      <c r="F30" s="619">
        <v>0.27501190564297445</v>
      </c>
      <c r="G30" s="618">
        <v>-205.62408462876164</v>
      </c>
      <c r="H30" s="618" t="s">
        <v>2</v>
      </c>
      <c r="I30"/>
    </row>
    <row r="31" spans="1:9" ht="14.4" customHeight="1" x14ac:dyDescent="0.3">
      <c r="A31" s="616" t="s">
        <v>552</v>
      </c>
      <c r="B31" s="617" t="s">
        <v>6</v>
      </c>
      <c r="C31" s="618" t="s">
        <v>553</v>
      </c>
      <c r="D31" s="618">
        <v>4465.7646696456004</v>
      </c>
      <c r="E31" s="618">
        <v>3763.79</v>
      </c>
      <c r="F31" s="619">
        <v>0.8428097489289984</v>
      </c>
      <c r="G31" s="618">
        <v>-701.97466964560044</v>
      </c>
      <c r="H31" s="618" t="s">
        <v>550</v>
      </c>
      <c r="I31"/>
    </row>
    <row r="32" spans="1:9" ht="14.4" customHeight="1" x14ac:dyDescent="0.3">
      <c r="A32" s="616" t="s">
        <v>535</v>
      </c>
      <c r="B32" s="617" t="s">
        <v>535</v>
      </c>
      <c r="C32" s="618" t="s">
        <v>535</v>
      </c>
      <c r="D32" s="618" t="s">
        <v>535</v>
      </c>
      <c r="E32" s="618" t="s">
        <v>535</v>
      </c>
      <c r="F32" s="619" t="s">
        <v>535</v>
      </c>
      <c r="G32" s="618" t="s">
        <v>535</v>
      </c>
      <c r="H32" s="618" t="s">
        <v>551</v>
      </c>
      <c r="I32"/>
    </row>
    <row r="33" spans="1:9" ht="14.4" customHeight="1" x14ac:dyDescent="0.3">
      <c r="A33" s="616" t="s">
        <v>554</v>
      </c>
      <c r="B33" s="617" t="s">
        <v>2527</v>
      </c>
      <c r="C33" s="618" t="s">
        <v>2528</v>
      </c>
      <c r="D33" s="618">
        <v>178666.37027867499</v>
      </c>
      <c r="E33" s="618">
        <v>178835.38</v>
      </c>
      <c r="F33" s="619">
        <v>1.0009459515020169</v>
      </c>
      <c r="G33" s="618">
        <v>169.00972132501192</v>
      </c>
      <c r="H33" s="618" t="s">
        <v>2</v>
      </c>
      <c r="I33"/>
    </row>
    <row r="34" spans="1:9" ht="14.4" customHeight="1" x14ac:dyDescent="0.3">
      <c r="A34" s="616" t="s">
        <v>554</v>
      </c>
      <c r="B34" s="617" t="s">
        <v>535</v>
      </c>
      <c r="C34" s="618" t="e">
        <v>#N/A</v>
      </c>
      <c r="D34" s="618" t="s">
        <v>535</v>
      </c>
      <c r="E34" s="618" t="s">
        <v>535</v>
      </c>
      <c r="F34" s="619" t="s">
        <v>535</v>
      </c>
      <c r="G34" s="618" t="s">
        <v>535</v>
      </c>
      <c r="H34" s="618" t="s">
        <v>77</v>
      </c>
      <c r="I34"/>
    </row>
    <row r="35" spans="1:9" ht="14.4" customHeight="1" x14ac:dyDescent="0.3">
      <c r="A35" s="616" t="s">
        <v>554</v>
      </c>
      <c r="B35" s="617" t="s">
        <v>2529</v>
      </c>
      <c r="C35" s="618" t="s">
        <v>2530</v>
      </c>
      <c r="D35" s="618">
        <v>62406.811213716835</v>
      </c>
      <c r="E35" s="618">
        <v>20125.259999999998</v>
      </c>
      <c r="F35" s="619">
        <v>0.32248499175962581</v>
      </c>
      <c r="G35" s="618">
        <v>-42281.551213716841</v>
      </c>
      <c r="H35" s="618" t="s">
        <v>2</v>
      </c>
      <c r="I35"/>
    </row>
    <row r="36" spans="1:9" ht="14.4" customHeight="1" x14ac:dyDescent="0.3">
      <c r="A36" s="616" t="s">
        <v>554</v>
      </c>
      <c r="B36" s="617" t="s">
        <v>2531</v>
      </c>
      <c r="C36" s="618" t="s">
        <v>2532</v>
      </c>
      <c r="D36" s="618">
        <v>347605.67400201166</v>
      </c>
      <c r="E36" s="618">
        <v>329211.80999999988</v>
      </c>
      <c r="F36" s="619">
        <v>0.94708410886899008</v>
      </c>
      <c r="G36" s="618">
        <v>-18393.864002011775</v>
      </c>
      <c r="H36" s="618" t="s">
        <v>2</v>
      </c>
      <c r="I36"/>
    </row>
    <row r="37" spans="1:9" ht="14.4" customHeight="1" x14ac:dyDescent="0.3">
      <c r="A37" s="616" t="s">
        <v>554</v>
      </c>
      <c r="B37" s="617" t="s">
        <v>2533</v>
      </c>
      <c r="C37" s="618" t="s">
        <v>2534</v>
      </c>
      <c r="D37" s="618">
        <v>130.33657245887431</v>
      </c>
      <c r="E37" s="618">
        <v>181.5</v>
      </c>
      <c r="F37" s="619">
        <v>1.3925485117177645</v>
      </c>
      <c r="G37" s="618">
        <v>51.163427541125685</v>
      </c>
      <c r="H37" s="618" t="s">
        <v>2</v>
      </c>
      <c r="I37"/>
    </row>
    <row r="38" spans="1:9" ht="14.4" customHeight="1" x14ac:dyDescent="0.3">
      <c r="A38" s="616" t="s">
        <v>554</v>
      </c>
      <c r="B38" s="617" t="s">
        <v>2537</v>
      </c>
      <c r="C38" s="618" t="s">
        <v>2538</v>
      </c>
      <c r="D38" s="618">
        <v>54432.109576346171</v>
      </c>
      <c r="E38" s="618">
        <v>22417.730000000003</v>
      </c>
      <c r="F38" s="619">
        <v>0.41184753217321152</v>
      </c>
      <c r="G38" s="618">
        <v>-32014.379576346168</v>
      </c>
      <c r="H38" s="618" t="s">
        <v>2</v>
      </c>
      <c r="I38"/>
    </row>
    <row r="39" spans="1:9" ht="14.4" customHeight="1" x14ac:dyDescent="0.3">
      <c r="A39" s="616" t="s">
        <v>554</v>
      </c>
      <c r="B39" s="617" t="s">
        <v>2541</v>
      </c>
      <c r="C39" s="618" t="s">
        <v>2542</v>
      </c>
      <c r="D39" s="618">
        <v>25049.043303145332</v>
      </c>
      <c r="E39" s="618">
        <v>41812.5</v>
      </c>
      <c r="F39" s="619">
        <v>1.6692254268549143</v>
      </c>
      <c r="G39" s="618">
        <v>16763.456696854668</v>
      </c>
      <c r="H39" s="618" t="s">
        <v>2</v>
      </c>
      <c r="I39"/>
    </row>
    <row r="40" spans="1:9" ht="14.4" customHeight="1" x14ac:dyDescent="0.3">
      <c r="A40" s="616" t="s">
        <v>554</v>
      </c>
      <c r="B40" s="617" t="s">
        <v>2545</v>
      </c>
      <c r="C40" s="618" t="s">
        <v>2546</v>
      </c>
      <c r="D40" s="618">
        <v>2213.9953904098334</v>
      </c>
      <c r="E40" s="618">
        <v>3978.25</v>
      </c>
      <c r="F40" s="619">
        <v>1.7968646263818937</v>
      </c>
      <c r="G40" s="618">
        <v>1764.2546095901666</v>
      </c>
      <c r="H40" s="618" t="s">
        <v>2</v>
      </c>
      <c r="I40"/>
    </row>
    <row r="41" spans="1:9" ht="14.4" customHeight="1" x14ac:dyDescent="0.3">
      <c r="A41" s="616" t="s">
        <v>554</v>
      </c>
      <c r="B41" s="617" t="s">
        <v>2547</v>
      </c>
      <c r="C41" s="618" t="s">
        <v>2548</v>
      </c>
      <c r="D41" s="618">
        <v>22063.333895374166</v>
      </c>
      <c r="E41" s="618">
        <v>20825</v>
      </c>
      <c r="F41" s="619">
        <v>0.94387367288885582</v>
      </c>
      <c r="G41" s="618">
        <v>-1238.3338953741659</v>
      </c>
      <c r="H41" s="618" t="s">
        <v>2</v>
      </c>
      <c r="I41"/>
    </row>
    <row r="42" spans="1:9" ht="14.4" customHeight="1" x14ac:dyDescent="0.3">
      <c r="A42" s="616" t="s">
        <v>554</v>
      </c>
      <c r="B42" s="617" t="s">
        <v>6</v>
      </c>
      <c r="C42" s="618" t="s">
        <v>555</v>
      </c>
      <c r="D42" s="618">
        <v>692567.67423213797</v>
      </c>
      <c r="E42" s="618">
        <v>618138.16999999993</v>
      </c>
      <c r="F42" s="619">
        <v>0.89253107385547648</v>
      </c>
      <c r="G42" s="618">
        <v>-74429.504232138046</v>
      </c>
      <c r="H42" s="618" t="s">
        <v>550</v>
      </c>
      <c r="I42"/>
    </row>
    <row r="43" spans="1:9" ht="14.4" customHeight="1" x14ac:dyDescent="0.3">
      <c r="A43" s="616" t="s">
        <v>535</v>
      </c>
      <c r="B43" s="617" t="s">
        <v>535</v>
      </c>
      <c r="C43" s="618" t="s">
        <v>535</v>
      </c>
      <c r="D43" s="618" t="s">
        <v>535</v>
      </c>
      <c r="E43" s="618" t="s">
        <v>535</v>
      </c>
      <c r="F43" s="619" t="s">
        <v>535</v>
      </c>
      <c r="G43" s="618" t="s">
        <v>535</v>
      </c>
      <c r="H43" s="618" t="s">
        <v>551</v>
      </c>
      <c r="I43"/>
    </row>
    <row r="44" spans="1:9" ht="14.4" customHeight="1" x14ac:dyDescent="0.3">
      <c r="A44" s="616" t="s">
        <v>556</v>
      </c>
      <c r="B44" s="617" t="s">
        <v>2527</v>
      </c>
      <c r="C44" s="618" t="s">
        <v>2528</v>
      </c>
      <c r="D44" s="618">
        <v>14305.319848478315</v>
      </c>
      <c r="E44" s="618">
        <v>914.76</v>
      </c>
      <c r="F44" s="619">
        <v>6.3945441953701221E-2</v>
      </c>
      <c r="G44" s="618">
        <v>-13390.559848478315</v>
      </c>
      <c r="H44" s="618" t="s">
        <v>2</v>
      </c>
      <c r="I44"/>
    </row>
    <row r="45" spans="1:9" ht="14.4" customHeight="1" x14ac:dyDescent="0.3">
      <c r="A45" s="616" t="s">
        <v>556</v>
      </c>
      <c r="B45" s="617" t="s">
        <v>2529</v>
      </c>
      <c r="C45" s="618" t="s">
        <v>2530</v>
      </c>
      <c r="D45" s="618">
        <v>64211.388698836839</v>
      </c>
      <c r="E45" s="618">
        <v>63911.57</v>
      </c>
      <c r="F45" s="619">
        <v>0.99533075510571745</v>
      </c>
      <c r="G45" s="618">
        <v>-299.81869883683976</v>
      </c>
      <c r="H45" s="618" t="s">
        <v>2</v>
      </c>
      <c r="I45"/>
    </row>
    <row r="46" spans="1:9" ht="14.4" customHeight="1" x14ac:dyDescent="0.3">
      <c r="A46" s="616" t="s">
        <v>556</v>
      </c>
      <c r="B46" s="617" t="s">
        <v>2531</v>
      </c>
      <c r="C46" s="618" t="s">
        <v>2532</v>
      </c>
      <c r="D46" s="618">
        <v>3098480.2543581999</v>
      </c>
      <c r="E46" s="618">
        <v>3202564.6600000015</v>
      </c>
      <c r="F46" s="619">
        <v>1.0335920829236851</v>
      </c>
      <c r="G46" s="618">
        <v>104084.40564180166</v>
      </c>
      <c r="H46" s="618" t="s">
        <v>2</v>
      </c>
      <c r="I46"/>
    </row>
    <row r="47" spans="1:9" ht="14.4" customHeight="1" x14ac:dyDescent="0.3">
      <c r="A47" s="616" t="s">
        <v>556</v>
      </c>
      <c r="B47" s="617" t="s">
        <v>2535</v>
      </c>
      <c r="C47" s="618" t="s">
        <v>2536</v>
      </c>
      <c r="D47" s="618">
        <v>865999.53371124843</v>
      </c>
      <c r="E47" s="618">
        <v>499269.8</v>
      </c>
      <c r="F47" s="619">
        <v>0.57652432889931815</v>
      </c>
      <c r="G47" s="618">
        <v>-366729.73371124844</v>
      </c>
      <c r="H47" s="618" t="s">
        <v>2</v>
      </c>
      <c r="I47"/>
    </row>
    <row r="48" spans="1:9" ht="14.4" customHeight="1" x14ac:dyDescent="0.3">
      <c r="A48" s="616" t="s">
        <v>556</v>
      </c>
      <c r="B48" s="617" t="s">
        <v>2537</v>
      </c>
      <c r="C48" s="618" t="s">
        <v>2538</v>
      </c>
      <c r="D48" s="618">
        <v>440166.42966347333</v>
      </c>
      <c r="E48" s="618">
        <v>447723.73</v>
      </c>
      <c r="F48" s="619">
        <v>1.0171691883506531</v>
      </c>
      <c r="G48" s="618">
        <v>7557.3003365266486</v>
      </c>
      <c r="H48" s="618" t="s">
        <v>2</v>
      </c>
      <c r="I48"/>
    </row>
    <row r="49" spans="1:9" ht="14.4" customHeight="1" x14ac:dyDescent="0.3">
      <c r="A49" s="616" t="s">
        <v>556</v>
      </c>
      <c r="B49" s="617" t="s">
        <v>2539</v>
      </c>
      <c r="C49" s="618" t="s">
        <v>2540</v>
      </c>
      <c r="D49" s="618">
        <v>31999.982769930168</v>
      </c>
      <c r="E49" s="618">
        <v>69907.26999999999</v>
      </c>
      <c r="F49" s="619">
        <v>2.1846033637771409</v>
      </c>
      <c r="G49" s="618">
        <v>37907.287230069822</v>
      </c>
      <c r="H49" s="618" t="s">
        <v>2</v>
      </c>
      <c r="I49"/>
    </row>
    <row r="50" spans="1:9" ht="14.4" customHeight="1" x14ac:dyDescent="0.3">
      <c r="A50" s="616" t="s">
        <v>556</v>
      </c>
      <c r="B50" s="617" t="s">
        <v>2541</v>
      </c>
      <c r="C50" s="618" t="s">
        <v>2542</v>
      </c>
      <c r="D50" s="618">
        <v>153256.23308091584</v>
      </c>
      <c r="E50" s="618">
        <v>129320.56000000001</v>
      </c>
      <c r="F50" s="619">
        <v>0.84381925224353949</v>
      </c>
      <c r="G50" s="618">
        <v>-23935.673080915833</v>
      </c>
      <c r="H50" s="618" t="s">
        <v>2</v>
      </c>
      <c r="I50"/>
    </row>
    <row r="51" spans="1:9" ht="14.4" customHeight="1" x14ac:dyDescent="0.3">
      <c r="A51" s="616" t="s">
        <v>556</v>
      </c>
      <c r="B51" s="617" t="s">
        <v>2543</v>
      </c>
      <c r="C51" s="618" t="s">
        <v>2544</v>
      </c>
      <c r="D51" s="618">
        <v>348006.08305948664</v>
      </c>
      <c r="E51" s="618">
        <v>252902.65000000005</v>
      </c>
      <c r="F51" s="619">
        <v>0.72671904978387969</v>
      </c>
      <c r="G51" s="618">
        <v>-95103.43305948659</v>
      </c>
      <c r="H51" s="618" t="s">
        <v>2</v>
      </c>
      <c r="I51"/>
    </row>
    <row r="52" spans="1:9" ht="14.4" customHeight="1" x14ac:dyDescent="0.3">
      <c r="A52" s="616" t="s">
        <v>556</v>
      </c>
      <c r="B52" s="617" t="s">
        <v>2545</v>
      </c>
      <c r="C52" s="618" t="s">
        <v>2546</v>
      </c>
      <c r="D52" s="618">
        <v>18345.466888230832</v>
      </c>
      <c r="E52" s="618">
        <v>1404.51</v>
      </c>
      <c r="F52" s="619">
        <v>7.6558967321842072E-2</v>
      </c>
      <c r="G52" s="618">
        <v>-16940.956888230834</v>
      </c>
      <c r="H52" s="618" t="s">
        <v>2</v>
      </c>
      <c r="I52"/>
    </row>
    <row r="53" spans="1:9" ht="14.4" customHeight="1" x14ac:dyDescent="0.3">
      <c r="A53" s="616" t="s">
        <v>556</v>
      </c>
      <c r="B53" s="617" t="s">
        <v>2547</v>
      </c>
      <c r="C53" s="618" t="s">
        <v>2548</v>
      </c>
      <c r="D53" s="618">
        <v>13711.444657705799</v>
      </c>
      <c r="E53" s="618">
        <v>11036.220000000001</v>
      </c>
      <c r="F53" s="619">
        <v>0.80489111654603607</v>
      </c>
      <c r="G53" s="618">
        <v>-2675.2246577057977</v>
      </c>
      <c r="H53" s="618" t="s">
        <v>2</v>
      </c>
      <c r="I53"/>
    </row>
    <row r="54" spans="1:9" ht="14.4" customHeight="1" x14ac:dyDescent="0.3">
      <c r="A54" s="616" t="s">
        <v>556</v>
      </c>
      <c r="B54" s="617" t="s">
        <v>6</v>
      </c>
      <c r="C54" s="618" t="s">
        <v>557</v>
      </c>
      <c r="D54" s="618">
        <v>5080045.3704406647</v>
      </c>
      <c r="E54" s="618">
        <v>4678955.7300000004</v>
      </c>
      <c r="F54" s="619">
        <v>0.92104605152259256</v>
      </c>
      <c r="G54" s="618">
        <v>-401089.64044066425</v>
      </c>
      <c r="H54" s="618" t="s">
        <v>550</v>
      </c>
      <c r="I54"/>
    </row>
    <row r="55" spans="1:9" ht="14.4" customHeight="1" x14ac:dyDescent="0.3">
      <c r="A55" s="616" t="s">
        <v>535</v>
      </c>
      <c r="B55" s="617" t="s">
        <v>535</v>
      </c>
      <c r="C55" s="618" t="s">
        <v>535</v>
      </c>
      <c r="D55" s="618" t="s">
        <v>535</v>
      </c>
      <c r="E55" s="618" t="s">
        <v>535</v>
      </c>
      <c r="F55" s="619" t="s">
        <v>535</v>
      </c>
      <c r="G55" s="618" t="s">
        <v>535</v>
      </c>
      <c r="H55" s="618" t="s">
        <v>551</v>
      </c>
      <c r="I55"/>
    </row>
    <row r="56" spans="1:9" ht="14.4" customHeight="1" x14ac:dyDescent="0.3">
      <c r="A56" s="616" t="s">
        <v>534</v>
      </c>
      <c r="B56" s="617" t="s">
        <v>6</v>
      </c>
      <c r="C56" s="618" t="s">
        <v>536</v>
      </c>
      <c r="D56" s="618">
        <v>6000025.9050492132</v>
      </c>
      <c r="E56" s="618">
        <v>5418966.6799999997</v>
      </c>
      <c r="F56" s="619">
        <v>0.9031572139446542</v>
      </c>
      <c r="G56" s="618">
        <v>-581059.22504921351</v>
      </c>
      <c r="H56" s="618" t="s">
        <v>547</v>
      </c>
      <c r="I56"/>
    </row>
  </sheetData>
  <autoFilter ref="A3:G3"/>
  <mergeCells count="1">
    <mergeCell ref="A1:G1"/>
  </mergeCells>
  <conditionalFormatting sqref="F18 F57:F65536">
    <cfRule type="cellIs" dxfId="33" priority="15" stopIfTrue="1" operator="greaterThan">
      <formula>1</formula>
    </cfRule>
  </conditionalFormatting>
  <conditionalFormatting sqref="G4:G17">
    <cfRule type="cellIs" dxfId="32" priority="9" operator="greaterThan">
      <formula>0</formula>
    </cfRule>
  </conditionalFormatting>
  <conditionalFormatting sqref="B4:B17">
    <cfRule type="expression" dxfId="31" priority="12">
      <formula>AND(LEFT(H4,6)&lt;&gt;"mezera",H4&lt;&gt;"")</formula>
    </cfRule>
  </conditionalFormatting>
  <conditionalFormatting sqref="A4:A17">
    <cfRule type="expression" dxfId="30" priority="10">
      <formula>AND(H4&lt;&gt;"",H4&lt;&gt;"mezeraKL")</formula>
    </cfRule>
  </conditionalFormatting>
  <conditionalFormatting sqref="F4:F17">
    <cfRule type="cellIs" dxfId="29" priority="8" operator="greaterThan">
      <formula>1</formula>
    </cfRule>
  </conditionalFormatting>
  <conditionalFormatting sqref="B4:G17">
    <cfRule type="expression" dxfId="28" priority="11">
      <formula>OR($H4="KL",$H4="SumaKL")</formula>
    </cfRule>
    <cfRule type="expression" dxfId="27" priority="13">
      <formula>$H4="SumaNS"</formula>
    </cfRule>
  </conditionalFormatting>
  <conditionalFormatting sqref="A4:G17">
    <cfRule type="expression" dxfId="26" priority="14">
      <formula>$H4&lt;&gt;""</formula>
    </cfRule>
  </conditionalFormatting>
  <conditionalFormatting sqref="G19:G56">
    <cfRule type="cellIs" dxfId="25" priority="1" operator="greaterThan">
      <formula>0</formula>
    </cfRule>
  </conditionalFormatting>
  <conditionalFormatting sqref="F19:F56">
    <cfRule type="cellIs" dxfId="24" priority="2" operator="greaterThan">
      <formula>1</formula>
    </cfRule>
  </conditionalFormatting>
  <conditionalFormatting sqref="B19:B56">
    <cfRule type="expression" dxfId="23" priority="5">
      <formula>AND(LEFT(H19,6)&lt;&gt;"mezera",H19&lt;&gt;"")</formula>
    </cfRule>
  </conditionalFormatting>
  <conditionalFormatting sqref="A19:A56">
    <cfRule type="expression" dxfId="22" priority="3">
      <formula>AND(H19&lt;&gt;"",H19&lt;&gt;"mezeraKL")</formula>
    </cfRule>
  </conditionalFormatting>
  <conditionalFormatting sqref="B19:G56">
    <cfRule type="expression" dxfId="21" priority="4">
      <formula>OR($H19="KL",$H19="SumaKL")</formula>
    </cfRule>
    <cfRule type="expression" dxfId="20" priority="6">
      <formula>$H19="SumaNS"</formula>
    </cfRule>
  </conditionalFormatting>
  <conditionalFormatting sqref="A19:G56">
    <cfRule type="expression" dxfId="19" priority="7">
      <formula>$H19&lt;&gt;""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483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260" hidden="1" customWidth="1" outlineLevel="1"/>
    <col min="2" max="2" width="28.33203125" style="260" hidden="1" customWidth="1" outlineLevel="1"/>
    <col min="3" max="3" width="5.33203125" style="345" bestFit="1" customWidth="1" collapsed="1"/>
    <col min="4" max="4" width="18.77734375" style="349" customWidth="1"/>
    <col min="5" max="5" width="9" style="345" bestFit="1" customWidth="1"/>
    <col min="6" max="6" width="18.77734375" style="349" customWidth="1"/>
    <col min="7" max="7" width="12.44140625" style="345" hidden="1" customWidth="1" outlineLevel="1"/>
    <col min="8" max="8" width="25.77734375" style="345" customWidth="1" collapsed="1"/>
    <col min="9" max="9" width="7.77734375" style="343" customWidth="1"/>
    <col min="10" max="10" width="10" style="343" customWidth="1"/>
    <col min="11" max="11" width="11.109375" style="343" customWidth="1"/>
    <col min="12" max="16384" width="8.88671875" style="260"/>
  </cols>
  <sheetData>
    <row r="1" spans="1:11" ht="18.600000000000001" customHeight="1" thickBot="1" x14ac:dyDescent="0.4">
      <c r="A1" s="492" t="s">
        <v>3295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</row>
    <row r="2" spans="1:11" ht="14.4" customHeight="1" thickBot="1" x14ac:dyDescent="0.35">
      <c r="A2" s="389" t="s">
        <v>298</v>
      </c>
      <c r="B2" s="66"/>
      <c r="C2" s="347"/>
      <c r="D2" s="347"/>
      <c r="E2" s="347"/>
      <c r="F2" s="347"/>
      <c r="G2" s="347"/>
      <c r="H2" s="347"/>
      <c r="I2" s="348"/>
      <c r="J2" s="348"/>
      <c r="K2" s="348"/>
    </row>
    <row r="3" spans="1:11" ht="14.4" customHeight="1" thickBot="1" x14ac:dyDescent="0.35">
      <c r="A3" s="66"/>
      <c r="B3" s="66"/>
      <c r="C3" s="488"/>
      <c r="D3" s="489"/>
      <c r="E3" s="489"/>
      <c r="F3" s="489"/>
      <c r="G3" s="489"/>
      <c r="H3" s="273" t="s">
        <v>163</v>
      </c>
      <c r="I3" s="213">
        <f>IF(J3&lt;&gt;0,K3/J3,0)</f>
        <v>39.895212250607365</v>
      </c>
      <c r="J3" s="213">
        <f>SUBTOTAL(9,J5:J1048576)</f>
        <v>135830</v>
      </c>
      <c r="K3" s="214">
        <f>SUBTOTAL(9,K5:K1048576)</f>
        <v>5418966.6799999988</v>
      </c>
    </row>
    <row r="4" spans="1:11" s="344" customFormat="1" ht="14.4" customHeight="1" thickBot="1" x14ac:dyDescent="0.35">
      <c r="A4" s="720" t="s">
        <v>7</v>
      </c>
      <c r="B4" s="721" t="s">
        <v>8</v>
      </c>
      <c r="C4" s="721" t="s">
        <v>0</v>
      </c>
      <c r="D4" s="721" t="s">
        <v>9</v>
      </c>
      <c r="E4" s="721" t="s">
        <v>10</v>
      </c>
      <c r="F4" s="721" t="s">
        <v>2</v>
      </c>
      <c r="G4" s="721" t="s">
        <v>93</v>
      </c>
      <c r="H4" s="622" t="s">
        <v>14</v>
      </c>
      <c r="I4" s="623" t="s">
        <v>189</v>
      </c>
      <c r="J4" s="623" t="s">
        <v>16</v>
      </c>
      <c r="K4" s="624" t="s">
        <v>206</v>
      </c>
    </row>
    <row r="5" spans="1:11" ht="14.4" customHeight="1" x14ac:dyDescent="0.3">
      <c r="A5" s="696" t="s">
        <v>534</v>
      </c>
      <c r="B5" s="697" t="s">
        <v>536</v>
      </c>
      <c r="C5" s="700" t="s">
        <v>548</v>
      </c>
      <c r="D5" s="722" t="s">
        <v>549</v>
      </c>
      <c r="E5" s="700" t="s">
        <v>2529</v>
      </c>
      <c r="F5" s="722" t="s">
        <v>2530</v>
      </c>
      <c r="G5" s="700" t="s">
        <v>2549</v>
      </c>
      <c r="H5" s="700" t="s">
        <v>2550</v>
      </c>
      <c r="I5" s="235">
        <v>0.39500000000000002</v>
      </c>
      <c r="J5" s="235">
        <v>400</v>
      </c>
      <c r="K5" s="712">
        <v>158</v>
      </c>
    </row>
    <row r="6" spans="1:11" ht="14.4" customHeight="1" x14ac:dyDescent="0.3">
      <c r="A6" s="680" t="s">
        <v>534</v>
      </c>
      <c r="B6" s="671" t="s">
        <v>536</v>
      </c>
      <c r="C6" s="705" t="s">
        <v>548</v>
      </c>
      <c r="D6" s="723" t="s">
        <v>549</v>
      </c>
      <c r="E6" s="705" t="s">
        <v>2529</v>
      </c>
      <c r="F6" s="723" t="s">
        <v>2530</v>
      </c>
      <c r="G6" s="705" t="s">
        <v>2551</v>
      </c>
      <c r="H6" s="705" t="s">
        <v>2552</v>
      </c>
      <c r="I6" s="238">
        <v>2.39</v>
      </c>
      <c r="J6" s="238">
        <v>40</v>
      </c>
      <c r="K6" s="713">
        <v>95.6</v>
      </c>
    </row>
    <row r="7" spans="1:11" ht="14.4" customHeight="1" x14ac:dyDescent="0.3">
      <c r="A7" s="680" t="s">
        <v>534</v>
      </c>
      <c r="B7" s="671" t="s">
        <v>536</v>
      </c>
      <c r="C7" s="705" t="s">
        <v>548</v>
      </c>
      <c r="D7" s="723" t="s">
        <v>549</v>
      </c>
      <c r="E7" s="705" t="s">
        <v>2529</v>
      </c>
      <c r="F7" s="723" t="s">
        <v>2530</v>
      </c>
      <c r="G7" s="705" t="s">
        <v>2553</v>
      </c>
      <c r="H7" s="705" t="s">
        <v>2554</v>
      </c>
      <c r="I7" s="238">
        <v>3.79</v>
      </c>
      <c r="J7" s="238">
        <v>20</v>
      </c>
      <c r="K7" s="713">
        <v>75.8</v>
      </c>
    </row>
    <row r="8" spans="1:11" ht="14.4" customHeight="1" x14ac:dyDescent="0.3">
      <c r="A8" s="680" t="s">
        <v>534</v>
      </c>
      <c r="B8" s="671" t="s">
        <v>536</v>
      </c>
      <c r="C8" s="705" t="s">
        <v>548</v>
      </c>
      <c r="D8" s="723" t="s">
        <v>549</v>
      </c>
      <c r="E8" s="705" t="s">
        <v>2529</v>
      </c>
      <c r="F8" s="723" t="s">
        <v>2530</v>
      </c>
      <c r="G8" s="705" t="s">
        <v>2555</v>
      </c>
      <c r="H8" s="705" t="s">
        <v>2556</v>
      </c>
      <c r="I8" s="238">
        <v>27.365000000000002</v>
      </c>
      <c r="J8" s="238">
        <v>48</v>
      </c>
      <c r="K8" s="713">
        <v>1313.52</v>
      </c>
    </row>
    <row r="9" spans="1:11" ht="14.4" customHeight="1" x14ac:dyDescent="0.3">
      <c r="A9" s="680" t="s">
        <v>534</v>
      </c>
      <c r="B9" s="671" t="s">
        <v>536</v>
      </c>
      <c r="C9" s="705" t="s">
        <v>548</v>
      </c>
      <c r="D9" s="723" t="s">
        <v>549</v>
      </c>
      <c r="E9" s="705" t="s">
        <v>2529</v>
      </c>
      <c r="F9" s="723" t="s">
        <v>2530</v>
      </c>
      <c r="G9" s="705" t="s">
        <v>2557</v>
      </c>
      <c r="H9" s="705" t="s">
        <v>2558</v>
      </c>
      <c r="I9" s="238">
        <v>0.83499999999999996</v>
      </c>
      <c r="J9" s="238">
        <v>900</v>
      </c>
      <c r="K9" s="713">
        <v>753</v>
      </c>
    </row>
    <row r="10" spans="1:11" ht="14.4" customHeight="1" x14ac:dyDescent="0.3">
      <c r="A10" s="680" t="s">
        <v>534</v>
      </c>
      <c r="B10" s="671" t="s">
        <v>536</v>
      </c>
      <c r="C10" s="705" t="s">
        <v>548</v>
      </c>
      <c r="D10" s="723" t="s">
        <v>549</v>
      </c>
      <c r="E10" s="705" t="s">
        <v>2529</v>
      </c>
      <c r="F10" s="723" t="s">
        <v>2530</v>
      </c>
      <c r="G10" s="705" t="s">
        <v>2559</v>
      </c>
      <c r="H10" s="705" t="s">
        <v>2560</v>
      </c>
      <c r="I10" s="238">
        <v>1.42</v>
      </c>
      <c r="J10" s="238">
        <v>200</v>
      </c>
      <c r="K10" s="713">
        <v>284</v>
      </c>
    </row>
    <row r="11" spans="1:11" ht="14.4" customHeight="1" x14ac:dyDescent="0.3">
      <c r="A11" s="680" t="s">
        <v>534</v>
      </c>
      <c r="B11" s="671" t="s">
        <v>536</v>
      </c>
      <c r="C11" s="705" t="s">
        <v>548</v>
      </c>
      <c r="D11" s="723" t="s">
        <v>549</v>
      </c>
      <c r="E11" s="705" t="s">
        <v>2529</v>
      </c>
      <c r="F11" s="723" t="s">
        <v>2530</v>
      </c>
      <c r="G11" s="705" t="s">
        <v>2561</v>
      </c>
      <c r="H11" s="705" t="s">
        <v>2562</v>
      </c>
      <c r="I11" s="238">
        <v>10.56</v>
      </c>
      <c r="J11" s="238">
        <v>100</v>
      </c>
      <c r="K11" s="713">
        <v>1056</v>
      </c>
    </row>
    <row r="12" spans="1:11" ht="14.4" customHeight="1" x14ac:dyDescent="0.3">
      <c r="A12" s="680" t="s">
        <v>534</v>
      </c>
      <c r="B12" s="671" t="s">
        <v>536</v>
      </c>
      <c r="C12" s="705" t="s">
        <v>548</v>
      </c>
      <c r="D12" s="723" t="s">
        <v>549</v>
      </c>
      <c r="E12" s="705" t="s">
        <v>2529</v>
      </c>
      <c r="F12" s="723" t="s">
        <v>2530</v>
      </c>
      <c r="G12" s="705" t="s">
        <v>2563</v>
      </c>
      <c r="H12" s="705" t="s">
        <v>2564</v>
      </c>
      <c r="I12" s="238">
        <v>61.21</v>
      </c>
      <c r="J12" s="238">
        <v>1</v>
      </c>
      <c r="K12" s="713">
        <v>61.21</v>
      </c>
    </row>
    <row r="13" spans="1:11" ht="14.4" customHeight="1" x14ac:dyDescent="0.3">
      <c r="A13" s="680" t="s">
        <v>534</v>
      </c>
      <c r="B13" s="671" t="s">
        <v>536</v>
      </c>
      <c r="C13" s="705" t="s">
        <v>548</v>
      </c>
      <c r="D13" s="723" t="s">
        <v>549</v>
      </c>
      <c r="E13" s="705" t="s">
        <v>2529</v>
      </c>
      <c r="F13" s="723" t="s">
        <v>2530</v>
      </c>
      <c r="G13" s="705" t="s">
        <v>2565</v>
      </c>
      <c r="H13" s="705" t="s">
        <v>2566</v>
      </c>
      <c r="I13" s="238">
        <v>22.15</v>
      </c>
      <c r="J13" s="238">
        <v>50</v>
      </c>
      <c r="K13" s="713">
        <v>1107.5</v>
      </c>
    </row>
    <row r="14" spans="1:11" ht="14.4" customHeight="1" x14ac:dyDescent="0.3">
      <c r="A14" s="680" t="s">
        <v>534</v>
      </c>
      <c r="B14" s="671" t="s">
        <v>536</v>
      </c>
      <c r="C14" s="705" t="s">
        <v>548</v>
      </c>
      <c r="D14" s="723" t="s">
        <v>549</v>
      </c>
      <c r="E14" s="705" t="s">
        <v>2529</v>
      </c>
      <c r="F14" s="723" t="s">
        <v>2530</v>
      </c>
      <c r="G14" s="705" t="s">
        <v>2567</v>
      </c>
      <c r="H14" s="705" t="s">
        <v>2568</v>
      </c>
      <c r="I14" s="238">
        <v>1.38</v>
      </c>
      <c r="J14" s="238">
        <v>300</v>
      </c>
      <c r="K14" s="713">
        <v>414</v>
      </c>
    </row>
    <row r="15" spans="1:11" ht="14.4" customHeight="1" x14ac:dyDescent="0.3">
      <c r="A15" s="680" t="s">
        <v>534</v>
      </c>
      <c r="B15" s="671" t="s">
        <v>536</v>
      </c>
      <c r="C15" s="705" t="s">
        <v>548</v>
      </c>
      <c r="D15" s="723" t="s">
        <v>549</v>
      </c>
      <c r="E15" s="705" t="s">
        <v>2529</v>
      </c>
      <c r="F15" s="723" t="s">
        <v>2530</v>
      </c>
      <c r="G15" s="705" t="s">
        <v>2569</v>
      </c>
      <c r="H15" s="705" t="s">
        <v>2570</v>
      </c>
      <c r="I15" s="238">
        <v>0.6</v>
      </c>
      <c r="J15" s="238">
        <v>2500</v>
      </c>
      <c r="K15" s="713">
        <v>1500</v>
      </c>
    </row>
    <row r="16" spans="1:11" ht="14.4" customHeight="1" x14ac:dyDescent="0.3">
      <c r="A16" s="680" t="s">
        <v>534</v>
      </c>
      <c r="B16" s="671" t="s">
        <v>536</v>
      </c>
      <c r="C16" s="705" t="s">
        <v>548</v>
      </c>
      <c r="D16" s="723" t="s">
        <v>549</v>
      </c>
      <c r="E16" s="705" t="s">
        <v>2529</v>
      </c>
      <c r="F16" s="723" t="s">
        <v>2530</v>
      </c>
      <c r="G16" s="705" t="s">
        <v>2571</v>
      </c>
      <c r="H16" s="705" t="s">
        <v>2572</v>
      </c>
      <c r="I16" s="238">
        <v>3.25</v>
      </c>
      <c r="J16" s="238">
        <v>100</v>
      </c>
      <c r="K16" s="713">
        <v>325</v>
      </c>
    </row>
    <row r="17" spans="1:11" ht="14.4" customHeight="1" x14ac:dyDescent="0.3">
      <c r="A17" s="680" t="s">
        <v>534</v>
      </c>
      <c r="B17" s="671" t="s">
        <v>536</v>
      </c>
      <c r="C17" s="705" t="s">
        <v>548</v>
      </c>
      <c r="D17" s="723" t="s">
        <v>549</v>
      </c>
      <c r="E17" s="705" t="s">
        <v>2529</v>
      </c>
      <c r="F17" s="723" t="s">
        <v>2530</v>
      </c>
      <c r="G17" s="705" t="s">
        <v>2573</v>
      </c>
      <c r="H17" s="705" t="s">
        <v>2574</v>
      </c>
      <c r="I17" s="238">
        <v>0.44</v>
      </c>
      <c r="J17" s="238">
        <v>400</v>
      </c>
      <c r="K17" s="713">
        <v>176</v>
      </c>
    </row>
    <row r="18" spans="1:11" ht="14.4" customHeight="1" x14ac:dyDescent="0.3">
      <c r="A18" s="680" t="s">
        <v>534</v>
      </c>
      <c r="B18" s="671" t="s">
        <v>536</v>
      </c>
      <c r="C18" s="705" t="s">
        <v>548</v>
      </c>
      <c r="D18" s="723" t="s">
        <v>549</v>
      </c>
      <c r="E18" s="705" t="s">
        <v>2529</v>
      </c>
      <c r="F18" s="723" t="s">
        <v>2530</v>
      </c>
      <c r="G18" s="705" t="s">
        <v>2575</v>
      </c>
      <c r="H18" s="705" t="s">
        <v>2576</v>
      </c>
      <c r="I18" s="238">
        <v>0.33</v>
      </c>
      <c r="J18" s="238">
        <v>100</v>
      </c>
      <c r="K18" s="713">
        <v>33</v>
      </c>
    </row>
    <row r="19" spans="1:11" ht="14.4" customHeight="1" x14ac:dyDescent="0.3">
      <c r="A19" s="680" t="s">
        <v>534</v>
      </c>
      <c r="B19" s="671" t="s">
        <v>536</v>
      </c>
      <c r="C19" s="705" t="s">
        <v>548</v>
      </c>
      <c r="D19" s="723" t="s">
        <v>549</v>
      </c>
      <c r="E19" s="705" t="s">
        <v>2529</v>
      </c>
      <c r="F19" s="723" t="s">
        <v>2530</v>
      </c>
      <c r="G19" s="705" t="s">
        <v>2577</v>
      </c>
      <c r="H19" s="705" t="s">
        <v>2578</v>
      </c>
      <c r="I19" s="238">
        <v>8.58</v>
      </c>
      <c r="J19" s="238">
        <v>12</v>
      </c>
      <c r="K19" s="713">
        <v>102.96</v>
      </c>
    </row>
    <row r="20" spans="1:11" ht="14.4" customHeight="1" x14ac:dyDescent="0.3">
      <c r="A20" s="680" t="s">
        <v>534</v>
      </c>
      <c r="B20" s="671" t="s">
        <v>536</v>
      </c>
      <c r="C20" s="705" t="s">
        <v>548</v>
      </c>
      <c r="D20" s="723" t="s">
        <v>549</v>
      </c>
      <c r="E20" s="705" t="s">
        <v>2529</v>
      </c>
      <c r="F20" s="723" t="s">
        <v>2530</v>
      </c>
      <c r="G20" s="705" t="s">
        <v>2579</v>
      </c>
      <c r="H20" s="705" t="s">
        <v>2580</v>
      </c>
      <c r="I20" s="238">
        <v>27.94</v>
      </c>
      <c r="J20" s="238">
        <v>2</v>
      </c>
      <c r="K20" s="713">
        <v>55.88</v>
      </c>
    </row>
    <row r="21" spans="1:11" ht="14.4" customHeight="1" x14ac:dyDescent="0.3">
      <c r="A21" s="680" t="s">
        <v>534</v>
      </c>
      <c r="B21" s="671" t="s">
        <v>536</v>
      </c>
      <c r="C21" s="705" t="s">
        <v>548</v>
      </c>
      <c r="D21" s="723" t="s">
        <v>549</v>
      </c>
      <c r="E21" s="705" t="s">
        <v>2529</v>
      </c>
      <c r="F21" s="723" t="s">
        <v>2530</v>
      </c>
      <c r="G21" s="705" t="s">
        <v>2581</v>
      </c>
      <c r="H21" s="705" t="s">
        <v>2582</v>
      </c>
      <c r="I21" s="238">
        <v>159.55000000000001</v>
      </c>
      <c r="J21" s="238">
        <v>5</v>
      </c>
      <c r="K21" s="713">
        <v>797.76</v>
      </c>
    </row>
    <row r="22" spans="1:11" ht="14.4" customHeight="1" x14ac:dyDescent="0.3">
      <c r="A22" s="680" t="s">
        <v>534</v>
      </c>
      <c r="B22" s="671" t="s">
        <v>536</v>
      </c>
      <c r="C22" s="705" t="s">
        <v>548</v>
      </c>
      <c r="D22" s="723" t="s">
        <v>549</v>
      </c>
      <c r="E22" s="705" t="s">
        <v>2529</v>
      </c>
      <c r="F22" s="723" t="s">
        <v>2530</v>
      </c>
      <c r="G22" s="705" t="s">
        <v>2583</v>
      </c>
      <c r="H22" s="705" t="s">
        <v>2584</v>
      </c>
      <c r="I22" s="238">
        <v>1.23</v>
      </c>
      <c r="J22" s="238">
        <v>300</v>
      </c>
      <c r="K22" s="713">
        <v>369</v>
      </c>
    </row>
    <row r="23" spans="1:11" ht="14.4" customHeight="1" x14ac:dyDescent="0.3">
      <c r="A23" s="680" t="s">
        <v>534</v>
      </c>
      <c r="B23" s="671" t="s">
        <v>536</v>
      </c>
      <c r="C23" s="705" t="s">
        <v>548</v>
      </c>
      <c r="D23" s="723" t="s">
        <v>549</v>
      </c>
      <c r="E23" s="705" t="s">
        <v>2529</v>
      </c>
      <c r="F23" s="723" t="s">
        <v>2530</v>
      </c>
      <c r="G23" s="705" t="s">
        <v>2585</v>
      </c>
      <c r="H23" s="705" t="s">
        <v>2586</v>
      </c>
      <c r="I23" s="238">
        <v>1.17</v>
      </c>
      <c r="J23" s="238">
        <v>200</v>
      </c>
      <c r="K23" s="713">
        <v>234</v>
      </c>
    </row>
    <row r="24" spans="1:11" ht="14.4" customHeight="1" x14ac:dyDescent="0.3">
      <c r="A24" s="680" t="s">
        <v>534</v>
      </c>
      <c r="B24" s="671" t="s">
        <v>536</v>
      </c>
      <c r="C24" s="705" t="s">
        <v>548</v>
      </c>
      <c r="D24" s="723" t="s">
        <v>549</v>
      </c>
      <c r="E24" s="705" t="s">
        <v>2529</v>
      </c>
      <c r="F24" s="723" t="s">
        <v>2530</v>
      </c>
      <c r="G24" s="705" t="s">
        <v>2587</v>
      </c>
      <c r="H24" s="705" t="s">
        <v>2588</v>
      </c>
      <c r="I24" s="238">
        <v>98.38</v>
      </c>
      <c r="J24" s="238">
        <v>2</v>
      </c>
      <c r="K24" s="713">
        <v>196.76</v>
      </c>
    </row>
    <row r="25" spans="1:11" ht="14.4" customHeight="1" x14ac:dyDescent="0.3">
      <c r="A25" s="680" t="s">
        <v>534</v>
      </c>
      <c r="B25" s="671" t="s">
        <v>536</v>
      </c>
      <c r="C25" s="705" t="s">
        <v>548</v>
      </c>
      <c r="D25" s="723" t="s">
        <v>549</v>
      </c>
      <c r="E25" s="705" t="s">
        <v>2529</v>
      </c>
      <c r="F25" s="723" t="s">
        <v>2530</v>
      </c>
      <c r="G25" s="705" t="s">
        <v>2589</v>
      </c>
      <c r="H25" s="705" t="s">
        <v>2590</v>
      </c>
      <c r="I25" s="238">
        <v>105.59</v>
      </c>
      <c r="J25" s="238">
        <v>12</v>
      </c>
      <c r="K25" s="713">
        <v>1267.1199999999999</v>
      </c>
    </row>
    <row r="26" spans="1:11" ht="14.4" customHeight="1" x14ac:dyDescent="0.3">
      <c r="A26" s="680" t="s">
        <v>534</v>
      </c>
      <c r="B26" s="671" t="s">
        <v>536</v>
      </c>
      <c r="C26" s="705" t="s">
        <v>548</v>
      </c>
      <c r="D26" s="723" t="s">
        <v>549</v>
      </c>
      <c r="E26" s="705" t="s">
        <v>2529</v>
      </c>
      <c r="F26" s="723" t="s">
        <v>2530</v>
      </c>
      <c r="G26" s="705" t="s">
        <v>2591</v>
      </c>
      <c r="H26" s="705" t="s">
        <v>2592</v>
      </c>
      <c r="I26" s="238">
        <v>0.85499999999999998</v>
      </c>
      <c r="J26" s="238">
        <v>200</v>
      </c>
      <c r="K26" s="713">
        <v>171</v>
      </c>
    </row>
    <row r="27" spans="1:11" ht="14.4" customHeight="1" x14ac:dyDescent="0.3">
      <c r="A27" s="680" t="s">
        <v>534</v>
      </c>
      <c r="B27" s="671" t="s">
        <v>536</v>
      </c>
      <c r="C27" s="705" t="s">
        <v>548</v>
      </c>
      <c r="D27" s="723" t="s">
        <v>549</v>
      </c>
      <c r="E27" s="705" t="s">
        <v>2529</v>
      </c>
      <c r="F27" s="723" t="s">
        <v>2530</v>
      </c>
      <c r="G27" s="705" t="s">
        <v>2593</v>
      </c>
      <c r="H27" s="705" t="s">
        <v>2594</v>
      </c>
      <c r="I27" s="238">
        <v>1.5150000000000001</v>
      </c>
      <c r="J27" s="238">
        <v>400</v>
      </c>
      <c r="K27" s="713">
        <v>606</v>
      </c>
    </row>
    <row r="28" spans="1:11" ht="14.4" customHeight="1" x14ac:dyDescent="0.3">
      <c r="A28" s="680" t="s">
        <v>534</v>
      </c>
      <c r="B28" s="671" t="s">
        <v>536</v>
      </c>
      <c r="C28" s="705" t="s">
        <v>548</v>
      </c>
      <c r="D28" s="723" t="s">
        <v>549</v>
      </c>
      <c r="E28" s="705" t="s">
        <v>2529</v>
      </c>
      <c r="F28" s="723" t="s">
        <v>2530</v>
      </c>
      <c r="G28" s="705" t="s">
        <v>2595</v>
      </c>
      <c r="H28" s="705" t="s">
        <v>2596</v>
      </c>
      <c r="I28" s="238">
        <v>2.0699999999999998</v>
      </c>
      <c r="J28" s="238">
        <v>100</v>
      </c>
      <c r="K28" s="713">
        <v>207</v>
      </c>
    </row>
    <row r="29" spans="1:11" ht="14.4" customHeight="1" x14ac:dyDescent="0.3">
      <c r="A29" s="680" t="s">
        <v>534</v>
      </c>
      <c r="B29" s="671" t="s">
        <v>536</v>
      </c>
      <c r="C29" s="705" t="s">
        <v>548</v>
      </c>
      <c r="D29" s="723" t="s">
        <v>549</v>
      </c>
      <c r="E29" s="705" t="s">
        <v>2529</v>
      </c>
      <c r="F29" s="723" t="s">
        <v>2530</v>
      </c>
      <c r="G29" s="705" t="s">
        <v>2597</v>
      </c>
      <c r="H29" s="705" t="s">
        <v>2598</v>
      </c>
      <c r="I29" s="238">
        <v>3.36</v>
      </c>
      <c r="J29" s="238">
        <v>100</v>
      </c>
      <c r="K29" s="713">
        <v>336</v>
      </c>
    </row>
    <row r="30" spans="1:11" ht="14.4" customHeight="1" x14ac:dyDescent="0.3">
      <c r="A30" s="680" t="s">
        <v>534</v>
      </c>
      <c r="B30" s="671" t="s">
        <v>536</v>
      </c>
      <c r="C30" s="705" t="s">
        <v>548</v>
      </c>
      <c r="D30" s="723" t="s">
        <v>549</v>
      </c>
      <c r="E30" s="705" t="s">
        <v>2529</v>
      </c>
      <c r="F30" s="723" t="s">
        <v>2530</v>
      </c>
      <c r="G30" s="705" t="s">
        <v>2599</v>
      </c>
      <c r="H30" s="705" t="s">
        <v>2600</v>
      </c>
      <c r="I30" s="238">
        <v>5.875</v>
      </c>
      <c r="J30" s="238">
        <v>300</v>
      </c>
      <c r="K30" s="713">
        <v>1762</v>
      </c>
    </row>
    <row r="31" spans="1:11" ht="14.4" customHeight="1" x14ac:dyDescent="0.3">
      <c r="A31" s="680" t="s">
        <v>534</v>
      </c>
      <c r="B31" s="671" t="s">
        <v>536</v>
      </c>
      <c r="C31" s="705" t="s">
        <v>548</v>
      </c>
      <c r="D31" s="723" t="s">
        <v>549</v>
      </c>
      <c r="E31" s="705" t="s">
        <v>2529</v>
      </c>
      <c r="F31" s="723" t="s">
        <v>2530</v>
      </c>
      <c r="G31" s="705" t="s">
        <v>2601</v>
      </c>
      <c r="H31" s="705" t="s">
        <v>2602</v>
      </c>
      <c r="I31" s="238">
        <v>874</v>
      </c>
      <c r="J31" s="238">
        <v>2</v>
      </c>
      <c r="K31" s="713">
        <v>1748</v>
      </c>
    </row>
    <row r="32" spans="1:11" ht="14.4" customHeight="1" x14ac:dyDescent="0.3">
      <c r="A32" s="680" t="s">
        <v>534</v>
      </c>
      <c r="B32" s="671" t="s">
        <v>536</v>
      </c>
      <c r="C32" s="705" t="s">
        <v>548</v>
      </c>
      <c r="D32" s="723" t="s">
        <v>549</v>
      </c>
      <c r="E32" s="705" t="s">
        <v>2529</v>
      </c>
      <c r="F32" s="723" t="s">
        <v>2530</v>
      </c>
      <c r="G32" s="705" t="s">
        <v>2603</v>
      </c>
      <c r="H32" s="705" t="s">
        <v>2604</v>
      </c>
      <c r="I32" s="238">
        <v>1.59</v>
      </c>
      <c r="J32" s="238">
        <v>80</v>
      </c>
      <c r="K32" s="713">
        <v>127</v>
      </c>
    </row>
    <row r="33" spans="1:11" ht="14.4" customHeight="1" x14ac:dyDescent="0.3">
      <c r="A33" s="680" t="s">
        <v>534</v>
      </c>
      <c r="B33" s="671" t="s">
        <v>536</v>
      </c>
      <c r="C33" s="705" t="s">
        <v>548</v>
      </c>
      <c r="D33" s="723" t="s">
        <v>549</v>
      </c>
      <c r="E33" s="705" t="s">
        <v>2529</v>
      </c>
      <c r="F33" s="723" t="s">
        <v>2530</v>
      </c>
      <c r="G33" s="705" t="s">
        <v>2605</v>
      </c>
      <c r="H33" s="705" t="s">
        <v>2606</v>
      </c>
      <c r="I33" s="238">
        <v>123.05</v>
      </c>
      <c r="J33" s="238">
        <v>12</v>
      </c>
      <c r="K33" s="713">
        <v>1476.6</v>
      </c>
    </row>
    <row r="34" spans="1:11" ht="14.4" customHeight="1" x14ac:dyDescent="0.3">
      <c r="A34" s="680" t="s">
        <v>534</v>
      </c>
      <c r="B34" s="671" t="s">
        <v>536</v>
      </c>
      <c r="C34" s="705" t="s">
        <v>548</v>
      </c>
      <c r="D34" s="723" t="s">
        <v>549</v>
      </c>
      <c r="E34" s="705" t="s">
        <v>2529</v>
      </c>
      <c r="F34" s="723" t="s">
        <v>2530</v>
      </c>
      <c r="G34" s="705" t="s">
        <v>2607</v>
      </c>
      <c r="H34" s="705" t="s">
        <v>2608</v>
      </c>
      <c r="I34" s="238">
        <v>0.32</v>
      </c>
      <c r="J34" s="238">
        <v>5</v>
      </c>
      <c r="K34" s="713">
        <v>1.6</v>
      </c>
    </row>
    <row r="35" spans="1:11" ht="14.4" customHeight="1" x14ac:dyDescent="0.3">
      <c r="A35" s="680" t="s">
        <v>534</v>
      </c>
      <c r="B35" s="671" t="s">
        <v>536</v>
      </c>
      <c r="C35" s="705" t="s">
        <v>548</v>
      </c>
      <c r="D35" s="723" t="s">
        <v>549</v>
      </c>
      <c r="E35" s="705" t="s">
        <v>2529</v>
      </c>
      <c r="F35" s="723" t="s">
        <v>2530</v>
      </c>
      <c r="G35" s="705" t="s">
        <v>2609</v>
      </c>
      <c r="H35" s="705" t="s">
        <v>2610</v>
      </c>
      <c r="I35" s="238">
        <v>3.99</v>
      </c>
      <c r="J35" s="238">
        <v>36</v>
      </c>
      <c r="K35" s="713">
        <v>143.75</v>
      </c>
    </row>
    <row r="36" spans="1:11" ht="14.4" customHeight="1" x14ac:dyDescent="0.3">
      <c r="A36" s="680" t="s">
        <v>534</v>
      </c>
      <c r="B36" s="671" t="s">
        <v>536</v>
      </c>
      <c r="C36" s="705" t="s">
        <v>548</v>
      </c>
      <c r="D36" s="723" t="s">
        <v>549</v>
      </c>
      <c r="E36" s="705" t="s">
        <v>2529</v>
      </c>
      <c r="F36" s="723" t="s">
        <v>2530</v>
      </c>
      <c r="G36" s="705" t="s">
        <v>2611</v>
      </c>
      <c r="H36" s="705" t="s">
        <v>2612</v>
      </c>
      <c r="I36" s="238">
        <v>7.09</v>
      </c>
      <c r="J36" s="238">
        <v>1</v>
      </c>
      <c r="K36" s="713">
        <v>7.09</v>
      </c>
    </row>
    <row r="37" spans="1:11" ht="14.4" customHeight="1" x14ac:dyDescent="0.3">
      <c r="A37" s="680" t="s">
        <v>534</v>
      </c>
      <c r="B37" s="671" t="s">
        <v>536</v>
      </c>
      <c r="C37" s="705" t="s">
        <v>548</v>
      </c>
      <c r="D37" s="723" t="s">
        <v>549</v>
      </c>
      <c r="E37" s="705" t="s">
        <v>2529</v>
      </c>
      <c r="F37" s="723" t="s">
        <v>2530</v>
      </c>
      <c r="G37" s="705" t="s">
        <v>2613</v>
      </c>
      <c r="H37" s="705" t="s">
        <v>2614</v>
      </c>
      <c r="I37" s="238">
        <v>120.61</v>
      </c>
      <c r="J37" s="238">
        <v>5</v>
      </c>
      <c r="K37" s="713">
        <v>603.05999999999995</v>
      </c>
    </row>
    <row r="38" spans="1:11" ht="14.4" customHeight="1" x14ac:dyDescent="0.3">
      <c r="A38" s="680" t="s">
        <v>534</v>
      </c>
      <c r="B38" s="671" t="s">
        <v>536</v>
      </c>
      <c r="C38" s="705" t="s">
        <v>548</v>
      </c>
      <c r="D38" s="723" t="s">
        <v>549</v>
      </c>
      <c r="E38" s="705" t="s">
        <v>2529</v>
      </c>
      <c r="F38" s="723" t="s">
        <v>2530</v>
      </c>
      <c r="G38" s="705" t="s">
        <v>2615</v>
      </c>
      <c r="H38" s="705" t="s">
        <v>2616</v>
      </c>
      <c r="I38" s="238">
        <v>2.5499999999999998</v>
      </c>
      <c r="J38" s="238">
        <v>6</v>
      </c>
      <c r="K38" s="713">
        <v>15.3</v>
      </c>
    </row>
    <row r="39" spans="1:11" ht="14.4" customHeight="1" x14ac:dyDescent="0.3">
      <c r="A39" s="680" t="s">
        <v>534</v>
      </c>
      <c r="B39" s="671" t="s">
        <v>536</v>
      </c>
      <c r="C39" s="705" t="s">
        <v>548</v>
      </c>
      <c r="D39" s="723" t="s">
        <v>549</v>
      </c>
      <c r="E39" s="705" t="s">
        <v>2531</v>
      </c>
      <c r="F39" s="723" t="s">
        <v>2532</v>
      </c>
      <c r="G39" s="705" t="s">
        <v>2617</v>
      </c>
      <c r="H39" s="705" t="s">
        <v>2618</v>
      </c>
      <c r="I39" s="238">
        <v>11.14</v>
      </c>
      <c r="J39" s="238">
        <v>100</v>
      </c>
      <c r="K39" s="713">
        <v>1114</v>
      </c>
    </row>
    <row r="40" spans="1:11" ht="14.4" customHeight="1" x14ac:dyDescent="0.3">
      <c r="A40" s="680" t="s">
        <v>534</v>
      </c>
      <c r="B40" s="671" t="s">
        <v>536</v>
      </c>
      <c r="C40" s="705" t="s">
        <v>548</v>
      </c>
      <c r="D40" s="723" t="s">
        <v>549</v>
      </c>
      <c r="E40" s="705" t="s">
        <v>2531</v>
      </c>
      <c r="F40" s="723" t="s">
        <v>2532</v>
      </c>
      <c r="G40" s="705" t="s">
        <v>2619</v>
      </c>
      <c r="H40" s="705" t="s">
        <v>2620</v>
      </c>
      <c r="I40" s="238">
        <v>0.93500000000000005</v>
      </c>
      <c r="J40" s="238">
        <v>800</v>
      </c>
      <c r="K40" s="713">
        <v>746</v>
      </c>
    </row>
    <row r="41" spans="1:11" ht="14.4" customHeight="1" x14ac:dyDescent="0.3">
      <c r="A41" s="680" t="s">
        <v>534</v>
      </c>
      <c r="B41" s="671" t="s">
        <v>536</v>
      </c>
      <c r="C41" s="705" t="s">
        <v>548</v>
      </c>
      <c r="D41" s="723" t="s">
        <v>549</v>
      </c>
      <c r="E41" s="705" t="s">
        <v>2531</v>
      </c>
      <c r="F41" s="723" t="s">
        <v>2532</v>
      </c>
      <c r="G41" s="705" t="s">
        <v>2621</v>
      </c>
      <c r="H41" s="705" t="s">
        <v>2622</v>
      </c>
      <c r="I41" s="238">
        <v>1.4350000000000001</v>
      </c>
      <c r="J41" s="238">
        <v>400</v>
      </c>
      <c r="K41" s="713">
        <v>574</v>
      </c>
    </row>
    <row r="42" spans="1:11" ht="14.4" customHeight="1" x14ac:dyDescent="0.3">
      <c r="A42" s="680" t="s">
        <v>534</v>
      </c>
      <c r="B42" s="671" t="s">
        <v>536</v>
      </c>
      <c r="C42" s="705" t="s">
        <v>548</v>
      </c>
      <c r="D42" s="723" t="s">
        <v>549</v>
      </c>
      <c r="E42" s="705" t="s">
        <v>2531</v>
      </c>
      <c r="F42" s="723" t="s">
        <v>2532</v>
      </c>
      <c r="G42" s="705" t="s">
        <v>2623</v>
      </c>
      <c r="H42" s="705" t="s">
        <v>2624</v>
      </c>
      <c r="I42" s="238">
        <v>0.42</v>
      </c>
      <c r="J42" s="238">
        <v>500</v>
      </c>
      <c r="K42" s="713">
        <v>210</v>
      </c>
    </row>
    <row r="43" spans="1:11" ht="14.4" customHeight="1" x14ac:dyDescent="0.3">
      <c r="A43" s="680" t="s">
        <v>534</v>
      </c>
      <c r="B43" s="671" t="s">
        <v>536</v>
      </c>
      <c r="C43" s="705" t="s">
        <v>548</v>
      </c>
      <c r="D43" s="723" t="s">
        <v>549</v>
      </c>
      <c r="E43" s="705" t="s">
        <v>2531</v>
      </c>
      <c r="F43" s="723" t="s">
        <v>2532</v>
      </c>
      <c r="G43" s="705" t="s">
        <v>2625</v>
      </c>
      <c r="H43" s="705" t="s">
        <v>2626</v>
      </c>
      <c r="I43" s="238">
        <v>3.13</v>
      </c>
      <c r="J43" s="238">
        <v>200</v>
      </c>
      <c r="K43" s="713">
        <v>626</v>
      </c>
    </row>
    <row r="44" spans="1:11" ht="14.4" customHeight="1" x14ac:dyDescent="0.3">
      <c r="A44" s="680" t="s">
        <v>534</v>
      </c>
      <c r="B44" s="671" t="s">
        <v>536</v>
      </c>
      <c r="C44" s="705" t="s">
        <v>548</v>
      </c>
      <c r="D44" s="723" t="s">
        <v>549</v>
      </c>
      <c r="E44" s="705" t="s">
        <v>2531</v>
      </c>
      <c r="F44" s="723" t="s">
        <v>2532</v>
      </c>
      <c r="G44" s="705" t="s">
        <v>2627</v>
      </c>
      <c r="H44" s="705" t="s">
        <v>2628</v>
      </c>
      <c r="I44" s="238">
        <v>6.2949999999999999</v>
      </c>
      <c r="J44" s="238">
        <v>100</v>
      </c>
      <c r="K44" s="713">
        <v>629.5</v>
      </c>
    </row>
    <row r="45" spans="1:11" ht="14.4" customHeight="1" x14ac:dyDescent="0.3">
      <c r="A45" s="680" t="s">
        <v>534</v>
      </c>
      <c r="B45" s="671" t="s">
        <v>536</v>
      </c>
      <c r="C45" s="705" t="s">
        <v>548</v>
      </c>
      <c r="D45" s="723" t="s">
        <v>549</v>
      </c>
      <c r="E45" s="705" t="s">
        <v>2531</v>
      </c>
      <c r="F45" s="723" t="s">
        <v>2532</v>
      </c>
      <c r="G45" s="705" t="s">
        <v>2629</v>
      </c>
      <c r="H45" s="705" t="s">
        <v>2630</v>
      </c>
      <c r="I45" s="238">
        <v>68.52</v>
      </c>
      <c r="J45" s="238">
        <v>6</v>
      </c>
      <c r="K45" s="713">
        <v>411.12</v>
      </c>
    </row>
    <row r="46" spans="1:11" ht="14.4" customHeight="1" x14ac:dyDescent="0.3">
      <c r="A46" s="680" t="s">
        <v>534</v>
      </c>
      <c r="B46" s="671" t="s">
        <v>536</v>
      </c>
      <c r="C46" s="705" t="s">
        <v>548</v>
      </c>
      <c r="D46" s="723" t="s">
        <v>549</v>
      </c>
      <c r="E46" s="705" t="s">
        <v>2531</v>
      </c>
      <c r="F46" s="723" t="s">
        <v>2532</v>
      </c>
      <c r="G46" s="705" t="s">
        <v>2631</v>
      </c>
      <c r="H46" s="705" t="s">
        <v>2632</v>
      </c>
      <c r="I46" s="238">
        <v>1140.42</v>
      </c>
      <c r="J46" s="238">
        <v>5</v>
      </c>
      <c r="K46" s="713">
        <v>5702.1</v>
      </c>
    </row>
    <row r="47" spans="1:11" ht="14.4" customHeight="1" x14ac:dyDescent="0.3">
      <c r="A47" s="680" t="s">
        <v>534</v>
      </c>
      <c r="B47" s="671" t="s">
        <v>536</v>
      </c>
      <c r="C47" s="705" t="s">
        <v>548</v>
      </c>
      <c r="D47" s="723" t="s">
        <v>549</v>
      </c>
      <c r="E47" s="705" t="s">
        <v>2531</v>
      </c>
      <c r="F47" s="723" t="s">
        <v>2532</v>
      </c>
      <c r="G47" s="705" t="s">
        <v>2633</v>
      </c>
      <c r="H47" s="705" t="s">
        <v>2634</v>
      </c>
      <c r="I47" s="238">
        <v>20.69</v>
      </c>
      <c r="J47" s="238">
        <v>100</v>
      </c>
      <c r="K47" s="713">
        <v>2069</v>
      </c>
    </row>
    <row r="48" spans="1:11" ht="14.4" customHeight="1" x14ac:dyDescent="0.3">
      <c r="A48" s="680" t="s">
        <v>534</v>
      </c>
      <c r="B48" s="671" t="s">
        <v>536</v>
      </c>
      <c r="C48" s="705" t="s">
        <v>548</v>
      </c>
      <c r="D48" s="723" t="s">
        <v>549</v>
      </c>
      <c r="E48" s="705" t="s">
        <v>2531</v>
      </c>
      <c r="F48" s="723" t="s">
        <v>2532</v>
      </c>
      <c r="G48" s="705" t="s">
        <v>2635</v>
      </c>
      <c r="H48" s="705" t="s">
        <v>2636</v>
      </c>
      <c r="I48" s="238">
        <v>26.01</v>
      </c>
      <c r="J48" s="238">
        <v>560</v>
      </c>
      <c r="K48" s="713">
        <v>14568.4</v>
      </c>
    </row>
    <row r="49" spans="1:11" ht="14.4" customHeight="1" x14ac:dyDescent="0.3">
      <c r="A49" s="680" t="s">
        <v>534</v>
      </c>
      <c r="B49" s="671" t="s">
        <v>536</v>
      </c>
      <c r="C49" s="705" t="s">
        <v>548</v>
      </c>
      <c r="D49" s="723" t="s">
        <v>549</v>
      </c>
      <c r="E49" s="705" t="s">
        <v>2531</v>
      </c>
      <c r="F49" s="723" t="s">
        <v>2532</v>
      </c>
      <c r="G49" s="705" t="s">
        <v>2637</v>
      </c>
      <c r="H49" s="705" t="s">
        <v>2638</v>
      </c>
      <c r="I49" s="238">
        <v>167.2</v>
      </c>
      <c r="J49" s="238">
        <v>2</v>
      </c>
      <c r="K49" s="713">
        <v>334.4</v>
      </c>
    </row>
    <row r="50" spans="1:11" ht="14.4" customHeight="1" x14ac:dyDescent="0.3">
      <c r="A50" s="680" t="s">
        <v>534</v>
      </c>
      <c r="B50" s="671" t="s">
        <v>536</v>
      </c>
      <c r="C50" s="705" t="s">
        <v>548</v>
      </c>
      <c r="D50" s="723" t="s">
        <v>549</v>
      </c>
      <c r="E50" s="705" t="s">
        <v>2531</v>
      </c>
      <c r="F50" s="723" t="s">
        <v>2532</v>
      </c>
      <c r="G50" s="705" t="s">
        <v>2639</v>
      </c>
      <c r="H50" s="705" t="s">
        <v>2640</v>
      </c>
      <c r="I50" s="238">
        <v>75.05</v>
      </c>
      <c r="J50" s="238">
        <v>2</v>
      </c>
      <c r="K50" s="713">
        <v>150.1</v>
      </c>
    </row>
    <row r="51" spans="1:11" ht="14.4" customHeight="1" x14ac:dyDescent="0.3">
      <c r="A51" s="680" t="s">
        <v>534</v>
      </c>
      <c r="B51" s="671" t="s">
        <v>536</v>
      </c>
      <c r="C51" s="705" t="s">
        <v>548</v>
      </c>
      <c r="D51" s="723" t="s">
        <v>549</v>
      </c>
      <c r="E51" s="705" t="s">
        <v>2531</v>
      </c>
      <c r="F51" s="723" t="s">
        <v>2532</v>
      </c>
      <c r="G51" s="705" t="s">
        <v>2641</v>
      </c>
      <c r="H51" s="705" t="s">
        <v>2642</v>
      </c>
      <c r="I51" s="238">
        <v>26</v>
      </c>
      <c r="J51" s="238">
        <v>80</v>
      </c>
      <c r="K51" s="713">
        <v>2079.8000000000002</v>
      </c>
    </row>
    <row r="52" spans="1:11" ht="14.4" customHeight="1" x14ac:dyDescent="0.3">
      <c r="A52" s="680" t="s">
        <v>534</v>
      </c>
      <c r="B52" s="671" t="s">
        <v>536</v>
      </c>
      <c r="C52" s="705" t="s">
        <v>548</v>
      </c>
      <c r="D52" s="723" t="s">
        <v>549</v>
      </c>
      <c r="E52" s="705" t="s">
        <v>2531</v>
      </c>
      <c r="F52" s="723" t="s">
        <v>2532</v>
      </c>
      <c r="G52" s="705" t="s">
        <v>2643</v>
      </c>
      <c r="H52" s="705" t="s">
        <v>2644</v>
      </c>
      <c r="I52" s="238">
        <v>26.02</v>
      </c>
      <c r="J52" s="238">
        <v>50</v>
      </c>
      <c r="K52" s="713">
        <v>1300.8</v>
      </c>
    </row>
    <row r="53" spans="1:11" ht="14.4" customHeight="1" x14ac:dyDescent="0.3">
      <c r="A53" s="680" t="s">
        <v>534</v>
      </c>
      <c r="B53" s="671" t="s">
        <v>536</v>
      </c>
      <c r="C53" s="705" t="s">
        <v>548</v>
      </c>
      <c r="D53" s="723" t="s">
        <v>549</v>
      </c>
      <c r="E53" s="705" t="s">
        <v>2531</v>
      </c>
      <c r="F53" s="723" t="s">
        <v>2532</v>
      </c>
      <c r="G53" s="705" t="s">
        <v>2645</v>
      </c>
      <c r="H53" s="705" t="s">
        <v>2646</v>
      </c>
      <c r="I53" s="238">
        <v>23.47</v>
      </c>
      <c r="J53" s="238">
        <v>30</v>
      </c>
      <c r="K53" s="713">
        <v>704.1</v>
      </c>
    </row>
    <row r="54" spans="1:11" ht="14.4" customHeight="1" x14ac:dyDescent="0.3">
      <c r="A54" s="680" t="s">
        <v>534</v>
      </c>
      <c r="B54" s="671" t="s">
        <v>536</v>
      </c>
      <c r="C54" s="705" t="s">
        <v>548</v>
      </c>
      <c r="D54" s="723" t="s">
        <v>549</v>
      </c>
      <c r="E54" s="705" t="s">
        <v>2531</v>
      </c>
      <c r="F54" s="723" t="s">
        <v>2532</v>
      </c>
      <c r="G54" s="705" t="s">
        <v>2647</v>
      </c>
      <c r="H54" s="705" t="s">
        <v>2648</v>
      </c>
      <c r="I54" s="238">
        <v>1.78</v>
      </c>
      <c r="J54" s="238">
        <v>200</v>
      </c>
      <c r="K54" s="713">
        <v>356</v>
      </c>
    </row>
    <row r="55" spans="1:11" ht="14.4" customHeight="1" x14ac:dyDescent="0.3">
      <c r="A55" s="680" t="s">
        <v>534</v>
      </c>
      <c r="B55" s="671" t="s">
        <v>536</v>
      </c>
      <c r="C55" s="705" t="s">
        <v>548</v>
      </c>
      <c r="D55" s="723" t="s">
        <v>549</v>
      </c>
      <c r="E55" s="705" t="s">
        <v>2531</v>
      </c>
      <c r="F55" s="723" t="s">
        <v>2532</v>
      </c>
      <c r="G55" s="705" t="s">
        <v>2649</v>
      </c>
      <c r="H55" s="705" t="s">
        <v>2650</v>
      </c>
      <c r="I55" s="238">
        <v>1.8</v>
      </c>
      <c r="J55" s="238">
        <v>100</v>
      </c>
      <c r="K55" s="713">
        <v>180</v>
      </c>
    </row>
    <row r="56" spans="1:11" ht="14.4" customHeight="1" x14ac:dyDescent="0.3">
      <c r="A56" s="680" t="s">
        <v>534</v>
      </c>
      <c r="B56" s="671" t="s">
        <v>536</v>
      </c>
      <c r="C56" s="705" t="s">
        <v>548</v>
      </c>
      <c r="D56" s="723" t="s">
        <v>549</v>
      </c>
      <c r="E56" s="705" t="s">
        <v>2531</v>
      </c>
      <c r="F56" s="723" t="s">
        <v>2532</v>
      </c>
      <c r="G56" s="705" t="s">
        <v>2651</v>
      </c>
      <c r="H56" s="705" t="s">
        <v>2652</v>
      </c>
      <c r="I56" s="238">
        <v>1.75</v>
      </c>
      <c r="J56" s="238">
        <v>200</v>
      </c>
      <c r="K56" s="713">
        <v>350</v>
      </c>
    </row>
    <row r="57" spans="1:11" ht="14.4" customHeight="1" x14ac:dyDescent="0.3">
      <c r="A57" s="680" t="s">
        <v>534</v>
      </c>
      <c r="B57" s="671" t="s">
        <v>536</v>
      </c>
      <c r="C57" s="705" t="s">
        <v>548</v>
      </c>
      <c r="D57" s="723" t="s">
        <v>549</v>
      </c>
      <c r="E57" s="705" t="s">
        <v>2531</v>
      </c>
      <c r="F57" s="723" t="s">
        <v>2532</v>
      </c>
      <c r="G57" s="705" t="s">
        <v>2653</v>
      </c>
      <c r="H57" s="705" t="s">
        <v>2654</v>
      </c>
      <c r="I57" s="238">
        <v>0.01</v>
      </c>
      <c r="J57" s="238">
        <v>200</v>
      </c>
      <c r="K57" s="713">
        <v>2</v>
      </c>
    </row>
    <row r="58" spans="1:11" ht="14.4" customHeight="1" x14ac:dyDescent="0.3">
      <c r="A58" s="680" t="s">
        <v>534</v>
      </c>
      <c r="B58" s="671" t="s">
        <v>536</v>
      </c>
      <c r="C58" s="705" t="s">
        <v>548</v>
      </c>
      <c r="D58" s="723" t="s">
        <v>549</v>
      </c>
      <c r="E58" s="705" t="s">
        <v>2531</v>
      </c>
      <c r="F58" s="723" t="s">
        <v>2532</v>
      </c>
      <c r="G58" s="705" t="s">
        <v>2655</v>
      </c>
      <c r="H58" s="705" t="s">
        <v>2656</v>
      </c>
      <c r="I58" s="238">
        <v>2.8049999999999997</v>
      </c>
      <c r="J58" s="238">
        <v>200</v>
      </c>
      <c r="K58" s="713">
        <v>561</v>
      </c>
    </row>
    <row r="59" spans="1:11" ht="14.4" customHeight="1" x14ac:dyDescent="0.3">
      <c r="A59" s="680" t="s">
        <v>534</v>
      </c>
      <c r="B59" s="671" t="s">
        <v>536</v>
      </c>
      <c r="C59" s="705" t="s">
        <v>548</v>
      </c>
      <c r="D59" s="723" t="s">
        <v>549</v>
      </c>
      <c r="E59" s="705" t="s">
        <v>2531</v>
      </c>
      <c r="F59" s="723" t="s">
        <v>2532</v>
      </c>
      <c r="G59" s="705" t="s">
        <v>2657</v>
      </c>
      <c r="H59" s="705" t="s">
        <v>2658</v>
      </c>
      <c r="I59" s="238">
        <v>2</v>
      </c>
      <c r="J59" s="238">
        <v>100</v>
      </c>
      <c r="K59" s="713">
        <v>200</v>
      </c>
    </row>
    <row r="60" spans="1:11" ht="14.4" customHeight="1" x14ac:dyDescent="0.3">
      <c r="A60" s="680" t="s">
        <v>534</v>
      </c>
      <c r="B60" s="671" t="s">
        <v>536</v>
      </c>
      <c r="C60" s="705" t="s">
        <v>548</v>
      </c>
      <c r="D60" s="723" t="s">
        <v>549</v>
      </c>
      <c r="E60" s="705" t="s">
        <v>2531</v>
      </c>
      <c r="F60" s="723" t="s">
        <v>2532</v>
      </c>
      <c r="G60" s="705" t="s">
        <v>2659</v>
      </c>
      <c r="H60" s="705" t="s">
        <v>2660</v>
      </c>
      <c r="I60" s="238">
        <v>14.65</v>
      </c>
      <c r="J60" s="238">
        <v>100</v>
      </c>
      <c r="K60" s="713">
        <v>1465</v>
      </c>
    </row>
    <row r="61" spans="1:11" ht="14.4" customHeight="1" x14ac:dyDescent="0.3">
      <c r="A61" s="680" t="s">
        <v>534</v>
      </c>
      <c r="B61" s="671" t="s">
        <v>536</v>
      </c>
      <c r="C61" s="705" t="s">
        <v>548</v>
      </c>
      <c r="D61" s="723" t="s">
        <v>549</v>
      </c>
      <c r="E61" s="705" t="s">
        <v>2531</v>
      </c>
      <c r="F61" s="723" t="s">
        <v>2532</v>
      </c>
      <c r="G61" s="705" t="s">
        <v>2661</v>
      </c>
      <c r="H61" s="705" t="s">
        <v>2662</v>
      </c>
      <c r="I61" s="238">
        <v>148.69999999999999</v>
      </c>
      <c r="J61" s="238">
        <v>30</v>
      </c>
      <c r="K61" s="713">
        <v>4461</v>
      </c>
    </row>
    <row r="62" spans="1:11" ht="14.4" customHeight="1" x14ac:dyDescent="0.3">
      <c r="A62" s="680" t="s">
        <v>534</v>
      </c>
      <c r="B62" s="671" t="s">
        <v>536</v>
      </c>
      <c r="C62" s="705" t="s">
        <v>548</v>
      </c>
      <c r="D62" s="723" t="s">
        <v>549</v>
      </c>
      <c r="E62" s="705" t="s">
        <v>2531</v>
      </c>
      <c r="F62" s="723" t="s">
        <v>2532</v>
      </c>
      <c r="G62" s="705" t="s">
        <v>2663</v>
      </c>
      <c r="H62" s="705" t="s">
        <v>2664</v>
      </c>
      <c r="I62" s="238">
        <v>2.1800000000000002</v>
      </c>
      <c r="J62" s="238">
        <v>200</v>
      </c>
      <c r="K62" s="713">
        <v>436</v>
      </c>
    </row>
    <row r="63" spans="1:11" ht="14.4" customHeight="1" x14ac:dyDescent="0.3">
      <c r="A63" s="680" t="s">
        <v>534</v>
      </c>
      <c r="B63" s="671" t="s">
        <v>536</v>
      </c>
      <c r="C63" s="705" t="s">
        <v>548</v>
      </c>
      <c r="D63" s="723" t="s">
        <v>549</v>
      </c>
      <c r="E63" s="705" t="s">
        <v>2531</v>
      </c>
      <c r="F63" s="723" t="s">
        <v>2532</v>
      </c>
      <c r="G63" s="705" t="s">
        <v>2665</v>
      </c>
      <c r="H63" s="705" t="s">
        <v>2666</v>
      </c>
      <c r="I63" s="238">
        <v>2.855</v>
      </c>
      <c r="J63" s="238">
        <v>400</v>
      </c>
      <c r="K63" s="713">
        <v>1142</v>
      </c>
    </row>
    <row r="64" spans="1:11" ht="14.4" customHeight="1" x14ac:dyDescent="0.3">
      <c r="A64" s="680" t="s">
        <v>534</v>
      </c>
      <c r="B64" s="671" t="s">
        <v>536</v>
      </c>
      <c r="C64" s="705" t="s">
        <v>548</v>
      </c>
      <c r="D64" s="723" t="s">
        <v>549</v>
      </c>
      <c r="E64" s="705" t="s">
        <v>2531</v>
      </c>
      <c r="F64" s="723" t="s">
        <v>2532</v>
      </c>
      <c r="G64" s="705" t="s">
        <v>2667</v>
      </c>
      <c r="H64" s="705" t="s">
        <v>2668</v>
      </c>
      <c r="I64" s="238">
        <v>220.22</v>
      </c>
      <c r="J64" s="238">
        <v>20</v>
      </c>
      <c r="K64" s="713">
        <v>4404.3999999999996</v>
      </c>
    </row>
    <row r="65" spans="1:11" ht="14.4" customHeight="1" x14ac:dyDescent="0.3">
      <c r="A65" s="680" t="s">
        <v>534</v>
      </c>
      <c r="B65" s="671" t="s">
        <v>536</v>
      </c>
      <c r="C65" s="705" t="s">
        <v>548</v>
      </c>
      <c r="D65" s="723" t="s">
        <v>549</v>
      </c>
      <c r="E65" s="705" t="s">
        <v>2531</v>
      </c>
      <c r="F65" s="723" t="s">
        <v>2532</v>
      </c>
      <c r="G65" s="705" t="s">
        <v>2669</v>
      </c>
      <c r="H65" s="705" t="s">
        <v>2670</v>
      </c>
      <c r="I65" s="238">
        <v>1.57</v>
      </c>
      <c r="J65" s="238">
        <v>1100</v>
      </c>
      <c r="K65" s="713">
        <v>1727</v>
      </c>
    </row>
    <row r="66" spans="1:11" ht="14.4" customHeight="1" x14ac:dyDescent="0.3">
      <c r="A66" s="680" t="s">
        <v>534</v>
      </c>
      <c r="B66" s="671" t="s">
        <v>536</v>
      </c>
      <c r="C66" s="705" t="s">
        <v>548</v>
      </c>
      <c r="D66" s="723" t="s">
        <v>549</v>
      </c>
      <c r="E66" s="705" t="s">
        <v>2531</v>
      </c>
      <c r="F66" s="723" t="s">
        <v>2532</v>
      </c>
      <c r="G66" s="705" t="s">
        <v>2671</v>
      </c>
      <c r="H66" s="705" t="s">
        <v>2672</v>
      </c>
      <c r="I66" s="238">
        <v>9.5</v>
      </c>
      <c r="J66" s="238">
        <v>1</v>
      </c>
      <c r="K66" s="713">
        <v>9.5</v>
      </c>
    </row>
    <row r="67" spans="1:11" ht="14.4" customHeight="1" x14ac:dyDescent="0.3">
      <c r="A67" s="680" t="s">
        <v>534</v>
      </c>
      <c r="B67" s="671" t="s">
        <v>536</v>
      </c>
      <c r="C67" s="705" t="s">
        <v>548</v>
      </c>
      <c r="D67" s="723" t="s">
        <v>549</v>
      </c>
      <c r="E67" s="705" t="s">
        <v>2531</v>
      </c>
      <c r="F67" s="723" t="s">
        <v>2532</v>
      </c>
      <c r="G67" s="705" t="s">
        <v>2673</v>
      </c>
      <c r="H67" s="705" t="s">
        <v>2674</v>
      </c>
      <c r="I67" s="238">
        <v>2.9050000000000002</v>
      </c>
      <c r="J67" s="238">
        <v>400</v>
      </c>
      <c r="K67" s="713">
        <v>1162</v>
      </c>
    </row>
    <row r="68" spans="1:11" ht="14.4" customHeight="1" x14ac:dyDescent="0.3">
      <c r="A68" s="680" t="s">
        <v>534</v>
      </c>
      <c r="B68" s="671" t="s">
        <v>536</v>
      </c>
      <c r="C68" s="705" t="s">
        <v>548</v>
      </c>
      <c r="D68" s="723" t="s">
        <v>549</v>
      </c>
      <c r="E68" s="705" t="s">
        <v>2531</v>
      </c>
      <c r="F68" s="723" t="s">
        <v>2532</v>
      </c>
      <c r="G68" s="705" t="s">
        <v>2675</v>
      </c>
      <c r="H68" s="705" t="s">
        <v>2676</v>
      </c>
      <c r="I68" s="238">
        <v>193.84</v>
      </c>
      <c r="J68" s="238">
        <v>2</v>
      </c>
      <c r="K68" s="713">
        <v>387.68</v>
      </c>
    </row>
    <row r="69" spans="1:11" ht="14.4" customHeight="1" x14ac:dyDescent="0.3">
      <c r="A69" s="680" t="s">
        <v>534</v>
      </c>
      <c r="B69" s="671" t="s">
        <v>536</v>
      </c>
      <c r="C69" s="705" t="s">
        <v>548</v>
      </c>
      <c r="D69" s="723" t="s">
        <v>549</v>
      </c>
      <c r="E69" s="705" t="s">
        <v>2531</v>
      </c>
      <c r="F69" s="723" t="s">
        <v>2532</v>
      </c>
      <c r="G69" s="705" t="s">
        <v>2677</v>
      </c>
      <c r="H69" s="705" t="s">
        <v>2678</v>
      </c>
      <c r="I69" s="238">
        <v>833.69</v>
      </c>
      <c r="J69" s="238">
        <v>8</v>
      </c>
      <c r="K69" s="713">
        <v>6669.52</v>
      </c>
    </row>
    <row r="70" spans="1:11" ht="14.4" customHeight="1" x14ac:dyDescent="0.3">
      <c r="A70" s="680" t="s">
        <v>534</v>
      </c>
      <c r="B70" s="671" t="s">
        <v>536</v>
      </c>
      <c r="C70" s="705" t="s">
        <v>548</v>
      </c>
      <c r="D70" s="723" t="s">
        <v>549</v>
      </c>
      <c r="E70" s="705" t="s">
        <v>2531</v>
      </c>
      <c r="F70" s="723" t="s">
        <v>2532</v>
      </c>
      <c r="G70" s="705" t="s">
        <v>2679</v>
      </c>
      <c r="H70" s="705" t="s">
        <v>2680</v>
      </c>
      <c r="I70" s="238">
        <v>15</v>
      </c>
      <c r="J70" s="238">
        <v>30</v>
      </c>
      <c r="K70" s="713">
        <v>450</v>
      </c>
    </row>
    <row r="71" spans="1:11" ht="14.4" customHeight="1" x14ac:dyDescent="0.3">
      <c r="A71" s="680" t="s">
        <v>534</v>
      </c>
      <c r="B71" s="671" t="s">
        <v>536</v>
      </c>
      <c r="C71" s="705" t="s">
        <v>548</v>
      </c>
      <c r="D71" s="723" t="s">
        <v>549</v>
      </c>
      <c r="E71" s="705" t="s">
        <v>2531</v>
      </c>
      <c r="F71" s="723" t="s">
        <v>2532</v>
      </c>
      <c r="G71" s="705" t="s">
        <v>2681</v>
      </c>
      <c r="H71" s="705" t="s">
        <v>2682</v>
      </c>
      <c r="I71" s="238">
        <v>12.105</v>
      </c>
      <c r="J71" s="238">
        <v>30</v>
      </c>
      <c r="K71" s="713">
        <v>363.2</v>
      </c>
    </row>
    <row r="72" spans="1:11" ht="14.4" customHeight="1" x14ac:dyDescent="0.3">
      <c r="A72" s="680" t="s">
        <v>534</v>
      </c>
      <c r="B72" s="671" t="s">
        <v>536</v>
      </c>
      <c r="C72" s="705" t="s">
        <v>548</v>
      </c>
      <c r="D72" s="723" t="s">
        <v>549</v>
      </c>
      <c r="E72" s="705" t="s">
        <v>2531</v>
      </c>
      <c r="F72" s="723" t="s">
        <v>2532</v>
      </c>
      <c r="G72" s="705" t="s">
        <v>2683</v>
      </c>
      <c r="H72" s="705" t="s">
        <v>2684</v>
      </c>
      <c r="I72" s="238">
        <v>2.85</v>
      </c>
      <c r="J72" s="238">
        <v>100</v>
      </c>
      <c r="K72" s="713">
        <v>285</v>
      </c>
    </row>
    <row r="73" spans="1:11" ht="14.4" customHeight="1" x14ac:dyDescent="0.3">
      <c r="A73" s="680" t="s">
        <v>534</v>
      </c>
      <c r="B73" s="671" t="s">
        <v>536</v>
      </c>
      <c r="C73" s="705" t="s">
        <v>548</v>
      </c>
      <c r="D73" s="723" t="s">
        <v>549</v>
      </c>
      <c r="E73" s="705" t="s">
        <v>2531</v>
      </c>
      <c r="F73" s="723" t="s">
        <v>2532</v>
      </c>
      <c r="G73" s="705" t="s">
        <v>2685</v>
      </c>
      <c r="H73" s="705" t="s">
        <v>2686</v>
      </c>
      <c r="I73" s="238">
        <v>5.2</v>
      </c>
      <c r="J73" s="238">
        <v>170</v>
      </c>
      <c r="K73" s="713">
        <v>884</v>
      </c>
    </row>
    <row r="74" spans="1:11" ht="14.4" customHeight="1" x14ac:dyDescent="0.3">
      <c r="A74" s="680" t="s">
        <v>534</v>
      </c>
      <c r="B74" s="671" t="s">
        <v>536</v>
      </c>
      <c r="C74" s="705" t="s">
        <v>548</v>
      </c>
      <c r="D74" s="723" t="s">
        <v>549</v>
      </c>
      <c r="E74" s="705" t="s">
        <v>2531</v>
      </c>
      <c r="F74" s="723" t="s">
        <v>2532</v>
      </c>
      <c r="G74" s="705" t="s">
        <v>2687</v>
      </c>
      <c r="H74" s="705" t="s">
        <v>2688</v>
      </c>
      <c r="I74" s="238">
        <v>13.2</v>
      </c>
      <c r="J74" s="238">
        <v>10</v>
      </c>
      <c r="K74" s="713">
        <v>132</v>
      </c>
    </row>
    <row r="75" spans="1:11" ht="14.4" customHeight="1" x14ac:dyDescent="0.3">
      <c r="A75" s="680" t="s">
        <v>534</v>
      </c>
      <c r="B75" s="671" t="s">
        <v>536</v>
      </c>
      <c r="C75" s="705" t="s">
        <v>548</v>
      </c>
      <c r="D75" s="723" t="s">
        <v>549</v>
      </c>
      <c r="E75" s="705" t="s">
        <v>2531</v>
      </c>
      <c r="F75" s="723" t="s">
        <v>2532</v>
      </c>
      <c r="G75" s="705" t="s">
        <v>2689</v>
      </c>
      <c r="H75" s="705" t="s">
        <v>2690</v>
      </c>
      <c r="I75" s="238">
        <v>1.56</v>
      </c>
      <c r="J75" s="238">
        <v>75</v>
      </c>
      <c r="K75" s="713">
        <v>117</v>
      </c>
    </row>
    <row r="76" spans="1:11" ht="14.4" customHeight="1" x14ac:dyDescent="0.3">
      <c r="A76" s="680" t="s">
        <v>534</v>
      </c>
      <c r="B76" s="671" t="s">
        <v>536</v>
      </c>
      <c r="C76" s="705" t="s">
        <v>548</v>
      </c>
      <c r="D76" s="723" t="s">
        <v>549</v>
      </c>
      <c r="E76" s="705" t="s">
        <v>2531</v>
      </c>
      <c r="F76" s="723" t="s">
        <v>2532</v>
      </c>
      <c r="G76" s="705" t="s">
        <v>2691</v>
      </c>
      <c r="H76" s="705" t="s">
        <v>2692</v>
      </c>
      <c r="I76" s="238">
        <v>0.47</v>
      </c>
      <c r="J76" s="238">
        <v>2000</v>
      </c>
      <c r="K76" s="713">
        <v>940</v>
      </c>
    </row>
    <row r="77" spans="1:11" ht="14.4" customHeight="1" x14ac:dyDescent="0.3">
      <c r="A77" s="680" t="s">
        <v>534</v>
      </c>
      <c r="B77" s="671" t="s">
        <v>536</v>
      </c>
      <c r="C77" s="705" t="s">
        <v>548</v>
      </c>
      <c r="D77" s="723" t="s">
        <v>549</v>
      </c>
      <c r="E77" s="705" t="s">
        <v>2531</v>
      </c>
      <c r="F77" s="723" t="s">
        <v>2532</v>
      </c>
      <c r="G77" s="705" t="s">
        <v>2693</v>
      </c>
      <c r="H77" s="705" t="s">
        <v>2694</v>
      </c>
      <c r="I77" s="238">
        <v>250.8</v>
      </c>
      <c r="J77" s="238">
        <v>25</v>
      </c>
      <c r="K77" s="713">
        <v>6269.92</v>
      </c>
    </row>
    <row r="78" spans="1:11" ht="14.4" customHeight="1" x14ac:dyDescent="0.3">
      <c r="A78" s="680" t="s">
        <v>534</v>
      </c>
      <c r="B78" s="671" t="s">
        <v>536</v>
      </c>
      <c r="C78" s="705" t="s">
        <v>548</v>
      </c>
      <c r="D78" s="723" t="s">
        <v>549</v>
      </c>
      <c r="E78" s="705" t="s">
        <v>2531</v>
      </c>
      <c r="F78" s="723" t="s">
        <v>2532</v>
      </c>
      <c r="G78" s="705" t="s">
        <v>2695</v>
      </c>
      <c r="H78" s="705" t="s">
        <v>2696</v>
      </c>
      <c r="I78" s="238">
        <v>61.06</v>
      </c>
      <c r="J78" s="238">
        <v>50</v>
      </c>
      <c r="K78" s="713">
        <v>3052.83</v>
      </c>
    </row>
    <row r="79" spans="1:11" ht="14.4" customHeight="1" x14ac:dyDescent="0.3">
      <c r="A79" s="680" t="s">
        <v>534</v>
      </c>
      <c r="B79" s="671" t="s">
        <v>536</v>
      </c>
      <c r="C79" s="705" t="s">
        <v>548</v>
      </c>
      <c r="D79" s="723" t="s">
        <v>549</v>
      </c>
      <c r="E79" s="705" t="s">
        <v>2531</v>
      </c>
      <c r="F79" s="723" t="s">
        <v>2532</v>
      </c>
      <c r="G79" s="705" t="s">
        <v>2697</v>
      </c>
      <c r="H79" s="705" t="s">
        <v>2698</v>
      </c>
      <c r="I79" s="238">
        <v>25.71</v>
      </c>
      <c r="J79" s="238">
        <v>50</v>
      </c>
      <c r="K79" s="713">
        <v>1285.6199999999999</v>
      </c>
    </row>
    <row r="80" spans="1:11" ht="14.4" customHeight="1" x14ac:dyDescent="0.3">
      <c r="A80" s="680" t="s">
        <v>534</v>
      </c>
      <c r="B80" s="671" t="s">
        <v>536</v>
      </c>
      <c r="C80" s="705" t="s">
        <v>548</v>
      </c>
      <c r="D80" s="723" t="s">
        <v>549</v>
      </c>
      <c r="E80" s="705" t="s">
        <v>2531</v>
      </c>
      <c r="F80" s="723" t="s">
        <v>2532</v>
      </c>
      <c r="G80" s="705" t="s">
        <v>2699</v>
      </c>
      <c r="H80" s="705" t="s">
        <v>2700</v>
      </c>
      <c r="I80" s="238">
        <v>59.54</v>
      </c>
      <c r="J80" s="238">
        <v>40</v>
      </c>
      <c r="K80" s="713">
        <v>2381.7600000000002</v>
      </c>
    </row>
    <row r="81" spans="1:11" ht="14.4" customHeight="1" x14ac:dyDescent="0.3">
      <c r="A81" s="680" t="s">
        <v>534</v>
      </c>
      <c r="B81" s="671" t="s">
        <v>536</v>
      </c>
      <c r="C81" s="705" t="s">
        <v>548</v>
      </c>
      <c r="D81" s="723" t="s">
        <v>549</v>
      </c>
      <c r="E81" s="705" t="s">
        <v>2531</v>
      </c>
      <c r="F81" s="723" t="s">
        <v>2532</v>
      </c>
      <c r="G81" s="705" t="s">
        <v>2701</v>
      </c>
      <c r="H81" s="705" t="s">
        <v>2702</v>
      </c>
      <c r="I81" s="238">
        <v>232.32</v>
      </c>
      <c r="J81" s="238">
        <v>10</v>
      </c>
      <c r="K81" s="713">
        <v>2323.1999999999998</v>
      </c>
    </row>
    <row r="82" spans="1:11" ht="14.4" customHeight="1" x14ac:dyDescent="0.3">
      <c r="A82" s="680" t="s">
        <v>534</v>
      </c>
      <c r="B82" s="671" t="s">
        <v>536</v>
      </c>
      <c r="C82" s="705" t="s">
        <v>548</v>
      </c>
      <c r="D82" s="723" t="s">
        <v>549</v>
      </c>
      <c r="E82" s="705" t="s">
        <v>2531</v>
      </c>
      <c r="F82" s="723" t="s">
        <v>2532</v>
      </c>
      <c r="G82" s="705" t="s">
        <v>2703</v>
      </c>
      <c r="H82" s="705" t="s">
        <v>2704</v>
      </c>
      <c r="I82" s="238">
        <v>24.2</v>
      </c>
      <c r="J82" s="238">
        <v>50</v>
      </c>
      <c r="K82" s="713">
        <v>1210</v>
      </c>
    </row>
    <row r="83" spans="1:11" ht="14.4" customHeight="1" x14ac:dyDescent="0.3">
      <c r="A83" s="680" t="s">
        <v>534</v>
      </c>
      <c r="B83" s="671" t="s">
        <v>536</v>
      </c>
      <c r="C83" s="705" t="s">
        <v>548</v>
      </c>
      <c r="D83" s="723" t="s">
        <v>549</v>
      </c>
      <c r="E83" s="705" t="s">
        <v>2531</v>
      </c>
      <c r="F83" s="723" t="s">
        <v>2532</v>
      </c>
      <c r="G83" s="705" t="s">
        <v>2705</v>
      </c>
      <c r="H83" s="705" t="s">
        <v>2706</v>
      </c>
      <c r="I83" s="238">
        <v>9.1999999999999993</v>
      </c>
      <c r="J83" s="238">
        <v>600</v>
      </c>
      <c r="K83" s="713">
        <v>5520</v>
      </c>
    </row>
    <row r="84" spans="1:11" ht="14.4" customHeight="1" x14ac:dyDescent="0.3">
      <c r="A84" s="680" t="s">
        <v>534</v>
      </c>
      <c r="B84" s="671" t="s">
        <v>536</v>
      </c>
      <c r="C84" s="705" t="s">
        <v>548</v>
      </c>
      <c r="D84" s="723" t="s">
        <v>549</v>
      </c>
      <c r="E84" s="705" t="s">
        <v>2531</v>
      </c>
      <c r="F84" s="723" t="s">
        <v>2532</v>
      </c>
      <c r="G84" s="705" t="s">
        <v>2707</v>
      </c>
      <c r="H84" s="705" t="s">
        <v>2708</v>
      </c>
      <c r="I84" s="238">
        <v>172.5</v>
      </c>
      <c r="J84" s="238">
        <v>2</v>
      </c>
      <c r="K84" s="713">
        <v>345</v>
      </c>
    </row>
    <row r="85" spans="1:11" ht="14.4" customHeight="1" x14ac:dyDescent="0.3">
      <c r="A85" s="680" t="s">
        <v>534</v>
      </c>
      <c r="B85" s="671" t="s">
        <v>536</v>
      </c>
      <c r="C85" s="705" t="s">
        <v>548</v>
      </c>
      <c r="D85" s="723" t="s">
        <v>549</v>
      </c>
      <c r="E85" s="705" t="s">
        <v>2531</v>
      </c>
      <c r="F85" s="723" t="s">
        <v>2532</v>
      </c>
      <c r="G85" s="705" t="s">
        <v>2709</v>
      </c>
      <c r="H85" s="705" t="s">
        <v>2710</v>
      </c>
      <c r="I85" s="238">
        <v>124.14</v>
      </c>
      <c r="J85" s="238">
        <v>2</v>
      </c>
      <c r="K85" s="713">
        <v>248.29</v>
      </c>
    </row>
    <row r="86" spans="1:11" ht="14.4" customHeight="1" x14ac:dyDescent="0.3">
      <c r="A86" s="680" t="s">
        <v>534</v>
      </c>
      <c r="B86" s="671" t="s">
        <v>536</v>
      </c>
      <c r="C86" s="705" t="s">
        <v>548</v>
      </c>
      <c r="D86" s="723" t="s">
        <v>549</v>
      </c>
      <c r="E86" s="705" t="s">
        <v>2531</v>
      </c>
      <c r="F86" s="723" t="s">
        <v>2532</v>
      </c>
      <c r="G86" s="705" t="s">
        <v>2711</v>
      </c>
      <c r="H86" s="705" t="s">
        <v>2712</v>
      </c>
      <c r="I86" s="238">
        <v>232.32</v>
      </c>
      <c r="J86" s="238">
        <v>10</v>
      </c>
      <c r="K86" s="713">
        <v>2323.1999999999998</v>
      </c>
    </row>
    <row r="87" spans="1:11" ht="14.4" customHeight="1" x14ac:dyDescent="0.3">
      <c r="A87" s="680" t="s">
        <v>534</v>
      </c>
      <c r="B87" s="671" t="s">
        <v>536</v>
      </c>
      <c r="C87" s="705" t="s">
        <v>548</v>
      </c>
      <c r="D87" s="723" t="s">
        <v>549</v>
      </c>
      <c r="E87" s="705" t="s">
        <v>2531</v>
      </c>
      <c r="F87" s="723" t="s">
        <v>2532</v>
      </c>
      <c r="G87" s="705" t="s">
        <v>2713</v>
      </c>
      <c r="H87" s="705" t="s">
        <v>2714</v>
      </c>
      <c r="I87" s="238">
        <v>285.55</v>
      </c>
      <c r="J87" s="238">
        <v>2</v>
      </c>
      <c r="K87" s="713">
        <v>571.1</v>
      </c>
    </row>
    <row r="88" spans="1:11" ht="14.4" customHeight="1" x14ac:dyDescent="0.3">
      <c r="A88" s="680" t="s">
        <v>534</v>
      </c>
      <c r="B88" s="671" t="s">
        <v>536</v>
      </c>
      <c r="C88" s="705" t="s">
        <v>548</v>
      </c>
      <c r="D88" s="723" t="s">
        <v>549</v>
      </c>
      <c r="E88" s="705" t="s">
        <v>2531</v>
      </c>
      <c r="F88" s="723" t="s">
        <v>2532</v>
      </c>
      <c r="G88" s="705" t="s">
        <v>2715</v>
      </c>
      <c r="H88" s="705" t="s">
        <v>2716</v>
      </c>
      <c r="I88" s="238">
        <v>9.5</v>
      </c>
      <c r="J88" s="238">
        <v>1</v>
      </c>
      <c r="K88" s="713">
        <v>9.5</v>
      </c>
    </row>
    <row r="89" spans="1:11" ht="14.4" customHeight="1" x14ac:dyDescent="0.3">
      <c r="A89" s="680" t="s">
        <v>534</v>
      </c>
      <c r="B89" s="671" t="s">
        <v>536</v>
      </c>
      <c r="C89" s="705" t="s">
        <v>548</v>
      </c>
      <c r="D89" s="723" t="s">
        <v>549</v>
      </c>
      <c r="E89" s="705" t="s">
        <v>2541</v>
      </c>
      <c r="F89" s="723" t="s">
        <v>2542</v>
      </c>
      <c r="G89" s="705" t="s">
        <v>2717</v>
      </c>
      <c r="H89" s="705" t="s">
        <v>2718</v>
      </c>
      <c r="I89" s="238">
        <v>8.17</v>
      </c>
      <c r="J89" s="238">
        <v>100</v>
      </c>
      <c r="K89" s="713">
        <v>817</v>
      </c>
    </row>
    <row r="90" spans="1:11" ht="14.4" customHeight="1" x14ac:dyDescent="0.3">
      <c r="A90" s="680" t="s">
        <v>534</v>
      </c>
      <c r="B90" s="671" t="s">
        <v>536</v>
      </c>
      <c r="C90" s="705" t="s">
        <v>548</v>
      </c>
      <c r="D90" s="723" t="s">
        <v>549</v>
      </c>
      <c r="E90" s="705" t="s">
        <v>2541</v>
      </c>
      <c r="F90" s="723" t="s">
        <v>2542</v>
      </c>
      <c r="G90" s="705" t="s">
        <v>2719</v>
      </c>
      <c r="H90" s="705" t="s">
        <v>2720</v>
      </c>
      <c r="I90" s="238">
        <v>250.47</v>
      </c>
      <c r="J90" s="238">
        <v>10</v>
      </c>
      <c r="K90" s="713">
        <v>2504.6999999999998</v>
      </c>
    </row>
    <row r="91" spans="1:11" ht="14.4" customHeight="1" x14ac:dyDescent="0.3">
      <c r="A91" s="680" t="s">
        <v>534</v>
      </c>
      <c r="B91" s="671" t="s">
        <v>536</v>
      </c>
      <c r="C91" s="705" t="s">
        <v>548</v>
      </c>
      <c r="D91" s="723" t="s">
        <v>549</v>
      </c>
      <c r="E91" s="705" t="s">
        <v>2541</v>
      </c>
      <c r="F91" s="723" t="s">
        <v>2542</v>
      </c>
      <c r="G91" s="705" t="s">
        <v>2721</v>
      </c>
      <c r="H91" s="705" t="s">
        <v>2722</v>
      </c>
      <c r="I91" s="238">
        <v>12.71</v>
      </c>
      <c r="J91" s="238">
        <v>100</v>
      </c>
      <c r="K91" s="713">
        <v>1271</v>
      </c>
    </row>
    <row r="92" spans="1:11" ht="14.4" customHeight="1" x14ac:dyDescent="0.3">
      <c r="A92" s="680" t="s">
        <v>534</v>
      </c>
      <c r="B92" s="671" t="s">
        <v>536</v>
      </c>
      <c r="C92" s="705" t="s">
        <v>548</v>
      </c>
      <c r="D92" s="723" t="s">
        <v>549</v>
      </c>
      <c r="E92" s="705" t="s">
        <v>2545</v>
      </c>
      <c r="F92" s="723" t="s">
        <v>2546</v>
      </c>
      <c r="G92" s="705" t="s">
        <v>2723</v>
      </c>
      <c r="H92" s="705" t="s">
        <v>2724</v>
      </c>
      <c r="I92" s="238">
        <v>0.3</v>
      </c>
      <c r="J92" s="238">
        <v>400</v>
      </c>
      <c r="K92" s="713">
        <v>120</v>
      </c>
    </row>
    <row r="93" spans="1:11" ht="14.4" customHeight="1" x14ac:dyDescent="0.3">
      <c r="A93" s="680" t="s">
        <v>534</v>
      </c>
      <c r="B93" s="671" t="s">
        <v>536</v>
      </c>
      <c r="C93" s="705" t="s">
        <v>548</v>
      </c>
      <c r="D93" s="723" t="s">
        <v>549</v>
      </c>
      <c r="E93" s="705" t="s">
        <v>2545</v>
      </c>
      <c r="F93" s="723" t="s">
        <v>2546</v>
      </c>
      <c r="G93" s="705" t="s">
        <v>2725</v>
      </c>
      <c r="H93" s="705" t="s">
        <v>2726</v>
      </c>
      <c r="I93" s="238">
        <v>0.31</v>
      </c>
      <c r="J93" s="238">
        <v>200</v>
      </c>
      <c r="K93" s="713">
        <v>62</v>
      </c>
    </row>
    <row r="94" spans="1:11" ht="14.4" customHeight="1" x14ac:dyDescent="0.3">
      <c r="A94" s="680" t="s">
        <v>534</v>
      </c>
      <c r="B94" s="671" t="s">
        <v>536</v>
      </c>
      <c r="C94" s="705" t="s">
        <v>548</v>
      </c>
      <c r="D94" s="723" t="s">
        <v>549</v>
      </c>
      <c r="E94" s="705" t="s">
        <v>2545</v>
      </c>
      <c r="F94" s="723" t="s">
        <v>2546</v>
      </c>
      <c r="G94" s="705" t="s">
        <v>2727</v>
      </c>
      <c r="H94" s="705" t="s">
        <v>2728</v>
      </c>
      <c r="I94" s="238">
        <v>0.3</v>
      </c>
      <c r="J94" s="238">
        <v>400</v>
      </c>
      <c r="K94" s="713">
        <v>120</v>
      </c>
    </row>
    <row r="95" spans="1:11" ht="14.4" customHeight="1" x14ac:dyDescent="0.3">
      <c r="A95" s="680" t="s">
        <v>534</v>
      </c>
      <c r="B95" s="671" t="s">
        <v>536</v>
      </c>
      <c r="C95" s="705" t="s">
        <v>548</v>
      </c>
      <c r="D95" s="723" t="s">
        <v>549</v>
      </c>
      <c r="E95" s="705" t="s">
        <v>2547</v>
      </c>
      <c r="F95" s="723" t="s">
        <v>2548</v>
      </c>
      <c r="G95" s="705" t="s">
        <v>2729</v>
      </c>
      <c r="H95" s="705" t="s">
        <v>2730</v>
      </c>
      <c r="I95" s="238">
        <v>7.5</v>
      </c>
      <c r="J95" s="238">
        <v>40</v>
      </c>
      <c r="K95" s="713">
        <v>300</v>
      </c>
    </row>
    <row r="96" spans="1:11" ht="14.4" customHeight="1" x14ac:dyDescent="0.3">
      <c r="A96" s="680" t="s">
        <v>534</v>
      </c>
      <c r="B96" s="671" t="s">
        <v>536</v>
      </c>
      <c r="C96" s="705" t="s">
        <v>548</v>
      </c>
      <c r="D96" s="723" t="s">
        <v>549</v>
      </c>
      <c r="E96" s="705" t="s">
        <v>2547</v>
      </c>
      <c r="F96" s="723" t="s">
        <v>2548</v>
      </c>
      <c r="G96" s="705" t="s">
        <v>2731</v>
      </c>
      <c r="H96" s="705" t="s">
        <v>2732</v>
      </c>
      <c r="I96" s="238">
        <v>11</v>
      </c>
      <c r="J96" s="238">
        <v>50</v>
      </c>
      <c r="K96" s="713">
        <v>550</v>
      </c>
    </row>
    <row r="97" spans="1:11" ht="14.4" customHeight="1" x14ac:dyDescent="0.3">
      <c r="A97" s="680" t="s">
        <v>534</v>
      </c>
      <c r="B97" s="671" t="s">
        <v>536</v>
      </c>
      <c r="C97" s="705" t="s">
        <v>548</v>
      </c>
      <c r="D97" s="723" t="s">
        <v>549</v>
      </c>
      <c r="E97" s="705" t="s">
        <v>2547</v>
      </c>
      <c r="F97" s="723" t="s">
        <v>2548</v>
      </c>
      <c r="G97" s="705" t="s">
        <v>2733</v>
      </c>
      <c r="H97" s="705" t="s">
        <v>2734</v>
      </c>
      <c r="I97" s="238">
        <v>0.77</v>
      </c>
      <c r="J97" s="238">
        <v>400</v>
      </c>
      <c r="K97" s="713">
        <v>308</v>
      </c>
    </row>
    <row r="98" spans="1:11" ht="14.4" customHeight="1" x14ac:dyDescent="0.3">
      <c r="A98" s="680" t="s">
        <v>534</v>
      </c>
      <c r="B98" s="671" t="s">
        <v>536</v>
      </c>
      <c r="C98" s="705" t="s">
        <v>548</v>
      </c>
      <c r="D98" s="723" t="s">
        <v>549</v>
      </c>
      <c r="E98" s="705" t="s">
        <v>2547</v>
      </c>
      <c r="F98" s="723" t="s">
        <v>2548</v>
      </c>
      <c r="G98" s="705" t="s">
        <v>2735</v>
      </c>
      <c r="H98" s="705" t="s">
        <v>2736</v>
      </c>
      <c r="I98" s="238">
        <v>0.77</v>
      </c>
      <c r="J98" s="238">
        <v>10000</v>
      </c>
      <c r="K98" s="713">
        <v>7700</v>
      </c>
    </row>
    <row r="99" spans="1:11" ht="14.4" customHeight="1" x14ac:dyDescent="0.3">
      <c r="A99" s="680" t="s">
        <v>534</v>
      </c>
      <c r="B99" s="671" t="s">
        <v>536</v>
      </c>
      <c r="C99" s="705" t="s">
        <v>548</v>
      </c>
      <c r="D99" s="723" t="s">
        <v>549</v>
      </c>
      <c r="E99" s="705" t="s">
        <v>2547</v>
      </c>
      <c r="F99" s="723" t="s">
        <v>2548</v>
      </c>
      <c r="G99" s="705" t="s">
        <v>2737</v>
      </c>
      <c r="H99" s="705" t="s">
        <v>2738</v>
      </c>
      <c r="I99" s="238">
        <v>0.77500000000000002</v>
      </c>
      <c r="J99" s="238">
        <v>400</v>
      </c>
      <c r="K99" s="713">
        <v>310</v>
      </c>
    </row>
    <row r="100" spans="1:11" ht="14.4" customHeight="1" x14ac:dyDescent="0.3">
      <c r="A100" s="680" t="s">
        <v>534</v>
      </c>
      <c r="B100" s="671" t="s">
        <v>536</v>
      </c>
      <c r="C100" s="705" t="s">
        <v>548</v>
      </c>
      <c r="D100" s="723" t="s">
        <v>549</v>
      </c>
      <c r="E100" s="705" t="s">
        <v>2527</v>
      </c>
      <c r="F100" s="723" t="s">
        <v>2528</v>
      </c>
      <c r="G100" s="705" t="s">
        <v>2739</v>
      </c>
      <c r="H100" s="705" t="s">
        <v>2740</v>
      </c>
      <c r="I100" s="238">
        <v>139.44</v>
      </c>
      <c r="J100" s="238">
        <v>10</v>
      </c>
      <c r="K100" s="713">
        <v>1394.4</v>
      </c>
    </row>
    <row r="101" spans="1:11" ht="14.4" customHeight="1" x14ac:dyDescent="0.3">
      <c r="A101" s="680" t="s">
        <v>534</v>
      </c>
      <c r="B101" s="671" t="s">
        <v>536</v>
      </c>
      <c r="C101" s="705" t="s">
        <v>548</v>
      </c>
      <c r="D101" s="723" t="s">
        <v>549</v>
      </c>
      <c r="E101" s="705" t="s">
        <v>2527</v>
      </c>
      <c r="F101" s="723" t="s">
        <v>2528</v>
      </c>
      <c r="G101" s="705" t="s">
        <v>2741</v>
      </c>
      <c r="H101" s="705" t="s">
        <v>2742</v>
      </c>
      <c r="I101" s="238">
        <v>139.43</v>
      </c>
      <c r="J101" s="238">
        <v>10</v>
      </c>
      <c r="K101" s="713">
        <v>1394.28</v>
      </c>
    </row>
    <row r="102" spans="1:11" ht="14.4" customHeight="1" x14ac:dyDescent="0.3">
      <c r="A102" s="680" t="s">
        <v>534</v>
      </c>
      <c r="B102" s="671" t="s">
        <v>536</v>
      </c>
      <c r="C102" s="705" t="s">
        <v>548</v>
      </c>
      <c r="D102" s="723" t="s">
        <v>549</v>
      </c>
      <c r="E102" s="705" t="s">
        <v>2527</v>
      </c>
      <c r="F102" s="723" t="s">
        <v>2528</v>
      </c>
      <c r="G102" s="705" t="s">
        <v>2743</v>
      </c>
      <c r="H102" s="705" t="s">
        <v>2744</v>
      </c>
      <c r="I102" s="238">
        <v>11.65</v>
      </c>
      <c r="J102" s="238">
        <v>20</v>
      </c>
      <c r="K102" s="713">
        <v>233.06</v>
      </c>
    </row>
    <row r="103" spans="1:11" ht="14.4" customHeight="1" x14ac:dyDescent="0.3">
      <c r="A103" s="680" t="s">
        <v>534</v>
      </c>
      <c r="B103" s="671" t="s">
        <v>536</v>
      </c>
      <c r="C103" s="705" t="s">
        <v>552</v>
      </c>
      <c r="D103" s="723" t="s">
        <v>553</v>
      </c>
      <c r="E103" s="705" t="s">
        <v>2529</v>
      </c>
      <c r="F103" s="723" t="s">
        <v>2530</v>
      </c>
      <c r="G103" s="705" t="s">
        <v>2555</v>
      </c>
      <c r="H103" s="705" t="s">
        <v>2556</v>
      </c>
      <c r="I103" s="238">
        <v>27.36</v>
      </c>
      <c r="J103" s="238">
        <v>11</v>
      </c>
      <c r="K103" s="713">
        <v>300.96000000000004</v>
      </c>
    </row>
    <row r="104" spans="1:11" ht="14.4" customHeight="1" x14ac:dyDescent="0.3">
      <c r="A104" s="680" t="s">
        <v>534</v>
      </c>
      <c r="B104" s="671" t="s">
        <v>536</v>
      </c>
      <c r="C104" s="705" t="s">
        <v>552</v>
      </c>
      <c r="D104" s="723" t="s">
        <v>553</v>
      </c>
      <c r="E104" s="705" t="s">
        <v>2529</v>
      </c>
      <c r="F104" s="723" t="s">
        <v>2530</v>
      </c>
      <c r="G104" s="705" t="s">
        <v>2591</v>
      </c>
      <c r="H104" s="705" t="s">
        <v>2592</v>
      </c>
      <c r="I104" s="238">
        <v>0.85</v>
      </c>
      <c r="J104" s="238">
        <v>50</v>
      </c>
      <c r="K104" s="713">
        <v>42.5</v>
      </c>
    </row>
    <row r="105" spans="1:11" ht="14.4" customHeight="1" x14ac:dyDescent="0.3">
      <c r="A105" s="680" t="s">
        <v>534</v>
      </c>
      <c r="B105" s="671" t="s">
        <v>536</v>
      </c>
      <c r="C105" s="705" t="s">
        <v>552</v>
      </c>
      <c r="D105" s="723" t="s">
        <v>553</v>
      </c>
      <c r="E105" s="705" t="s">
        <v>2529</v>
      </c>
      <c r="F105" s="723" t="s">
        <v>2530</v>
      </c>
      <c r="G105" s="705" t="s">
        <v>2593</v>
      </c>
      <c r="H105" s="705" t="s">
        <v>2594</v>
      </c>
      <c r="I105" s="238">
        <v>1.51</v>
      </c>
      <c r="J105" s="238">
        <v>25</v>
      </c>
      <c r="K105" s="713">
        <v>37.75</v>
      </c>
    </row>
    <row r="106" spans="1:11" ht="14.4" customHeight="1" x14ac:dyDescent="0.3">
      <c r="A106" s="680" t="s">
        <v>534</v>
      </c>
      <c r="B106" s="671" t="s">
        <v>536</v>
      </c>
      <c r="C106" s="705" t="s">
        <v>552</v>
      </c>
      <c r="D106" s="723" t="s">
        <v>553</v>
      </c>
      <c r="E106" s="705" t="s">
        <v>2529</v>
      </c>
      <c r="F106" s="723" t="s">
        <v>2530</v>
      </c>
      <c r="G106" s="705" t="s">
        <v>2745</v>
      </c>
      <c r="H106" s="705" t="s">
        <v>2746</v>
      </c>
      <c r="I106" s="238">
        <v>26.01</v>
      </c>
      <c r="J106" s="238">
        <v>10</v>
      </c>
      <c r="K106" s="713">
        <v>260.14999999999998</v>
      </c>
    </row>
    <row r="107" spans="1:11" ht="14.4" customHeight="1" x14ac:dyDescent="0.3">
      <c r="A107" s="680" t="s">
        <v>534</v>
      </c>
      <c r="B107" s="671" t="s">
        <v>536</v>
      </c>
      <c r="C107" s="705" t="s">
        <v>552</v>
      </c>
      <c r="D107" s="723" t="s">
        <v>553</v>
      </c>
      <c r="E107" s="705" t="s">
        <v>2531</v>
      </c>
      <c r="F107" s="723" t="s">
        <v>2532</v>
      </c>
      <c r="G107" s="705" t="s">
        <v>2623</v>
      </c>
      <c r="H107" s="705" t="s">
        <v>2624</v>
      </c>
      <c r="I107" s="238">
        <v>0.42</v>
      </c>
      <c r="J107" s="238">
        <v>100</v>
      </c>
      <c r="K107" s="713">
        <v>42</v>
      </c>
    </row>
    <row r="108" spans="1:11" ht="14.4" customHeight="1" x14ac:dyDescent="0.3">
      <c r="A108" s="680" t="s">
        <v>534</v>
      </c>
      <c r="B108" s="671" t="s">
        <v>536</v>
      </c>
      <c r="C108" s="705" t="s">
        <v>552</v>
      </c>
      <c r="D108" s="723" t="s">
        <v>553</v>
      </c>
      <c r="E108" s="705" t="s">
        <v>2531</v>
      </c>
      <c r="F108" s="723" t="s">
        <v>2532</v>
      </c>
      <c r="G108" s="705" t="s">
        <v>2747</v>
      </c>
      <c r="H108" s="705" t="s">
        <v>2748</v>
      </c>
      <c r="I108" s="238">
        <v>2.78</v>
      </c>
      <c r="J108" s="238">
        <v>30</v>
      </c>
      <c r="K108" s="713">
        <v>83.4</v>
      </c>
    </row>
    <row r="109" spans="1:11" ht="14.4" customHeight="1" x14ac:dyDescent="0.3">
      <c r="A109" s="680" t="s">
        <v>534</v>
      </c>
      <c r="B109" s="671" t="s">
        <v>536</v>
      </c>
      <c r="C109" s="705" t="s">
        <v>552</v>
      </c>
      <c r="D109" s="723" t="s">
        <v>553</v>
      </c>
      <c r="E109" s="705" t="s">
        <v>2531</v>
      </c>
      <c r="F109" s="723" t="s">
        <v>2532</v>
      </c>
      <c r="G109" s="705" t="s">
        <v>2647</v>
      </c>
      <c r="H109" s="705" t="s">
        <v>2648</v>
      </c>
      <c r="I109" s="238">
        <v>1.78</v>
      </c>
      <c r="J109" s="238">
        <v>150</v>
      </c>
      <c r="K109" s="713">
        <v>267</v>
      </c>
    </row>
    <row r="110" spans="1:11" ht="14.4" customHeight="1" x14ac:dyDescent="0.3">
      <c r="A110" s="680" t="s">
        <v>534</v>
      </c>
      <c r="B110" s="671" t="s">
        <v>536</v>
      </c>
      <c r="C110" s="705" t="s">
        <v>552</v>
      </c>
      <c r="D110" s="723" t="s">
        <v>553</v>
      </c>
      <c r="E110" s="705" t="s">
        <v>2531</v>
      </c>
      <c r="F110" s="723" t="s">
        <v>2532</v>
      </c>
      <c r="G110" s="705" t="s">
        <v>2649</v>
      </c>
      <c r="H110" s="705" t="s">
        <v>2650</v>
      </c>
      <c r="I110" s="238">
        <v>1.79</v>
      </c>
      <c r="J110" s="238">
        <v>150</v>
      </c>
      <c r="K110" s="713">
        <v>269</v>
      </c>
    </row>
    <row r="111" spans="1:11" ht="14.4" customHeight="1" x14ac:dyDescent="0.3">
      <c r="A111" s="680" t="s">
        <v>534</v>
      </c>
      <c r="B111" s="671" t="s">
        <v>536</v>
      </c>
      <c r="C111" s="705" t="s">
        <v>552</v>
      </c>
      <c r="D111" s="723" t="s">
        <v>553</v>
      </c>
      <c r="E111" s="705" t="s">
        <v>2531</v>
      </c>
      <c r="F111" s="723" t="s">
        <v>2532</v>
      </c>
      <c r="G111" s="705" t="s">
        <v>2749</v>
      </c>
      <c r="H111" s="705" t="s">
        <v>2750</v>
      </c>
      <c r="I111" s="238">
        <v>2.85</v>
      </c>
      <c r="J111" s="238">
        <v>100</v>
      </c>
      <c r="K111" s="713">
        <v>285</v>
      </c>
    </row>
    <row r="112" spans="1:11" ht="14.4" customHeight="1" x14ac:dyDescent="0.3">
      <c r="A112" s="680" t="s">
        <v>534</v>
      </c>
      <c r="B112" s="671" t="s">
        <v>536</v>
      </c>
      <c r="C112" s="705" t="s">
        <v>552</v>
      </c>
      <c r="D112" s="723" t="s">
        <v>553</v>
      </c>
      <c r="E112" s="705" t="s">
        <v>2531</v>
      </c>
      <c r="F112" s="723" t="s">
        <v>2532</v>
      </c>
      <c r="G112" s="705" t="s">
        <v>2751</v>
      </c>
      <c r="H112" s="705" t="s">
        <v>2752</v>
      </c>
      <c r="I112" s="238">
        <v>1.77</v>
      </c>
      <c r="J112" s="238">
        <v>50</v>
      </c>
      <c r="K112" s="713">
        <v>88.5</v>
      </c>
    </row>
    <row r="113" spans="1:11" ht="14.4" customHeight="1" x14ac:dyDescent="0.3">
      <c r="A113" s="680" t="s">
        <v>534</v>
      </c>
      <c r="B113" s="671" t="s">
        <v>536</v>
      </c>
      <c r="C113" s="705" t="s">
        <v>552</v>
      </c>
      <c r="D113" s="723" t="s">
        <v>553</v>
      </c>
      <c r="E113" s="705" t="s">
        <v>2531</v>
      </c>
      <c r="F113" s="723" t="s">
        <v>2532</v>
      </c>
      <c r="G113" s="705" t="s">
        <v>2651</v>
      </c>
      <c r="H113" s="705" t="s">
        <v>2652</v>
      </c>
      <c r="I113" s="238">
        <v>1.75</v>
      </c>
      <c r="J113" s="238">
        <v>200</v>
      </c>
      <c r="K113" s="713">
        <v>350</v>
      </c>
    </row>
    <row r="114" spans="1:11" ht="14.4" customHeight="1" x14ac:dyDescent="0.3">
      <c r="A114" s="680" t="s">
        <v>534</v>
      </c>
      <c r="B114" s="671" t="s">
        <v>536</v>
      </c>
      <c r="C114" s="705" t="s">
        <v>552</v>
      </c>
      <c r="D114" s="723" t="s">
        <v>553</v>
      </c>
      <c r="E114" s="705" t="s">
        <v>2531</v>
      </c>
      <c r="F114" s="723" t="s">
        <v>2532</v>
      </c>
      <c r="G114" s="705" t="s">
        <v>2653</v>
      </c>
      <c r="H114" s="705" t="s">
        <v>2654</v>
      </c>
      <c r="I114" s="238">
        <v>0.01</v>
      </c>
      <c r="J114" s="238">
        <v>100</v>
      </c>
      <c r="K114" s="713">
        <v>1</v>
      </c>
    </row>
    <row r="115" spans="1:11" ht="14.4" customHeight="1" x14ac:dyDescent="0.3">
      <c r="A115" s="680" t="s">
        <v>534</v>
      </c>
      <c r="B115" s="671" t="s">
        <v>536</v>
      </c>
      <c r="C115" s="705" t="s">
        <v>552</v>
      </c>
      <c r="D115" s="723" t="s">
        <v>553</v>
      </c>
      <c r="E115" s="705" t="s">
        <v>2531</v>
      </c>
      <c r="F115" s="723" t="s">
        <v>2532</v>
      </c>
      <c r="G115" s="705" t="s">
        <v>2657</v>
      </c>
      <c r="H115" s="705" t="s">
        <v>2658</v>
      </c>
      <c r="I115" s="238">
        <v>1.9950000000000001</v>
      </c>
      <c r="J115" s="238">
        <v>150</v>
      </c>
      <c r="K115" s="713">
        <v>299.5</v>
      </c>
    </row>
    <row r="116" spans="1:11" ht="14.4" customHeight="1" x14ac:dyDescent="0.3">
      <c r="A116" s="680" t="s">
        <v>534</v>
      </c>
      <c r="B116" s="671" t="s">
        <v>536</v>
      </c>
      <c r="C116" s="705" t="s">
        <v>552</v>
      </c>
      <c r="D116" s="723" t="s">
        <v>553</v>
      </c>
      <c r="E116" s="705" t="s">
        <v>2531</v>
      </c>
      <c r="F116" s="723" t="s">
        <v>2532</v>
      </c>
      <c r="G116" s="705" t="s">
        <v>2753</v>
      </c>
      <c r="H116" s="705" t="s">
        <v>2754</v>
      </c>
      <c r="I116" s="238">
        <v>17.98</v>
      </c>
      <c r="J116" s="238">
        <v>50</v>
      </c>
      <c r="K116" s="713">
        <v>899.03</v>
      </c>
    </row>
    <row r="117" spans="1:11" ht="14.4" customHeight="1" x14ac:dyDescent="0.3">
      <c r="A117" s="680" t="s">
        <v>534</v>
      </c>
      <c r="B117" s="671" t="s">
        <v>536</v>
      </c>
      <c r="C117" s="705" t="s">
        <v>552</v>
      </c>
      <c r="D117" s="723" t="s">
        <v>553</v>
      </c>
      <c r="E117" s="705" t="s">
        <v>2531</v>
      </c>
      <c r="F117" s="723" t="s">
        <v>2532</v>
      </c>
      <c r="G117" s="705" t="s">
        <v>2705</v>
      </c>
      <c r="H117" s="705" t="s">
        <v>2706</v>
      </c>
      <c r="I117" s="238">
        <v>9.1999999999999993</v>
      </c>
      <c r="J117" s="238">
        <v>50</v>
      </c>
      <c r="K117" s="713">
        <v>460</v>
      </c>
    </row>
    <row r="118" spans="1:11" ht="14.4" customHeight="1" x14ac:dyDescent="0.3">
      <c r="A118" s="680" t="s">
        <v>534</v>
      </c>
      <c r="B118" s="671" t="s">
        <v>536</v>
      </c>
      <c r="C118" s="705" t="s">
        <v>552</v>
      </c>
      <c r="D118" s="723" t="s">
        <v>553</v>
      </c>
      <c r="E118" s="705" t="s">
        <v>2547</v>
      </c>
      <c r="F118" s="723" t="s">
        <v>2548</v>
      </c>
      <c r="G118" s="705" t="s">
        <v>2737</v>
      </c>
      <c r="H118" s="705" t="s">
        <v>2738</v>
      </c>
      <c r="I118" s="238">
        <v>0.78</v>
      </c>
      <c r="J118" s="238">
        <v>100</v>
      </c>
      <c r="K118" s="713">
        <v>78</v>
      </c>
    </row>
    <row r="119" spans="1:11" ht="14.4" customHeight="1" x14ac:dyDescent="0.3">
      <c r="A119" s="680" t="s">
        <v>534</v>
      </c>
      <c r="B119" s="671" t="s">
        <v>536</v>
      </c>
      <c r="C119" s="705" t="s">
        <v>554</v>
      </c>
      <c r="D119" s="723" t="s">
        <v>555</v>
      </c>
      <c r="E119" s="705" t="s">
        <v>2529</v>
      </c>
      <c r="F119" s="723" t="s">
        <v>2530</v>
      </c>
      <c r="G119" s="705" t="s">
        <v>2549</v>
      </c>
      <c r="H119" s="705" t="s">
        <v>2550</v>
      </c>
      <c r="I119" s="238">
        <v>0.39</v>
      </c>
      <c r="J119" s="238">
        <v>200</v>
      </c>
      <c r="K119" s="713">
        <v>78</v>
      </c>
    </row>
    <row r="120" spans="1:11" ht="14.4" customHeight="1" x14ac:dyDescent="0.3">
      <c r="A120" s="680" t="s">
        <v>534</v>
      </c>
      <c r="B120" s="671" t="s">
        <v>536</v>
      </c>
      <c r="C120" s="705" t="s">
        <v>554</v>
      </c>
      <c r="D120" s="723" t="s">
        <v>555</v>
      </c>
      <c r="E120" s="705" t="s">
        <v>2529</v>
      </c>
      <c r="F120" s="723" t="s">
        <v>2530</v>
      </c>
      <c r="G120" s="705" t="s">
        <v>2755</v>
      </c>
      <c r="H120" s="705" t="s">
        <v>2756</v>
      </c>
      <c r="I120" s="238">
        <v>5.73</v>
      </c>
      <c r="J120" s="238">
        <v>60</v>
      </c>
      <c r="K120" s="713">
        <v>343.8</v>
      </c>
    </row>
    <row r="121" spans="1:11" ht="14.4" customHeight="1" x14ac:dyDescent="0.3">
      <c r="A121" s="680" t="s">
        <v>534</v>
      </c>
      <c r="B121" s="671" t="s">
        <v>536</v>
      </c>
      <c r="C121" s="705" t="s">
        <v>554</v>
      </c>
      <c r="D121" s="723" t="s">
        <v>555</v>
      </c>
      <c r="E121" s="705" t="s">
        <v>2529</v>
      </c>
      <c r="F121" s="723" t="s">
        <v>2530</v>
      </c>
      <c r="G121" s="705" t="s">
        <v>2757</v>
      </c>
      <c r="H121" s="705" t="s">
        <v>2758</v>
      </c>
      <c r="I121" s="238">
        <v>4.3</v>
      </c>
      <c r="J121" s="238">
        <v>12</v>
      </c>
      <c r="K121" s="713">
        <v>51.6</v>
      </c>
    </row>
    <row r="122" spans="1:11" ht="14.4" customHeight="1" x14ac:dyDescent="0.3">
      <c r="A122" s="680" t="s">
        <v>534</v>
      </c>
      <c r="B122" s="671" t="s">
        <v>536</v>
      </c>
      <c r="C122" s="705" t="s">
        <v>554</v>
      </c>
      <c r="D122" s="723" t="s">
        <v>555</v>
      </c>
      <c r="E122" s="705" t="s">
        <v>2529</v>
      </c>
      <c r="F122" s="723" t="s">
        <v>2530</v>
      </c>
      <c r="G122" s="705" t="s">
        <v>2551</v>
      </c>
      <c r="H122" s="705" t="s">
        <v>2552</v>
      </c>
      <c r="I122" s="238">
        <v>2.39</v>
      </c>
      <c r="J122" s="238">
        <v>20</v>
      </c>
      <c r="K122" s="713">
        <v>47.8</v>
      </c>
    </row>
    <row r="123" spans="1:11" ht="14.4" customHeight="1" x14ac:dyDescent="0.3">
      <c r="A123" s="680" t="s">
        <v>534</v>
      </c>
      <c r="B123" s="671" t="s">
        <v>536</v>
      </c>
      <c r="C123" s="705" t="s">
        <v>554</v>
      </c>
      <c r="D123" s="723" t="s">
        <v>555</v>
      </c>
      <c r="E123" s="705" t="s">
        <v>2529</v>
      </c>
      <c r="F123" s="723" t="s">
        <v>2530</v>
      </c>
      <c r="G123" s="705" t="s">
        <v>2553</v>
      </c>
      <c r="H123" s="705" t="s">
        <v>2554</v>
      </c>
      <c r="I123" s="238">
        <v>3.78</v>
      </c>
      <c r="J123" s="238">
        <v>20</v>
      </c>
      <c r="K123" s="713">
        <v>75.599999999999994</v>
      </c>
    </row>
    <row r="124" spans="1:11" ht="14.4" customHeight="1" x14ac:dyDescent="0.3">
      <c r="A124" s="680" t="s">
        <v>534</v>
      </c>
      <c r="B124" s="671" t="s">
        <v>536</v>
      </c>
      <c r="C124" s="705" t="s">
        <v>554</v>
      </c>
      <c r="D124" s="723" t="s">
        <v>555</v>
      </c>
      <c r="E124" s="705" t="s">
        <v>2529</v>
      </c>
      <c r="F124" s="723" t="s">
        <v>2530</v>
      </c>
      <c r="G124" s="705" t="s">
        <v>2759</v>
      </c>
      <c r="H124" s="705" t="s">
        <v>2760</v>
      </c>
      <c r="I124" s="238">
        <v>9.2899999999999991</v>
      </c>
      <c r="J124" s="238">
        <v>100</v>
      </c>
      <c r="K124" s="713">
        <v>929</v>
      </c>
    </row>
    <row r="125" spans="1:11" ht="14.4" customHeight="1" x14ac:dyDescent="0.3">
      <c r="A125" s="680" t="s">
        <v>534</v>
      </c>
      <c r="B125" s="671" t="s">
        <v>536</v>
      </c>
      <c r="C125" s="705" t="s">
        <v>554</v>
      </c>
      <c r="D125" s="723" t="s">
        <v>555</v>
      </c>
      <c r="E125" s="705" t="s">
        <v>2529</v>
      </c>
      <c r="F125" s="723" t="s">
        <v>2530</v>
      </c>
      <c r="G125" s="705" t="s">
        <v>2555</v>
      </c>
      <c r="H125" s="705" t="s">
        <v>2556</v>
      </c>
      <c r="I125" s="238">
        <v>27.37</v>
      </c>
      <c r="J125" s="238">
        <v>24</v>
      </c>
      <c r="K125" s="713">
        <v>656.88</v>
      </c>
    </row>
    <row r="126" spans="1:11" ht="14.4" customHeight="1" x14ac:dyDescent="0.3">
      <c r="A126" s="680" t="s">
        <v>534</v>
      </c>
      <c r="B126" s="671" t="s">
        <v>536</v>
      </c>
      <c r="C126" s="705" t="s">
        <v>554</v>
      </c>
      <c r="D126" s="723" t="s">
        <v>555</v>
      </c>
      <c r="E126" s="705" t="s">
        <v>2529</v>
      </c>
      <c r="F126" s="723" t="s">
        <v>2530</v>
      </c>
      <c r="G126" s="705" t="s">
        <v>2559</v>
      </c>
      <c r="H126" s="705" t="s">
        <v>2560</v>
      </c>
      <c r="I126" s="238">
        <v>1.42</v>
      </c>
      <c r="J126" s="238">
        <v>800</v>
      </c>
      <c r="K126" s="713">
        <v>1136</v>
      </c>
    </row>
    <row r="127" spans="1:11" ht="14.4" customHeight="1" x14ac:dyDescent="0.3">
      <c r="A127" s="680" t="s">
        <v>534</v>
      </c>
      <c r="B127" s="671" t="s">
        <v>536</v>
      </c>
      <c r="C127" s="705" t="s">
        <v>554</v>
      </c>
      <c r="D127" s="723" t="s">
        <v>555</v>
      </c>
      <c r="E127" s="705" t="s">
        <v>2529</v>
      </c>
      <c r="F127" s="723" t="s">
        <v>2530</v>
      </c>
      <c r="G127" s="705" t="s">
        <v>2761</v>
      </c>
      <c r="H127" s="705" t="s">
        <v>2762</v>
      </c>
      <c r="I127" s="238">
        <v>129.26</v>
      </c>
      <c r="J127" s="238">
        <v>10</v>
      </c>
      <c r="K127" s="713">
        <v>1292.5999999999999</v>
      </c>
    </row>
    <row r="128" spans="1:11" ht="14.4" customHeight="1" x14ac:dyDescent="0.3">
      <c r="A128" s="680" t="s">
        <v>534</v>
      </c>
      <c r="B128" s="671" t="s">
        <v>536</v>
      </c>
      <c r="C128" s="705" t="s">
        <v>554</v>
      </c>
      <c r="D128" s="723" t="s">
        <v>555</v>
      </c>
      <c r="E128" s="705" t="s">
        <v>2529</v>
      </c>
      <c r="F128" s="723" t="s">
        <v>2530</v>
      </c>
      <c r="G128" s="705" t="s">
        <v>2561</v>
      </c>
      <c r="H128" s="705" t="s">
        <v>2562</v>
      </c>
      <c r="I128" s="238">
        <v>10.56</v>
      </c>
      <c r="J128" s="238">
        <v>100</v>
      </c>
      <c r="K128" s="713">
        <v>1056</v>
      </c>
    </row>
    <row r="129" spans="1:11" ht="14.4" customHeight="1" x14ac:dyDescent="0.3">
      <c r="A129" s="680" t="s">
        <v>534</v>
      </c>
      <c r="B129" s="671" t="s">
        <v>536</v>
      </c>
      <c r="C129" s="705" t="s">
        <v>554</v>
      </c>
      <c r="D129" s="723" t="s">
        <v>555</v>
      </c>
      <c r="E129" s="705" t="s">
        <v>2529</v>
      </c>
      <c r="F129" s="723" t="s">
        <v>2530</v>
      </c>
      <c r="G129" s="705" t="s">
        <v>2763</v>
      </c>
      <c r="H129" s="705" t="s">
        <v>2764</v>
      </c>
      <c r="I129" s="238">
        <v>0.28000000000000003</v>
      </c>
      <c r="J129" s="238">
        <v>600</v>
      </c>
      <c r="K129" s="713">
        <v>168</v>
      </c>
    </row>
    <row r="130" spans="1:11" ht="14.4" customHeight="1" x14ac:dyDescent="0.3">
      <c r="A130" s="680" t="s">
        <v>534</v>
      </c>
      <c r="B130" s="671" t="s">
        <v>536</v>
      </c>
      <c r="C130" s="705" t="s">
        <v>554</v>
      </c>
      <c r="D130" s="723" t="s">
        <v>555</v>
      </c>
      <c r="E130" s="705" t="s">
        <v>2529</v>
      </c>
      <c r="F130" s="723" t="s">
        <v>2530</v>
      </c>
      <c r="G130" s="705" t="s">
        <v>2765</v>
      </c>
      <c r="H130" s="705" t="s">
        <v>2766</v>
      </c>
      <c r="I130" s="238">
        <v>0.27500000000000002</v>
      </c>
      <c r="J130" s="238">
        <v>700</v>
      </c>
      <c r="K130" s="713">
        <v>197</v>
      </c>
    </row>
    <row r="131" spans="1:11" ht="14.4" customHeight="1" x14ac:dyDescent="0.3">
      <c r="A131" s="680" t="s">
        <v>534</v>
      </c>
      <c r="B131" s="671" t="s">
        <v>536</v>
      </c>
      <c r="C131" s="705" t="s">
        <v>554</v>
      </c>
      <c r="D131" s="723" t="s">
        <v>555</v>
      </c>
      <c r="E131" s="705" t="s">
        <v>2529</v>
      </c>
      <c r="F131" s="723" t="s">
        <v>2530</v>
      </c>
      <c r="G131" s="705" t="s">
        <v>2563</v>
      </c>
      <c r="H131" s="705" t="s">
        <v>2564</v>
      </c>
      <c r="I131" s="238">
        <v>61.21</v>
      </c>
      <c r="J131" s="238">
        <v>1</v>
      </c>
      <c r="K131" s="713">
        <v>61.21</v>
      </c>
    </row>
    <row r="132" spans="1:11" ht="14.4" customHeight="1" x14ac:dyDescent="0.3">
      <c r="A132" s="680" t="s">
        <v>534</v>
      </c>
      <c r="B132" s="671" t="s">
        <v>536</v>
      </c>
      <c r="C132" s="705" t="s">
        <v>554</v>
      </c>
      <c r="D132" s="723" t="s">
        <v>555</v>
      </c>
      <c r="E132" s="705" t="s">
        <v>2529</v>
      </c>
      <c r="F132" s="723" t="s">
        <v>2530</v>
      </c>
      <c r="G132" s="705" t="s">
        <v>2767</v>
      </c>
      <c r="H132" s="705" t="s">
        <v>2768</v>
      </c>
      <c r="I132" s="238">
        <v>25.55</v>
      </c>
      <c r="J132" s="238">
        <v>24</v>
      </c>
      <c r="K132" s="713">
        <v>613.08000000000004</v>
      </c>
    </row>
    <row r="133" spans="1:11" ht="14.4" customHeight="1" x14ac:dyDescent="0.3">
      <c r="A133" s="680" t="s">
        <v>534</v>
      </c>
      <c r="B133" s="671" t="s">
        <v>536</v>
      </c>
      <c r="C133" s="705" t="s">
        <v>554</v>
      </c>
      <c r="D133" s="723" t="s">
        <v>555</v>
      </c>
      <c r="E133" s="705" t="s">
        <v>2529</v>
      </c>
      <c r="F133" s="723" t="s">
        <v>2530</v>
      </c>
      <c r="G133" s="705" t="s">
        <v>2565</v>
      </c>
      <c r="H133" s="705" t="s">
        <v>2566</v>
      </c>
      <c r="I133" s="238">
        <v>22.15</v>
      </c>
      <c r="J133" s="238">
        <v>50</v>
      </c>
      <c r="K133" s="713">
        <v>1107.5</v>
      </c>
    </row>
    <row r="134" spans="1:11" ht="14.4" customHeight="1" x14ac:dyDescent="0.3">
      <c r="A134" s="680" t="s">
        <v>534</v>
      </c>
      <c r="B134" s="671" t="s">
        <v>536</v>
      </c>
      <c r="C134" s="705" t="s">
        <v>554</v>
      </c>
      <c r="D134" s="723" t="s">
        <v>555</v>
      </c>
      <c r="E134" s="705" t="s">
        <v>2529</v>
      </c>
      <c r="F134" s="723" t="s">
        <v>2530</v>
      </c>
      <c r="G134" s="705" t="s">
        <v>2567</v>
      </c>
      <c r="H134" s="705" t="s">
        <v>2568</v>
      </c>
      <c r="I134" s="238">
        <v>1.38</v>
      </c>
      <c r="J134" s="238">
        <v>250</v>
      </c>
      <c r="K134" s="713">
        <v>345</v>
      </c>
    </row>
    <row r="135" spans="1:11" ht="14.4" customHeight="1" x14ac:dyDescent="0.3">
      <c r="A135" s="680" t="s">
        <v>534</v>
      </c>
      <c r="B135" s="671" t="s">
        <v>536</v>
      </c>
      <c r="C135" s="705" t="s">
        <v>554</v>
      </c>
      <c r="D135" s="723" t="s">
        <v>555</v>
      </c>
      <c r="E135" s="705" t="s">
        <v>2529</v>
      </c>
      <c r="F135" s="723" t="s">
        <v>2530</v>
      </c>
      <c r="G135" s="705" t="s">
        <v>2769</v>
      </c>
      <c r="H135" s="705" t="s">
        <v>2770</v>
      </c>
      <c r="I135" s="238">
        <v>1.1499999999999999</v>
      </c>
      <c r="J135" s="238">
        <v>1500</v>
      </c>
      <c r="K135" s="713">
        <v>1718.1</v>
      </c>
    </row>
    <row r="136" spans="1:11" ht="14.4" customHeight="1" x14ac:dyDescent="0.3">
      <c r="A136" s="680" t="s">
        <v>534</v>
      </c>
      <c r="B136" s="671" t="s">
        <v>536</v>
      </c>
      <c r="C136" s="705" t="s">
        <v>554</v>
      </c>
      <c r="D136" s="723" t="s">
        <v>555</v>
      </c>
      <c r="E136" s="705" t="s">
        <v>2529</v>
      </c>
      <c r="F136" s="723" t="s">
        <v>2530</v>
      </c>
      <c r="G136" s="705" t="s">
        <v>2569</v>
      </c>
      <c r="H136" s="705" t="s">
        <v>2570</v>
      </c>
      <c r="I136" s="238">
        <v>0.6</v>
      </c>
      <c r="J136" s="238">
        <v>500</v>
      </c>
      <c r="K136" s="713">
        <v>300</v>
      </c>
    </row>
    <row r="137" spans="1:11" ht="14.4" customHeight="1" x14ac:dyDescent="0.3">
      <c r="A137" s="680" t="s">
        <v>534</v>
      </c>
      <c r="B137" s="671" t="s">
        <v>536</v>
      </c>
      <c r="C137" s="705" t="s">
        <v>554</v>
      </c>
      <c r="D137" s="723" t="s">
        <v>555</v>
      </c>
      <c r="E137" s="705" t="s">
        <v>2529</v>
      </c>
      <c r="F137" s="723" t="s">
        <v>2530</v>
      </c>
      <c r="G137" s="705" t="s">
        <v>2571</v>
      </c>
      <c r="H137" s="705" t="s">
        <v>2572</v>
      </c>
      <c r="I137" s="238">
        <v>3.11</v>
      </c>
      <c r="J137" s="238">
        <v>100</v>
      </c>
      <c r="K137" s="713">
        <v>311</v>
      </c>
    </row>
    <row r="138" spans="1:11" ht="14.4" customHeight="1" x14ac:dyDescent="0.3">
      <c r="A138" s="680" t="s">
        <v>534</v>
      </c>
      <c r="B138" s="671" t="s">
        <v>536</v>
      </c>
      <c r="C138" s="705" t="s">
        <v>554</v>
      </c>
      <c r="D138" s="723" t="s">
        <v>555</v>
      </c>
      <c r="E138" s="705" t="s">
        <v>2529</v>
      </c>
      <c r="F138" s="723" t="s">
        <v>2530</v>
      </c>
      <c r="G138" s="705" t="s">
        <v>2771</v>
      </c>
      <c r="H138" s="705" t="s">
        <v>2772</v>
      </c>
      <c r="I138" s="238">
        <v>3.9450000000000003</v>
      </c>
      <c r="J138" s="238">
        <v>500</v>
      </c>
      <c r="K138" s="713">
        <v>1973.45</v>
      </c>
    </row>
    <row r="139" spans="1:11" ht="14.4" customHeight="1" x14ac:dyDescent="0.3">
      <c r="A139" s="680" t="s">
        <v>534</v>
      </c>
      <c r="B139" s="671" t="s">
        <v>536</v>
      </c>
      <c r="C139" s="705" t="s">
        <v>554</v>
      </c>
      <c r="D139" s="723" t="s">
        <v>555</v>
      </c>
      <c r="E139" s="705" t="s">
        <v>2529</v>
      </c>
      <c r="F139" s="723" t="s">
        <v>2530</v>
      </c>
      <c r="G139" s="705" t="s">
        <v>2573</v>
      </c>
      <c r="H139" s="705" t="s">
        <v>2574</v>
      </c>
      <c r="I139" s="238">
        <v>0.44</v>
      </c>
      <c r="J139" s="238">
        <v>1200</v>
      </c>
      <c r="K139" s="713">
        <v>528</v>
      </c>
    </row>
    <row r="140" spans="1:11" ht="14.4" customHeight="1" x14ac:dyDescent="0.3">
      <c r="A140" s="680" t="s">
        <v>534</v>
      </c>
      <c r="B140" s="671" t="s">
        <v>536</v>
      </c>
      <c r="C140" s="705" t="s">
        <v>554</v>
      </c>
      <c r="D140" s="723" t="s">
        <v>555</v>
      </c>
      <c r="E140" s="705" t="s">
        <v>2529</v>
      </c>
      <c r="F140" s="723" t="s">
        <v>2530</v>
      </c>
      <c r="G140" s="705" t="s">
        <v>2575</v>
      </c>
      <c r="H140" s="705" t="s">
        <v>2576</v>
      </c>
      <c r="I140" s="238">
        <v>0.33</v>
      </c>
      <c r="J140" s="238">
        <v>400</v>
      </c>
      <c r="K140" s="713">
        <v>132</v>
      </c>
    </row>
    <row r="141" spans="1:11" ht="14.4" customHeight="1" x14ac:dyDescent="0.3">
      <c r="A141" s="680" t="s">
        <v>534</v>
      </c>
      <c r="B141" s="671" t="s">
        <v>536</v>
      </c>
      <c r="C141" s="705" t="s">
        <v>554</v>
      </c>
      <c r="D141" s="723" t="s">
        <v>555</v>
      </c>
      <c r="E141" s="705" t="s">
        <v>2529</v>
      </c>
      <c r="F141" s="723" t="s">
        <v>2530</v>
      </c>
      <c r="G141" s="705" t="s">
        <v>2579</v>
      </c>
      <c r="H141" s="705" t="s">
        <v>2580</v>
      </c>
      <c r="I141" s="238">
        <v>27.94</v>
      </c>
      <c r="J141" s="238">
        <v>8</v>
      </c>
      <c r="K141" s="713">
        <v>223.52</v>
      </c>
    </row>
    <row r="142" spans="1:11" ht="14.4" customHeight="1" x14ac:dyDescent="0.3">
      <c r="A142" s="680" t="s">
        <v>534</v>
      </c>
      <c r="B142" s="671" t="s">
        <v>536</v>
      </c>
      <c r="C142" s="705" t="s">
        <v>554</v>
      </c>
      <c r="D142" s="723" t="s">
        <v>555</v>
      </c>
      <c r="E142" s="705" t="s">
        <v>2529</v>
      </c>
      <c r="F142" s="723" t="s">
        <v>2530</v>
      </c>
      <c r="G142" s="705" t="s">
        <v>2583</v>
      </c>
      <c r="H142" s="705" t="s">
        <v>2584</v>
      </c>
      <c r="I142" s="238">
        <v>1.23</v>
      </c>
      <c r="J142" s="238">
        <v>1000</v>
      </c>
      <c r="K142" s="713">
        <v>1230</v>
      </c>
    </row>
    <row r="143" spans="1:11" ht="14.4" customHeight="1" x14ac:dyDescent="0.3">
      <c r="A143" s="680" t="s">
        <v>534</v>
      </c>
      <c r="B143" s="671" t="s">
        <v>536</v>
      </c>
      <c r="C143" s="705" t="s">
        <v>554</v>
      </c>
      <c r="D143" s="723" t="s">
        <v>555</v>
      </c>
      <c r="E143" s="705" t="s">
        <v>2529</v>
      </c>
      <c r="F143" s="723" t="s">
        <v>2530</v>
      </c>
      <c r="G143" s="705" t="s">
        <v>2585</v>
      </c>
      <c r="H143" s="705" t="s">
        <v>2586</v>
      </c>
      <c r="I143" s="238">
        <v>1.17</v>
      </c>
      <c r="J143" s="238">
        <v>600</v>
      </c>
      <c r="K143" s="713">
        <v>702</v>
      </c>
    </row>
    <row r="144" spans="1:11" ht="14.4" customHeight="1" x14ac:dyDescent="0.3">
      <c r="A144" s="680" t="s">
        <v>534</v>
      </c>
      <c r="B144" s="671" t="s">
        <v>536</v>
      </c>
      <c r="C144" s="705" t="s">
        <v>554</v>
      </c>
      <c r="D144" s="723" t="s">
        <v>555</v>
      </c>
      <c r="E144" s="705" t="s">
        <v>2529</v>
      </c>
      <c r="F144" s="723" t="s">
        <v>2530</v>
      </c>
      <c r="G144" s="705" t="s">
        <v>2773</v>
      </c>
      <c r="H144" s="705" t="s">
        <v>2774</v>
      </c>
      <c r="I144" s="238">
        <v>46.13</v>
      </c>
      <c r="J144" s="238">
        <v>2</v>
      </c>
      <c r="K144" s="713">
        <v>92.26</v>
      </c>
    </row>
    <row r="145" spans="1:11" ht="14.4" customHeight="1" x14ac:dyDescent="0.3">
      <c r="A145" s="680" t="s">
        <v>534</v>
      </c>
      <c r="B145" s="671" t="s">
        <v>536</v>
      </c>
      <c r="C145" s="705" t="s">
        <v>554</v>
      </c>
      <c r="D145" s="723" t="s">
        <v>555</v>
      </c>
      <c r="E145" s="705" t="s">
        <v>2529</v>
      </c>
      <c r="F145" s="723" t="s">
        <v>2530</v>
      </c>
      <c r="G145" s="705" t="s">
        <v>2775</v>
      </c>
      <c r="H145" s="705" t="s">
        <v>2776</v>
      </c>
      <c r="I145" s="238">
        <v>9.7200000000000006</v>
      </c>
      <c r="J145" s="238">
        <v>24</v>
      </c>
      <c r="K145" s="713">
        <v>233.28</v>
      </c>
    </row>
    <row r="146" spans="1:11" ht="14.4" customHeight="1" x14ac:dyDescent="0.3">
      <c r="A146" s="680" t="s">
        <v>534</v>
      </c>
      <c r="B146" s="671" t="s">
        <v>536</v>
      </c>
      <c r="C146" s="705" t="s">
        <v>554</v>
      </c>
      <c r="D146" s="723" t="s">
        <v>555</v>
      </c>
      <c r="E146" s="705" t="s">
        <v>2529</v>
      </c>
      <c r="F146" s="723" t="s">
        <v>2530</v>
      </c>
      <c r="G146" s="705" t="s">
        <v>2777</v>
      </c>
      <c r="H146" s="705" t="s">
        <v>2778</v>
      </c>
      <c r="I146" s="238">
        <v>7.49</v>
      </c>
      <c r="J146" s="238">
        <v>12</v>
      </c>
      <c r="K146" s="713">
        <v>89.88</v>
      </c>
    </row>
    <row r="147" spans="1:11" ht="14.4" customHeight="1" x14ac:dyDescent="0.3">
      <c r="A147" s="680" t="s">
        <v>534</v>
      </c>
      <c r="B147" s="671" t="s">
        <v>536</v>
      </c>
      <c r="C147" s="705" t="s">
        <v>554</v>
      </c>
      <c r="D147" s="723" t="s">
        <v>555</v>
      </c>
      <c r="E147" s="705" t="s">
        <v>2529</v>
      </c>
      <c r="F147" s="723" t="s">
        <v>2530</v>
      </c>
      <c r="G147" s="705" t="s">
        <v>2595</v>
      </c>
      <c r="H147" s="705" t="s">
        <v>2596</v>
      </c>
      <c r="I147" s="238">
        <v>2.0649999999999999</v>
      </c>
      <c r="J147" s="238">
        <v>500</v>
      </c>
      <c r="K147" s="713">
        <v>1033</v>
      </c>
    </row>
    <row r="148" spans="1:11" ht="14.4" customHeight="1" x14ac:dyDescent="0.3">
      <c r="A148" s="680" t="s">
        <v>534</v>
      </c>
      <c r="B148" s="671" t="s">
        <v>536</v>
      </c>
      <c r="C148" s="705" t="s">
        <v>554</v>
      </c>
      <c r="D148" s="723" t="s">
        <v>555</v>
      </c>
      <c r="E148" s="705" t="s">
        <v>2529</v>
      </c>
      <c r="F148" s="723" t="s">
        <v>2530</v>
      </c>
      <c r="G148" s="705" t="s">
        <v>2599</v>
      </c>
      <c r="H148" s="705" t="s">
        <v>2600</v>
      </c>
      <c r="I148" s="238">
        <v>5.88</v>
      </c>
      <c r="J148" s="238">
        <v>50</v>
      </c>
      <c r="K148" s="713">
        <v>294</v>
      </c>
    </row>
    <row r="149" spans="1:11" ht="14.4" customHeight="1" x14ac:dyDescent="0.3">
      <c r="A149" s="680" t="s">
        <v>534</v>
      </c>
      <c r="B149" s="671" t="s">
        <v>536</v>
      </c>
      <c r="C149" s="705" t="s">
        <v>554</v>
      </c>
      <c r="D149" s="723" t="s">
        <v>555</v>
      </c>
      <c r="E149" s="705" t="s">
        <v>2529</v>
      </c>
      <c r="F149" s="723" t="s">
        <v>2530</v>
      </c>
      <c r="G149" s="705" t="s">
        <v>2779</v>
      </c>
      <c r="H149" s="705" t="s">
        <v>2780</v>
      </c>
      <c r="I149" s="238">
        <v>5.27</v>
      </c>
      <c r="J149" s="238">
        <v>30</v>
      </c>
      <c r="K149" s="713">
        <v>158.1</v>
      </c>
    </row>
    <row r="150" spans="1:11" ht="14.4" customHeight="1" x14ac:dyDescent="0.3">
      <c r="A150" s="680" t="s">
        <v>534</v>
      </c>
      <c r="B150" s="671" t="s">
        <v>536</v>
      </c>
      <c r="C150" s="705" t="s">
        <v>554</v>
      </c>
      <c r="D150" s="723" t="s">
        <v>555</v>
      </c>
      <c r="E150" s="705" t="s">
        <v>2529</v>
      </c>
      <c r="F150" s="723" t="s">
        <v>2530</v>
      </c>
      <c r="G150" s="705" t="s">
        <v>2781</v>
      </c>
      <c r="H150" s="705" t="s">
        <v>2782</v>
      </c>
      <c r="I150" s="238">
        <v>0.61</v>
      </c>
      <c r="J150" s="238">
        <v>4800</v>
      </c>
      <c r="K150" s="713">
        <v>2947.6</v>
      </c>
    </row>
    <row r="151" spans="1:11" ht="14.4" customHeight="1" x14ac:dyDescent="0.3">
      <c r="A151" s="680" t="s">
        <v>534</v>
      </c>
      <c r="B151" s="671" t="s">
        <v>536</v>
      </c>
      <c r="C151" s="705" t="s">
        <v>554</v>
      </c>
      <c r="D151" s="723" t="s">
        <v>555</v>
      </c>
      <c r="E151" s="705" t="s">
        <v>2531</v>
      </c>
      <c r="F151" s="723" t="s">
        <v>2532</v>
      </c>
      <c r="G151" s="705" t="s">
        <v>2783</v>
      </c>
      <c r="H151" s="705" t="s">
        <v>2784</v>
      </c>
      <c r="I151" s="238">
        <v>471.9</v>
      </c>
      <c r="J151" s="238">
        <v>10</v>
      </c>
      <c r="K151" s="713">
        <v>4719</v>
      </c>
    </row>
    <row r="152" spans="1:11" ht="14.4" customHeight="1" x14ac:dyDescent="0.3">
      <c r="A152" s="680" t="s">
        <v>534</v>
      </c>
      <c r="B152" s="671" t="s">
        <v>536</v>
      </c>
      <c r="C152" s="705" t="s">
        <v>554</v>
      </c>
      <c r="D152" s="723" t="s">
        <v>555</v>
      </c>
      <c r="E152" s="705" t="s">
        <v>2531</v>
      </c>
      <c r="F152" s="723" t="s">
        <v>2532</v>
      </c>
      <c r="G152" s="705" t="s">
        <v>2785</v>
      </c>
      <c r="H152" s="705" t="s">
        <v>2786</v>
      </c>
      <c r="I152" s="238">
        <v>63.36</v>
      </c>
      <c r="J152" s="238">
        <v>40</v>
      </c>
      <c r="K152" s="713">
        <v>2534.6</v>
      </c>
    </row>
    <row r="153" spans="1:11" ht="14.4" customHeight="1" x14ac:dyDescent="0.3">
      <c r="A153" s="680" t="s">
        <v>534</v>
      </c>
      <c r="B153" s="671" t="s">
        <v>536</v>
      </c>
      <c r="C153" s="705" t="s">
        <v>554</v>
      </c>
      <c r="D153" s="723" t="s">
        <v>555</v>
      </c>
      <c r="E153" s="705" t="s">
        <v>2531</v>
      </c>
      <c r="F153" s="723" t="s">
        <v>2532</v>
      </c>
      <c r="G153" s="705" t="s">
        <v>2787</v>
      </c>
      <c r="H153" s="705" t="s">
        <v>2788</v>
      </c>
      <c r="I153" s="238">
        <v>26.015000000000001</v>
      </c>
      <c r="J153" s="238">
        <v>560</v>
      </c>
      <c r="K153" s="713">
        <v>14568.4</v>
      </c>
    </row>
    <row r="154" spans="1:11" ht="14.4" customHeight="1" x14ac:dyDescent="0.3">
      <c r="A154" s="680" t="s">
        <v>534</v>
      </c>
      <c r="B154" s="671" t="s">
        <v>536</v>
      </c>
      <c r="C154" s="705" t="s">
        <v>554</v>
      </c>
      <c r="D154" s="723" t="s">
        <v>555</v>
      </c>
      <c r="E154" s="705" t="s">
        <v>2531</v>
      </c>
      <c r="F154" s="723" t="s">
        <v>2532</v>
      </c>
      <c r="G154" s="705" t="s">
        <v>2789</v>
      </c>
      <c r="H154" s="705" t="s">
        <v>2790</v>
      </c>
      <c r="I154" s="238">
        <v>3.51</v>
      </c>
      <c r="J154" s="238">
        <v>40</v>
      </c>
      <c r="K154" s="713">
        <v>140.4</v>
      </c>
    </row>
    <row r="155" spans="1:11" ht="14.4" customHeight="1" x14ac:dyDescent="0.3">
      <c r="A155" s="680" t="s">
        <v>534</v>
      </c>
      <c r="B155" s="671" t="s">
        <v>536</v>
      </c>
      <c r="C155" s="705" t="s">
        <v>554</v>
      </c>
      <c r="D155" s="723" t="s">
        <v>555</v>
      </c>
      <c r="E155" s="705" t="s">
        <v>2531</v>
      </c>
      <c r="F155" s="723" t="s">
        <v>2532</v>
      </c>
      <c r="G155" s="705" t="s">
        <v>2617</v>
      </c>
      <c r="H155" s="705" t="s">
        <v>2618</v>
      </c>
      <c r="I155" s="238">
        <v>11.145</v>
      </c>
      <c r="J155" s="238">
        <v>800</v>
      </c>
      <c r="K155" s="713">
        <v>8916</v>
      </c>
    </row>
    <row r="156" spans="1:11" ht="14.4" customHeight="1" x14ac:dyDescent="0.3">
      <c r="A156" s="680" t="s">
        <v>534</v>
      </c>
      <c r="B156" s="671" t="s">
        <v>536</v>
      </c>
      <c r="C156" s="705" t="s">
        <v>554</v>
      </c>
      <c r="D156" s="723" t="s">
        <v>555</v>
      </c>
      <c r="E156" s="705" t="s">
        <v>2531</v>
      </c>
      <c r="F156" s="723" t="s">
        <v>2532</v>
      </c>
      <c r="G156" s="705" t="s">
        <v>2791</v>
      </c>
      <c r="H156" s="705" t="s">
        <v>2792</v>
      </c>
      <c r="I156" s="238">
        <v>2.75</v>
      </c>
      <c r="J156" s="238">
        <v>100</v>
      </c>
      <c r="K156" s="713">
        <v>275</v>
      </c>
    </row>
    <row r="157" spans="1:11" ht="14.4" customHeight="1" x14ac:dyDescent="0.3">
      <c r="A157" s="680" t="s">
        <v>534</v>
      </c>
      <c r="B157" s="671" t="s">
        <v>536</v>
      </c>
      <c r="C157" s="705" t="s">
        <v>554</v>
      </c>
      <c r="D157" s="723" t="s">
        <v>555</v>
      </c>
      <c r="E157" s="705" t="s">
        <v>2531</v>
      </c>
      <c r="F157" s="723" t="s">
        <v>2532</v>
      </c>
      <c r="G157" s="705" t="s">
        <v>2619</v>
      </c>
      <c r="H157" s="705" t="s">
        <v>2620</v>
      </c>
      <c r="I157" s="238">
        <v>0.93500000000000005</v>
      </c>
      <c r="J157" s="238">
        <v>2700</v>
      </c>
      <c r="K157" s="713">
        <v>2526</v>
      </c>
    </row>
    <row r="158" spans="1:11" ht="14.4" customHeight="1" x14ac:dyDescent="0.3">
      <c r="A158" s="680" t="s">
        <v>534</v>
      </c>
      <c r="B158" s="671" t="s">
        <v>536</v>
      </c>
      <c r="C158" s="705" t="s">
        <v>554</v>
      </c>
      <c r="D158" s="723" t="s">
        <v>555</v>
      </c>
      <c r="E158" s="705" t="s">
        <v>2531</v>
      </c>
      <c r="F158" s="723" t="s">
        <v>2532</v>
      </c>
      <c r="G158" s="705" t="s">
        <v>2621</v>
      </c>
      <c r="H158" s="705" t="s">
        <v>2622</v>
      </c>
      <c r="I158" s="238">
        <v>1.4350000000000001</v>
      </c>
      <c r="J158" s="238">
        <v>500</v>
      </c>
      <c r="K158" s="713">
        <v>718</v>
      </c>
    </row>
    <row r="159" spans="1:11" ht="14.4" customHeight="1" x14ac:dyDescent="0.3">
      <c r="A159" s="680" t="s">
        <v>534</v>
      </c>
      <c r="B159" s="671" t="s">
        <v>536</v>
      </c>
      <c r="C159" s="705" t="s">
        <v>554</v>
      </c>
      <c r="D159" s="723" t="s">
        <v>555</v>
      </c>
      <c r="E159" s="705" t="s">
        <v>2531</v>
      </c>
      <c r="F159" s="723" t="s">
        <v>2532</v>
      </c>
      <c r="G159" s="705" t="s">
        <v>2623</v>
      </c>
      <c r="H159" s="705" t="s">
        <v>2624</v>
      </c>
      <c r="I159" s="238">
        <v>0.41666666666666669</v>
      </c>
      <c r="J159" s="238">
        <v>3400</v>
      </c>
      <c r="K159" s="713">
        <v>1424</v>
      </c>
    </row>
    <row r="160" spans="1:11" ht="14.4" customHeight="1" x14ac:dyDescent="0.3">
      <c r="A160" s="680" t="s">
        <v>534</v>
      </c>
      <c r="B160" s="671" t="s">
        <v>536</v>
      </c>
      <c r="C160" s="705" t="s">
        <v>554</v>
      </c>
      <c r="D160" s="723" t="s">
        <v>555</v>
      </c>
      <c r="E160" s="705" t="s">
        <v>2531</v>
      </c>
      <c r="F160" s="723" t="s">
        <v>2532</v>
      </c>
      <c r="G160" s="705" t="s">
        <v>2793</v>
      </c>
      <c r="H160" s="705" t="s">
        <v>2794</v>
      </c>
      <c r="I160" s="238">
        <v>0.57999999999999996</v>
      </c>
      <c r="J160" s="238">
        <v>1800</v>
      </c>
      <c r="K160" s="713">
        <v>1044</v>
      </c>
    </row>
    <row r="161" spans="1:11" ht="14.4" customHeight="1" x14ac:dyDescent="0.3">
      <c r="A161" s="680" t="s">
        <v>534</v>
      </c>
      <c r="B161" s="671" t="s">
        <v>536</v>
      </c>
      <c r="C161" s="705" t="s">
        <v>554</v>
      </c>
      <c r="D161" s="723" t="s">
        <v>555</v>
      </c>
      <c r="E161" s="705" t="s">
        <v>2531</v>
      </c>
      <c r="F161" s="723" t="s">
        <v>2532</v>
      </c>
      <c r="G161" s="705" t="s">
        <v>2627</v>
      </c>
      <c r="H161" s="705" t="s">
        <v>2628</v>
      </c>
      <c r="I161" s="238">
        <v>6.29</v>
      </c>
      <c r="J161" s="238">
        <v>5</v>
      </c>
      <c r="K161" s="713">
        <v>31.45</v>
      </c>
    </row>
    <row r="162" spans="1:11" ht="14.4" customHeight="1" x14ac:dyDescent="0.3">
      <c r="A162" s="680" t="s">
        <v>534</v>
      </c>
      <c r="B162" s="671" t="s">
        <v>536</v>
      </c>
      <c r="C162" s="705" t="s">
        <v>554</v>
      </c>
      <c r="D162" s="723" t="s">
        <v>555</v>
      </c>
      <c r="E162" s="705" t="s">
        <v>2531</v>
      </c>
      <c r="F162" s="723" t="s">
        <v>2532</v>
      </c>
      <c r="G162" s="705" t="s">
        <v>2795</v>
      </c>
      <c r="H162" s="705" t="s">
        <v>2796</v>
      </c>
      <c r="I162" s="238">
        <v>5.9550000000000001</v>
      </c>
      <c r="J162" s="238">
        <v>120</v>
      </c>
      <c r="K162" s="713">
        <v>714.6</v>
      </c>
    </row>
    <row r="163" spans="1:11" ht="14.4" customHeight="1" x14ac:dyDescent="0.3">
      <c r="A163" s="680" t="s">
        <v>534</v>
      </c>
      <c r="B163" s="671" t="s">
        <v>536</v>
      </c>
      <c r="C163" s="705" t="s">
        <v>554</v>
      </c>
      <c r="D163" s="723" t="s">
        <v>555</v>
      </c>
      <c r="E163" s="705" t="s">
        <v>2531</v>
      </c>
      <c r="F163" s="723" t="s">
        <v>2532</v>
      </c>
      <c r="G163" s="705" t="s">
        <v>2797</v>
      </c>
      <c r="H163" s="705" t="s">
        <v>2798</v>
      </c>
      <c r="I163" s="238">
        <v>203.76499999999999</v>
      </c>
      <c r="J163" s="238">
        <v>60</v>
      </c>
      <c r="K163" s="713">
        <v>12225.900000000001</v>
      </c>
    </row>
    <row r="164" spans="1:11" ht="14.4" customHeight="1" x14ac:dyDescent="0.3">
      <c r="A164" s="680" t="s">
        <v>534</v>
      </c>
      <c r="B164" s="671" t="s">
        <v>536</v>
      </c>
      <c r="C164" s="705" t="s">
        <v>554</v>
      </c>
      <c r="D164" s="723" t="s">
        <v>555</v>
      </c>
      <c r="E164" s="705" t="s">
        <v>2531</v>
      </c>
      <c r="F164" s="723" t="s">
        <v>2532</v>
      </c>
      <c r="G164" s="705" t="s">
        <v>2799</v>
      </c>
      <c r="H164" s="705" t="s">
        <v>2800</v>
      </c>
      <c r="I164" s="238">
        <v>81.739999999999995</v>
      </c>
      <c r="J164" s="238">
        <v>90</v>
      </c>
      <c r="K164" s="713">
        <v>7356.2</v>
      </c>
    </row>
    <row r="165" spans="1:11" ht="14.4" customHeight="1" x14ac:dyDescent="0.3">
      <c r="A165" s="680" t="s">
        <v>534</v>
      </c>
      <c r="B165" s="671" t="s">
        <v>536</v>
      </c>
      <c r="C165" s="705" t="s">
        <v>554</v>
      </c>
      <c r="D165" s="723" t="s">
        <v>555</v>
      </c>
      <c r="E165" s="705" t="s">
        <v>2531</v>
      </c>
      <c r="F165" s="723" t="s">
        <v>2532</v>
      </c>
      <c r="G165" s="705" t="s">
        <v>2801</v>
      </c>
      <c r="H165" s="705" t="s">
        <v>2802</v>
      </c>
      <c r="I165" s="238">
        <v>80.569999999999993</v>
      </c>
      <c r="J165" s="238">
        <v>45</v>
      </c>
      <c r="K165" s="713">
        <v>3625.65</v>
      </c>
    </row>
    <row r="166" spans="1:11" ht="14.4" customHeight="1" x14ac:dyDescent="0.3">
      <c r="A166" s="680" t="s">
        <v>534</v>
      </c>
      <c r="B166" s="671" t="s">
        <v>536</v>
      </c>
      <c r="C166" s="705" t="s">
        <v>554</v>
      </c>
      <c r="D166" s="723" t="s">
        <v>555</v>
      </c>
      <c r="E166" s="705" t="s">
        <v>2531</v>
      </c>
      <c r="F166" s="723" t="s">
        <v>2532</v>
      </c>
      <c r="G166" s="705" t="s">
        <v>2803</v>
      </c>
      <c r="H166" s="705" t="s">
        <v>2804</v>
      </c>
      <c r="I166" s="238">
        <v>5.57</v>
      </c>
      <c r="J166" s="238">
        <v>120</v>
      </c>
      <c r="K166" s="713">
        <v>668.4</v>
      </c>
    </row>
    <row r="167" spans="1:11" ht="14.4" customHeight="1" x14ac:dyDescent="0.3">
      <c r="A167" s="680" t="s">
        <v>534</v>
      </c>
      <c r="B167" s="671" t="s">
        <v>536</v>
      </c>
      <c r="C167" s="705" t="s">
        <v>554</v>
      </c>
      <c r="D167" s="723" t="s">
        <v>555</v>
      </c>
      <c r="E167" s="705" t="s">
        <v>2531</v>
      </c>
      <c r="F167" s="723" t="s">
        <v>2532</v>
      </c>
      <c r="G167" s="705" t="s">
        <v>2805</v>
      </c>
      <c r="H167" s="705" t="s">
        <v>2806</v>
      </c>
      <c r="I167" s="238">
        <v>51.784999999999997</v>
      </c>
      <c r="J167" s="238">
        <v>155</v>
      </c>
      <c r="K167" s="713">
        <v>8058.3499999999995</v>
      </c>
    </row>
    <row r="168" spans="1:11" ht="14.4" customHeight="1" x14ac:dyDescent="0.3">
      <c r="A168" s="680" t="s">
        <v>534</v>
      </c>
      <c r="B168" s="671" t="s">
        <v>536</v>
      </c>
      <c r="C168" s="705" t="s">
        <v>554</v>
      </c>
      <c r="D168" s="723" t="s">
        <v>555</v>
      </c>
      <c r="E168" s="705" t="s">
        <v>2531</v>
      </c>
      <c r="F168" s="723" t="s">
        <v>2532</v>
      </c>
      <c r="G168" s="705" t="s">
        <v>2807</v>
      </c>
      <c r="H168" s="705" t="s">
        <v>2808</v>
      </c>
      <c r="I168" s="238">
        <v>108.3</v>
      </c>
      <c r="J168" s="238">
        <v>60</v>
      </c>
      <c r="K168" s="713">
        <v>6498</v>
      </c>
    </row>
    <row r="169" spans="1:11" ht="14.4" customHeight="1" x14ac:dyDescent="0.3">
      <c r="A169" s="680" t="s">
        <v>534</v>
      </c>
      <c r="B169" s="671" t="s">
        <v>536</v>
      </c>
      <c r="C169" s="705" t="s">
        <v>554</v>
      </c>
      <c r="D169" s="723" t="s">
        <v>555</v>
      </c>
      <c r="E169" s="705" t="s">
        <v>2531</v>
      </c>
      <c r="F169" s="723" t="s">
        <v>2532</v>
      </c>
      <c r="G169" s="705" t="s">
        <v>2809</v>
      </c>
      <c r="H169" s="705" t="s">
        <v>2810</v>
      </c>
      <c r="I169" s="238">
        <v>61.1</v>
      </c>
      <c r="J169" s="238">
        <v>160</v>
      </c>
      <c r="K169" s="713">
        <v>9776.7999999999993</v>
      </c>
    </row>
    <row r="170" spans="1:11" ht="14.4" customHeight="1" x14ac:dyDescent="0.3">
      <c r="A170" s="680" t="s">
        <v>534</v>
      </c>
      <c r="B170" s="671" t="s">
        <v>536</v>
      </c>
      <c r="C170" s="705" t="s">
        <v>554</v>
      </c>
      <c r="D170" s="723" t="s">
        <v>555</v>
      </c>
      <c r="E170" s="705" t="s">
        <v>2531</v>
      </c>
      <c r="F170" s="723" t="s">
        <v>2532</v>
      </c>
      <c r="G170" s="705" t="s">
        <v>2633</v>
      </c>
      <c r="H170" s="705" t="s">
        <v>2634</v>
      </c>
      <c r="I170" s="238">
        <v>20.69</v>
      </c>
      <c r="J170" s="238">
        <v>400</v>
      </c>
      <c r="K170" s="713">
        <v>8276.5</v>
      </c>
    </row>
    <row r="171" spans="1:11" ht="14.4" customHeight="1" x14ac:dyDescent="0.3">
      <c r="A171" s="680" t="s">
        <v>534</v>
      </c>
      <c r="B171" s="671" t="s">
        <v>536</v>
      </c>
      <c r="C171" s="705" t="s">
        <v>554</v>
      </c>
      <c r="D171" s="723" t="s">
        <v>555</v>
      </c>
      <c r="E171" s="705" t="s">
        <v>2531</v>
      </c>
      <c r="F171" s="723" t="s">
        <v>2532</v>
      </c>
      <c r="G171" s="705" t="s">
        <v>2811</v>
      </c>
      <c r="H171" s="705" t="s">
        <v>2812</v>
      </c>
      <c r="I171" s="238">
        <v>45.13</v>
      </c>
      <c r="J171" s="238">
        <v>20</v>
      </c>
      <c r="K171" s="713">
        <v>902.66</v>
      </c>
    </row>
    <row r="172" spans="1:11" ht="14.4" customHeight="1" x14ac:dyDescent="0.3">
      <c r="A172" s="680" t="s">
        <v>534</v>
      </c>
      <c r="B172" s="671" t="s">
        <v>536</v>
      </c>
      <c r="C172" s="705" t="s">
        <v>554</v>
      </c>
      <c r="D172" s="723" t="s">
        <v>555</v>
      </c>
      <c r="E172" s="705" t="s">
        <v>2531</v>
      </c>
      <c r="F172" s="723" t="s">
        <v>2532</v>
      </c>
      <c r="G172" s="705" t="s">
        <v>2813</v>
      </c>
      <c r="H172" s="705" t="s">
        <v>2814</v>
      </c>
      <c r="I172" s="238">
        <v>646.75</v>
      </c>
      <c r="J172" s="238">
        <v>2</v>
      </c>
      <c r="K172" s="713">
        <v>1293.5</v>
      </c>
    </row>
    <row r="173" spans="1:11" ht="14.4" customHeight="1" x14ac:dyDescent="0.3">
      <c r="A173" s="680" t="s">
        <v>534</v>
      </c>
      <c r="B173" s="671" t="s">
        <v>536</v>
      </c>
      <c r="C173" s="705" t="s">
        <v>554</v>
      </c>
      <c r="D173" s="723" t="s">
        <v>555</v>
      </c>
      <c r="E173" s="705" t="s">
        <v>2531</v>
      </c>
      <c r="F173" s="723" t="s">
        <v>2532</v>
      </c>
      <c r="G173" s="705" t="s">
        <v>2747</v>
      </c>
      <c r="H173" s="705" t="s">
        <v>2748</v>
      </c>
      <c r="I173" s="238">
        <v>2.79</v>
      </c>
      <c r="J173" s="238">
        <v>1200</v>
      </c>
      <c r="K173" s="713">
        <v>3348</v>
      </c>
    </row>
    <row r="174" spans="1:11" ht="14.4" customHeight="1" x14ac:dyDescent="0.3">
      <c r="A174" s="680" t="s">
        <v>534</v>
      </c>
      <c r="B174" s="671" t="s">
        <v>536</v>
      </c>
      <c r="C174" s="705" t="s">
        <v>554</v>
      </c>
      <c r="D174" s="723" t="s">
        <v>555</v>
      </c>
      <c r="E174" s="705" t="s">
        <v>2531</v>
      </c>
      <c r="F174" s="723" t="s">
        <v>2532</v>
      </c>
      <c r="G174" s="705" t="s">
        <v>2637</v>
      </c>
      <c r="H174" s="705" t="s">
        <v>2638</v>
      </c>
      <c r="I174" s="238">
        <v>167.2</v>
      </c>
      <c r="J174" s="238">
        <v>1</v>
      </c>
      <c r="K174" s="713">
        <v>167.2</v>
      </c>
    </row>
    <row r="175" spans="1:11" ht="14.4" customHeight="1" x14ac:dyDescent="0.3">
      <c r="A175" s="680" t="s">
        <v>534</v>
      </c>
      <c r="B175" s="671" t="s">
        <v>536</v>
      </c>
      <c r="C175" s="705" t="s">
        <v>554</v>
      </c>
      <c r="D175" s="723" t="s">
        <v>555</v>
      </c>
      <c r="E175" s="705" t="s">
        <v>2531</v>
      </c>
      <c r="F175" s="723" t="s">
        <v>2532</v>
      </c>
      <c r="G175" s="705" t="s">
        <v>2815</v>
      </c>
      <c r="H175" s="705" t="s">
        <v>2816</v>
      </c>
      <c r="I175" s="238">
        <v>114.42</v>
      </c>
      <c r="J175" s="238">
        <v>50</v>
      </c>
      <c r="K175" s="713">
        <v>5720.9400000000005</v>
      </c>
    </row>
    <row r="176" spans="1:11" ht="14.4" customHeight="1" x14ac:dyDescent="0.3">
      <c r="A176" s="680" t="s">
        <v>534</v>
      </c>
      <c r="B176" s="671" t="s">
        <v>536</v>
      </c>
      <c r="C176" s="705" t="s">
        <v>554</v>
      </c>
      <c r="D176" s="723" t="s">
        <v>555</v>
      </c>
      <c r="E176" s="705" t="s">
        <v>2531</v>
      </c>
      <c r="F176" s="723" t="s">
        <v>2532</v>
      </c>
      <c r="G176" s="705" t="s">
        <v>2817</v>
      </c>
      <c r="H176" s="705" t="s">
        <v>2818</v>
      </c>
      <c r="I176" s="238">
        <v>22.19</v>
      </c>
      <c r="J176" s="238">
        <v>50</v>
      </c>
      <c r="K176" s="713">
        <v>1109.5</v>
      </c>
    </row>
    <row r="177" spans="1:11" ht="14.4" customHeight="1" x14ac:dyDescent="0.3">
      <c r="A177" s="680" t="s">
        <v>534</v>
      </c>
      <c r="B177" s="671" t="s">
        <v>536</v>
      </c>
      <c r="C177" s="705" t="s">
        <v>554</v>
      </c>
      <c r="D177" s="723" t="s">
        <v>555</v>
      </c>
      <c r="E177" s="705" t="s">
        <v>2531</v>
      </c>
      <c r="F177" s="723" t="s">
        <v>2532</v>
      </c>
      <c r="G177" s="705" t="s">
        <v>2641</v>
      </c>
      <c r="H177" s="705" t="s">
        <v>2642</v>
      </c>
      <c r="I177" s="238">
        <v>26.016666666666666</v>
      </c>
      <c r="J177" s="238">
        <v>600</v>
      </c>
      <c r="K177" s="713">
        <v>15610.4</v>
      </c>
    </row>
    <row r="178" spans="1:11" ht="14.4" customHeight="1" x14ac:dyDescent="0.3">
      <c r="A178" s="680" t="s">
        <v>534</v>
      </c>
      <c r="B178" s="671" t="s">
        <v>536</v>
      </c>
      <c r="C178" s="705" t="s">
        <v>554</v>
      </c>
      <c r="D178" s="723" t="s">
        <v>555</v>
      </c>
      <c r="E178" s="705" t="s">
        <v>2531</v>
      </c>
      <c r="F178" s="723" t="s">
        <v>2532</v>
      </c>
      <c r="G178" s="705" t="s">
        <v>2645</v>
      </c>
      <c r="H178" s="705" t="s">
        <v>2646</v>
      </c>
      <c r="I178" s="238">
        <v>23.47</v>
      </c>
      <c r="J178" s="238">
        <v>150</v>
      </c>
      <c r="K178" s="713">
        <v>3520.5</v>
      </c>
    </row>
    <row r="179" spans="1:11" ht="14.4" customHeight="1" x14ac:dyDescent="0.3">
      <c r="A179" s="680" t="s">
        <v>534</v>
      </c>
      <c r="B179" s="671" t="s">
        <v>536</v>
      </c>
      <c r="C179" s="705" t="s">
        <v>554</v>
      </c>
      <c r="D179" s="723" t="s">
        <v>555</v>
      </c>
      <c r="E179" s="705" t="s">
        <v>2531</v>
      </c>
      <c r="F179" s="723" t="s">
        <v>2532</v>
      </c>
      <c r="G179" s="705" t="s">
        <v>2647</v>
      </c>
      <c r="H179" s="705" t="s">
        <v>2648</v>
      </c>
      <c r="I179" s="238">
        <v>1.78</v>
      </c>
      <c r="J179" s="238">
        <v>450</v>
      </c>
      <c r="K179" s="713">
        <v>801</v>
      </c>
    </row>
    <row r="180" spans="1:11" ht="14.4" customHeight="1" x14ac:dyDescent="0.3">
      <c r="A180" s="680" t="s">
        <v>534</v>
      </c>
      <c r="B180" s="671" t="s">
        <v>536</v>
      </c>
      <c r="C180" s="705" t="s">
        <v>554</v>
      </c>
      <c r="D180" s="723" t="s">
        <v>555</v>
      </c>
      <c r="E180" s="705" t="s">
        <v>2531</v>
      </c>
      <c r="F180" s="723" t="s">
        <v>2532</v>
      </c>
      <c r="G180" s="705" t="s">
        <v>2649</v>
      </c>
      <c r="H180" s="705" t="s">
        <v>2650</v>
      </c>
      <c r="I180" s="238">
        <v>1.7850000000000001</v>
      </c>
      <c r="J180" s="238">
        <v>100</v>
      </c>
      <c r="K180" s="713">
        <v>178.5</v>
      </c>
    </row>
    <row r="181" spans="1:11" ht="14.4" customHeight="1" x14ac:dyDescent="0.3">
      <c r="A181" s="680" t="s">
        <v>534</v>
      </c>
      <c r="B181" s="671" t="s">
        <v>536</v>
      </c>
      <c r="C181" s="705" t="s">
        <v>554</v>
      </c>
      <c r="D181" s="723" t="s">
        <v>555</v>
      </c>
      <c r="E181" s="705" t="s">
        <v>2531</v>
      </c>
      <c r="F181" s="723" t="s">
        <v>2532</v>
      </c>
      <c r="G181" s="705" t="s">
        <v>2749</v>
      </c>
      <c r="H181" s="705" t="s">
        <v>2750</v>
      </c>
      <c r="I181" s="238">
        <v>2.835</v>
      </c>
      <c r="J181" s="238">
        <v>100</v>
      </c>
      <c r="K181" s="713">
        <v>283.5</v>
      </c>
    </row>
    <row r="182" spans="1:11" ht="14.4" customHeight="1" x14ac:dyDescent="0.3">
      <c r="A182" s="680" t="s">
        <v>534</v>
      </c>
      <c r="B182" s="671" t="s">
        <v>536</v>
      </c>
      <c r="C182" s="705" t="s">
        <v>554</v>
      </c>
      <c r="D182" s="723" t="s">
        <v>555</v>
      </c>
      <c r="E182" s="705" t="s">
        <v>2531</v>
      </c>
      <c r="F182" s="723" t="s">
        <v>2532</v>
      </c>
      <c r="G182" s="705" t="s">
        <v>2751</v>
      </c>
      <c r="H182" s="705" t="s">
        <v>2752</v>
      </c>
      <c r="I182" s="238">
        <v>1.76</v>
      </c>
      <c r="J182" s="238">
        <v>100</v>
      </c>
      <c r="K182" s="713">
        <v>176</v>
      </c>
    </row>
    <row r="183" spans="1:11" ht="14.4" customHeight="1" x14ac:dyDescent="0.3">
      <c r="A183" s="680" t="s">
        <v>534</v>
      </c>
      <c r="B183" s="671" t="s">
        <v>536</v>
      </c>
      <c r="C183" s="705" t="s">
        <v>554</v>
      </c>
      <c r="D183" s="723" t="s">
        <v>555</v>
      </c>
      <c r="E183" s="705" t="s">
        <v>2531</v>
      </c>
      <c r="F183" s="723" t="s">
        <v>2532</v>
      </c>
      <c r="G183" s="705" t="s">
        <v>2651</v>
      </c>
      <c r="H183" s="705" t="s">
        <v>2652</v>
      </c>
      <c r="I183" s="238">
        <v>1.76</v>
      </c>
      <c r="J183" s="238">
        <v>200</v>
      </c>
      <c r="K183" s="713">
        <v>352</v>
      </c>
    </row>
    <row r="184" spans="1:11" ht="14.4" customHeight="1" x14ac:dyDescent="0.3">
      <c r="A184" s="680" t="s">
        <v>534</v>
      </c>
      <c r="B184" s="671" t="s">
        <v>536</v>
      </c>
      <c r="C184" s="705" t="s">
        <v>554</v>
      </c>
      <c r="D184" s="723" t="s">
        <v>555</v>
      </c>
      <c r="E184" s="705" t="s">
        <v>2531</v>
      </c>
      <c r="F184" s="723" t="s">
        <v>2532</v>
      </c>
      <c r="G184" s="705" t="s">
        <v>2819</v>
      </c>
      <c r="H184" s="705" t="s">
        <v>2820</v>
      </c>
      <c r="I184" s="238">
        <v>1.76</v>
      </c>
      <c r="J184" s="238">
        <v>300</v>
      </c>
      <c r="K184" s="713">
        <v>528</v>
      </c>
    </row>
    <row r="185" spans="1:11" ht="14.4" customHeight="1" x14ac:dyDescent="0.3">
      <c r="A185" s="680" t="s">
        <v>534</v>
      </c>
      <c r="B185" s="671" t="s">
        <v>536</v>
      </c>
      <c r="C185" s="705" t="s">
        <v>554</v>
      </c>
      <c r="D185" s="723" t="s">
        <v>555</v>
      </c>
      <c r="E185" s="705" t="s">
        <v>2531</v>
      </c>
      <c r="F185" s="723" t="s">
        <v>2532</v>
      </c>
      <c r="G185" s="705" t="s">
        <v>2653</v>
      </c>
      <c r="H185" s="705" t="s">
        <v>2654</v>
      </c>
      <c r="I185" s="238">
        <v>1.4999999999999999E-2</v>
      </c>
      <c r="J185" s="238">
        <v>600</v>
      </c>
      <c r="K185" s="713">
        <v>9</v>
      </c>
    </row>
    <row r="186" spans="1:11" ht="14.4" customHeight="1" x14ac:dyDescent="0.3">
      <c r="A186" s="680" t="s">
        <v>534</v>
      </c>
      <c r="B186" s="671" t="s">
        <v>536</v>
      </c>
      <c r="C186" s="705" t="s">
        <v>554</v>
      </c>
      <c r="D186" s="723" t="s">
        <v>555</v>
      </c>
      <c r="E186" s="705" t="s">
        <v>2531</v>
      </c>
      <c r="F186" s="723" t="s">
        <v>2532</v>
      </c>
      <c r="G186" s="705" t="s">
        <v>2821</v>
      </c>
      <c r="H186" s="705" t="s">
        <v>2822</v>
      </c>
      <c r="I186" s="238">
        <v>2.0649999999999999</v>
      </c>
      <c r="J186" s="238">
        <v>600</v>
      </c>
      <c r="K186" s="713">
        <v>1239</v>
      </c>
    </row>
    <row r="187" spans="1:11" ht="14.4" customHeight="1" x14ac:dyDescent="0.3">
      <c r="A187" s="680" t="s">
        <v>534</v>
      </c>
      <c r="B187" s="671" t="s">
        <v>536</v>
      </c>
      <c r="C187" s="705" t="s">
        <v>554</v>
      </c>
      <c r="D187" s="723" t="s">
        <v>555</v>
      </c>
      <c r="E187" s="705" t="s">
        <v>2531</v>
      </c>
      <c r="F187" s="723" t="s">
        <v>2532</v>
      </c>
      <c r="G187" s="705" t="s">
        <v>2655</v>
      </c>
      <c r="H187" s="705" t="s">
        <v>2656</v>
      </c>
      <c r="I187" s="238">
        <v>2.81</v>
      </c>
      <c r="J187" s="238">
        <v>150</v>
      </c>
      <c r="K187" s="713">
        <v>421.5</v>
      </c>
    </row>
    <row r="188" spans="1:11" ht="14.4" customHeight="1" x14ac:dyDescent="0.3">
      <c r="A188" s="680" t="s">
        <v>534</v>
      </c>
      <c r="B188" s="671" t="s">
        <v>536</v>
      </c>
      <c r="C188" s="705" t="s">
        <v>554</v>
      </c>
      <c r="D188" s="723" t="s">
        <v>555</v>
      </c>
      <c r="E188" s="705" t="s">
        <v>2531</v>
      </c>
      <c r="F188" s="723" t="s">
        <v>2532</v>
      </c>
      <c r="G188" s="705" t="s">
        <v>2657</v>
      </c>
      <c r="H188" s="705" t="s">
        <v>2658</v>
      </c>
      <c r="I188" s="238">
        <v>1.99</v>
      </c>
      <c r="J188" s="238">
        <v>250</v>
      </c>
      <c r="K188" s="713">
        <v>497.5</v>
      </c>
    </row>
    <row r="189" spans="1:11" ht="14.4" customHeight="1" x14ac:dyDescent="0.3">
      <c r="A189" s="680" t="s">
        <v>534</v>
      </c>
      <c r="B189" s="671" t="s">
        <v>536</v>
      </c>
      <c r="C189" s="705" t="s">
        <v>554</v>
      </c>
      <c r="D189" s="723" t="s">
        <v>555</v>
      </c>
      <c r="E189" s="705" t="s">
        <v>2531</v>
      </c>
      <c r="F189" s="723" t="s">
        <v>2532</v>
      </c>
      <c r="G189" s="705" t="s">
        <v>2823</v>
      </c>
      <c r="H189" s="705" t="s">
        <v>2824</v>
      </c>
      <c r="I189" s="238">
        <v>2.41</v>
      </c>
      <c r="J189" s="238">
        <v>300</v>
      </c>
      <c r="K189" s="713">
        <v>723</v>
      </c>
    </row>
    <row r="190" spans="1:11" ht="14.4" customHeight="1" x14ac:dyDescent="0.3">
      <c r="A190" s="680" t="s">
        <v>534</v>
      </c>
      <c r="B190" s="671" t="s">
        <v>536</v>
      </c>
      <c r="C190" s="705" t="s">
        <v>554</v>
      </c>
      <c r="D190" s="723" t="s">
        <v>555</v>
      </c>
      <c r="E190" s="705" t="s">
        <v>2531</v>
      </c>
      <c r="F190" s="723" t="s">
        <v>2532</v>
      </c>
      <c r="G190" s="705" t="s">
        <v>2825</v>
      </c>
      <c r="H190" s="705" t="s">
        <v>2826</v>
      </c>
      <c r="I190" s="238">
        <v>4.2300000000000004</v>
      </c>
      <c r="J190" s="238">
        <v>10</v>
      </c>
      <c r="K190" s="713">
        <v>42.3</v>
      </c>
    </row>
    <row r="191" spans="1:11" ht="14.4" customHeight="1" x14ac:dyDescent="0.3">
      <c r="A191" s="680" t="s">
        <v>534</v>
      </c>
      <c r="B191" s="671" t="s">
        <v>536</v>
      </c>
      <c r="C191" s="705" t="s">
        <v>554</v>
      </c>
      <c r="D191" s="723" t="s">
        <v>555</v>
      </c>
      <c r="E191" s="705" t="s">
        <v>2531</v>
      </c>
      <c r="F191" s="723" t="s">
        <v>2532</v>
      </c>
      <c r="G191" s="705" t="s">
        <v>2659</v>
      </c>
      <c r="H191" s="705" t="s">
        <v>2660</v>
      </c>
      <c r="I191" s="238">
        <v>14.65</v>
      </c>
      <c r="J191" s="238">
        <v>200</v>
      </c>
      <c r="K191" s="713">
        <v>2930.78</v>
      </c>
    </row>
    <row r="192" spans="1:11" ht="14.4" customHeight="1" x14ac:dyDescent="0.3">
      <c r="A192" s="680" t="s">
        <v>534</v>
      </c>
      <c r="B192" s="671" t="s">
        <v>536</v>
      </c>
      <c r="C192" s="705" t="s">
        <v>554</v>
      </c>
      <c r="D192" s="723" t="s">
        <v>555</v>
      </c>
      <c r="E192" s="705" t="s">
        <v>2531</v>
      </c>
      <c r="F192" s="723" t="s">
        <v>2532</v>
      </c>
      <c r="G192" s="705" t="s">
        <v>2827</v>
      </c>
      <c r="H192" s="705" t="s">
        <v>2828</v>
      </c>
      <c r="I192" s="238">
        <v>7.16</v>
      </c>
      <c r="J192" s="238">
        <v>300</v>
      </c>
      <c r="K192" s="713">
        <v>2147.11</v>
      </c>
    </row>
    <row r="193" spans="1:11" ht="14.4" customHeight="1" x14ac:dyDescent="0.3">
      <c r="A193" s="680" t="s">
        <v>534</v>
      </c>
      <c r="B193" s="671" t="s">
        <v>536</v>
      </c>
      <c r="C193" s="705" t="s">
        <v>554</v>
      </c>
      <c r="D193" s="723" t="s">
        <v>555</v>
      </c>
      <c r="E193" s="705" t="s">
        <v>2531</v>
      </c>
      <c r="F193" s="723" t="s">
        <v>2532</v>
      </c>
      <c r="G193" s="705" t="s">
        <v>2663</v>
      </c>
      <c r="H193" s="705" t="s">
        <v>2664</v>
      </c>
      <c r="I193" s="238">
        <v>2.1800000000000002</v>
      </c>
      <c r="J193" s="238">
        <v>650</v>
      </c>
      <c r="K193" s="713">
        <v>1417</v>
      </c>
    </row>
    <row r="194" spans="1:11" ht="14.4" customHeight="1" x14ac:dyDescent="0.3">
      <c r="A194" s="680" t="s">
        <v>534</v>
      </c>
      <c r="B194" s="671" t="s">
        <v>536</v>
      </c>
      <c r="C194" s="705" t="s">
        <v>554</v>
      </c>
      <c r="D194" s="723" t="s">
        <v>555</v>
      </c>
      <c r="E194" s="705" t="s">
        <v>2531</v>
      </c>
      <c r="F194" s="723" t="s">
        <v>2532</v>
      </c>
      <c r="G194" s="705" t="s">
        <v>2829</v>
      </c>
      <c r="H194" s="705" t="s">
        <v>2830</v>
      </c>
      <c r="I194" s="238">
        <v>1249.6600000000001</v>
      </c>
      <c r="J194" s="238">
        <v>12</v>
      </c>
      <c r="K194" s="713">
        <v>14995.96</v>
      </c>
    </row>
    <row r="195" spans="1:11" ht="14.4" customHeight="1" x14ac:dyDescent="0.3">
      <c r="A195" s="680" t="s">
        <v>534</v>
      </c>
      <c r="B195" s="671" t="s">
        <v>536</v>
      </c>
      <c r="C195" s="705" t="s">
        <v>554</v>
      </c>
      <c r="D195" s="723" t="s">
        <v>555</v>
      </c>
      <c r="E195" s="705" t="s">
        <v>2531</v>
      </c>
      <c r="F195" s="723" t="s">
        <v>2532</v>
      </c>
      <c r="G195" s="705" t="s">
        <v>2831</v>
      </c>
      <c r="H195" s="705" t="s">
        <v>2832</v>
      </c>
      <c r="I195" s="238">
        <v>379.49</v>
      </c>
      <c r="J195" s="238">
        <v>3</v>
      </c>
      <c r="K195" s="713">
        <v>1138.46</v>
      </c>
    </row>
    <row r="196" spans="1:11" ht="14.4" customHeight="1" x14ac:dyDescent="0.3">
      <c r="A196" s="680" t="s">
        <v>534</v>
      </c>
      <c r="B196" s="671" t="s">
        <v>536</v>
      </c>
      <c r="C196" s="705" t="s">
        <v>554</v>
      </c>
      <c r="D196" s="723" t="s">
        <v>555</v>
      </c>
      <c r="E196" s="705" t="s">
        <v>2531</v>
      </c>
      <c r="F196" s="723" t="s">
        <v>2532</v>
      </c>
      <c r="G196" s="705" t="s">
        <v>2667</v>
      </c>
      <c r="H196" s="705" t="s">
        <v>2668</v>
      </c>
      <c r="I196" s="238">
        <v>266.2</v>
      </c>
      <c r="J196" s="238">
        <v>20</v>
      </c>
      <c r="K196" s="713">
        <v>5324</v>
      </c>
    </row>
    <row r="197" spans="1:11" ht="14.4" customHeight="1" x14ac:dyDescent="0.3">
      <c r="A197" s="680" t="s">
        <v>534</v>
      </c>
      <c r="B197" s="671" t="s">
        <v>536</v>
      </c>
      <c r="C197" s="705" t="s">
        <v>554</v>
      </c>
      <c r="D197" s="723" t="s">
        <v>555</v>
      </c>
      <c r="E197" s="705" t="s">
        <v>2531</v>
      </c>
      <c r="F197" s="723" t="s">
        <v>2532</v>
      </c>
      <c r="G197" s="705" t="s">
        <v>2833</v>
      </c>
      <c r="H197" s="705" t="s">
        <v>2834</v>
      </c>
      <c r="I197" s="238">
        <v>0.6</v>
      </c>
      <c r="J197" s="238">
        <v>1400</v>
      </c>
      <c r="K197" s="713">
        <v>840</v>
      </c>
    </row>
    <row r="198" spans="1:11" ht="14.4" customHeight="1" x14ac:dyDescent="0.3">
      <c r="A198" s="680" t="s">
        <v>534</v>
      </c>
      <c r="B198" s="671" t="s">
        <v>536</v>
      </c>
      <c r="C198" s="705" t="s">
        <v>554</v>
      </c>
      <c r="D198" s="723" t="s">
        <v>555</v>
      </c>
      <c r="E198" s="705" t="s">
        <v>2531</v>
      </c>
      <c r="F198" s="723" t="s">
        <v>2532</v>
      </c>
      <c r="G198" s="705" t="s">
        <v>2835</v>
      </c>
      <c r="H198" s="705" t="s">
        <v>2836</v>
      </c>
      <c r="I198" s="238">
        <v>4022.04</v>
      </c>
      <c r="J198" s="238">
        <v>7</v>
      </c>
      <c r="K198" s="713">
        <v>28154.28</v>
      </c>
    </row>
    <row r="199" spans="1:11" ht="14.4" customHeight="1" x14ac:dyDescent="0.3">
      <c r="A199" s="680" t="s">
        <v>534</v>
      </c>
      <c r="B199" s="671" t="s">
        <v>536</v>
      </c>
      <c r="C199" s="705" t="s">
        <v>554</v>
      </c>
      <c r="D199" s="723" t="s">
        <v>555</v>
      </c>
      <c r="E199" s="705" t="s">
        <v>2531</v>
      </c>
      <c r="F199" s="723" t="s">
        <v>2532</v>
      </c>
      <c r="G199" s="705" t="s">
        <v>2673</v>
      </c>
      <c r="H199" s="705" t="s">
        <v>2674</v>
      </c>
      <c r="I199" s="238">
        <v>2.9050000000000002</v>
      </c>
      <c r="J199" s="238">
        <v>200</v>
      </c>
      <c r="K199" s="713">
        <v>581</v>
      </c>
    </row>
    <row r="200" spans="1:11" ht="14.4" customHeight="1" x14ac:dyDescent="0.3">
      <c r="A200" s="680" t="s">
        <v>534</v>
      </c>
      <c r="B200" s="671" t="s">
        <v>536</v>
      </c>
      <c r="C200" s="705" t="s">
        <v>554</v>
      </c>
      <c r="D200" s="723" t="s">
        <v>555</v>
      </c>
      <c r="E200" s="705" t="s">
        <v>2531</v>
      </c>
      <c r="F200" s="723" t="s">
        <v>2532</v>
      </c>
      <c r="G200" s="705" t="s">
        <v>2837</v>
      </c>
      <c r="H200" s="705" t="s">
        <v>2838</v>
      </c>
      <c r="I200" s="238">
        <v>5.13</v>
      </c>
      <c r="J200" s="238">
        <v>240</v>
      </c>
      <c r="K200" s="713">
        <v>1231.1999999999998</v>
      </c>
    </row>
    <row r="201" spans="1:11" ht="14.4" customHeight="1" x14ac:dyDescent="0.3">
      <c r="A201" s="680" t="s">
        <v>534</v>
      </c>
      <c r="B201" s="671" t="s">
        <v>536</v>
      </c>
      <c r="C201" s="705" t="s">
        <v>554</v>
      </c>
      <c r="D201" s="723" t="s">
        <v>555</v>
      </c>
      <c r="E201" s="705" t="s">
        <v>2531</v>
      </c>
      <c r="F201" s="723" t="s">
        <v>2532</v>
      </c>
      <c r="G201" s="705" t="s">
        <v>2839</v>
      </c>
      <c r="H201" s="705" t="s">
        <v>2840</v>
      </c>
      <c r="I201" s="238">
        <v>32.664999999999999</v>
      </c>
      <c r="J201" s="238">
        <v>100</v>
      </c>
      <c r="K201" s="713">
        <v>3266.5</v>
      </c>
    </row>
    <row r="202" spans="1:11" ht="14.4" customHeight="1" x14ac:dyDescent="0.3">
      <c r="A202" s="680" t="s">
        <v>534</v>
      </c>
      <c r="B202" s="671" t="s">
        <v>536</v>
      </c>
      <c r="C202" s="705" t="s">
        <v>554</v>
      </c>
      <c r="D202" s="723" t="s">
        <v>555</v>
      </c>
      <c r="E202" s="705" t="s">
        <v>2531</v>
      </c>
      <c r="F202" s="723" t="s">
        <v>2532</v>
      </c>
      <c r="G202" s="705" t="s">
        <v>2841</v>
      </c>
      <c r="H202" s="705" t="s">
        <v>2842</v>
      </c>
      <c r="I202" s="238">
        <v>40.869999999999997</v>
      </c>
      <c r="J202" s="238">
        <v>40</v>
      </c>
      <c r="K202" s="713">
        <v>1634.8</v>
      </c>
    </row>
    <row r="203" spans="1:11" ht="14.4" customHeight="1" x14ac:dyDescent="0.3">
      <c r="A203" s="680" t="s">
        <v>534</v>
      </c>
      <c r="B203" s="671" t="s">
        <v>536</v>
      </c>
      <c r="C203" s="705" t="s">
        <v>554</v>
      </c>
      <c r="D203" s="723" t="s">
        <v>555</v>
      </c>
      <c r="E203" s="705" t="s">
        <v>2531</v>
      </c>
      <c r="F203" s="723" t="s">
        <v>2532</v>
      </c>
      <c r="G203" s="705" t="s">
        <v>2843</v>
      </c>
      <c r="H203" s="705" t="s">
        <v>2844</v>
      </c>
      <c r="I203" s="238">
        <v>7.95</v>
      </c>
      <c r="J203" s="238">
        <v>400</v>
      </c>
      <c r="K203" s="713">
        <v>3180</v>
      </c>
    </row>
    <row r="204" spans="1:11" ht="14.4" customHeight="1" x14ac:dyDescent="0.3">
      <c r="A204" s="680" t="s">
        <v>534</v>
      </c>
      <c r="B204" s="671" t="s">
        <v>536</v>
      </c>
      <c r="C204" s="705" t="s">
        <v>554</v>
      </c>
      <c r="D204" s="723" t="s">
        <v>555</v>
      </c>
      <c r="E204" s="705" t="s">
        <v>2531</v>
      </c>
      <c r="F204" s="723" t="s">
        <v>2532</v>
      </c>
      <c r="G204" s="705" t="s">
        <v>2845</v>
      </c>
      <c r="H204" s="705" t="s">
        <v>2846</v>
      </c>
      <c r="I204" s="238">
        <v>123.4</v>
      </c>
      <c r="J204" s="238">
        <v>3</v>
      </c>
      <c r="K204" s="713">
        <v>370.20000000000005</v>
      </c>
    </row>
    <row r="205" spans="1:11" ht="14.4" customHeight="1" x14ac:dyDescent="0.3">
      <c r="A205" s="680" t="s">
        <v>534</v>
      </c>
      <c r="B205" s="671" t="s">
        <v>536</v>
      </c>
      <c r="C205" s="705" t="s">
        <v>554</v>
      </c>
      <c r="D205" s="723" t="s">
        <v>555</v>
      </c>
      <c r="E205" s="705" t="s">
        <v>2531</v>
      </c>
      <c r="F205" s="723" t="s">
        <v>2532</v>
      </c>
      <c r="G205" s="705" t="s">
        <v>2847</v>
      </c>
      <c r="H205" s="705" t="s">
        <v>2848</v>
      </c>
      <c r="I205" s="238">
        <v>22.3</v>
      </c>
      <c r="J205" s="238">
        <v>60</v>
      </c>
      <c r="K205" s="713">
        <v>1338.04</v>
      </c>
    </row>
    <row r="206" spans="1:11" ht="14.4" customHeight="1" x14ac:dyDescent="0.3">
      <c r="A206" s="680" t="s">
        <v>534</v>
      </c>
      <c r="B206" s="671" t="s">
        <v>536</v>
      </c>
      <c r="C206" s="705" t="s">
        <v>554</v>
      </c>
      <c r="D206" s="723" t="s">
        <v>555</v>
      </c>
      <c r="E206" s="705" t="s">
        <v>2531</v>
      </c>
      <c r="F206" s="723" t="s">
        <v>2532</v>
      </c>
      <c r="G206" s="705" t="s">
        <v>2849</v>
      </c>
      <c r="H206" s="705" t="s">
        <v>2850</v>
      </c>
      <c r="I206" s="238">
        <v>13.12</v>
      </c>
      <c r="J206" s="238">
        <v>100</v>
      </c>
      <c r="K206" s="713">
        <v>1312.19</v>
      </c>
    </row>
    <row r="207" spans="1:11" ht="14.4" customHeight="1" x14ac:dyDescent="0.3">
      <c r="A207" s="680" t="s">
        <v>534</v>
      </c>
      <c r="B207" s="671" t="s">
        <v>536</v>
      </c>
      <c r="C207" s="705" t="s">
        <v>554</v>
      </c>
      <c r="D207" s="723" t="s">
        <v>555</v>
      </c>
      <c r="E207" s="705" t="s">
        <v>2531</v>
      </c>
      <c r="F207" s="723" t="s">
        <v>2532</v>
      </c>
      <c r="G207" s="705" t="s">
        <v>2851</v>
      </c>
      <c r="H207" s="705" t="s">
        <v>2852</v>
      </c>
      <c r="I207" s="238">
        <v>84.91</v>
      </c>
      <c r="J207" s="238">
        <v>100</v>
      </c>
      <c r="K207" s="713">
        <v>8490.57</v>
      </c>
    </row>
    <row r="208" spans="1:11" ht="14.4" customHeight="1" x14ac:dyDescent="0.3">
      <c r="A208" s="680" t="s">
        <v>534</v>
      </c>
      <c r="B208" s="671" t="s">
        <v>536</v>
      </c>
      <c r="C208" s="705" t="s">
        <v>554</v>
      </c>
      <c r="D208" s="723" t="s">
        <v>555</v>
      </c>
      <c r="E208" s="705" t="s">
        <v>2531</v>
      </c>
      <c r="F208" s="723" t="s">
        <v>2532</v>
      </c>
      <c r="G208" s="705" t="s">
        <v>2677</v>
      </c>
      <c r="H208" s="705" t="s">
        <v>2678</v>
      </c>
      <c r="I208" s="238">
        <v>764.72</v>
      </c>
      <c r="J208" s="238">
        <v>24</v>
      </c>
      <c r="K208" s="713">
        <v>18905.04</v>
      </c>
    </row>
    <row r="209" spans="1:11" ht="14.4" customHeight="1" x14ac:dyDescent="0.3">
      <c r="A209" s="680" t="s">
        <v>534</v>
      </c>
      <c r="B209" s="671" t="s">
        <v>536</v>
      </c>
      <c r="C209" s="705" t="s">
        <v>554</v>
      </c>
      <c r="D209" s="723" t="s">
        <v>555</v>
      </c>
      <c r="E209" s="705" t="s">
        <v>2531</v>
      </c>
      <c r="F209" s="723" t="s">
        <v>2532</v>
      </c>
      <c r="G209" s="705" t="s">
        <v>2853</v>
      </c>
      <c r="H209" s="705" t="s">
        <v>2854</v>
      </c>
      <c r="I209" s="238">
        <v>148.56</v>
      </c>
      <c r="J209" s="238">
        <v>90</v>
      </c>
      <c r="K209" s="713">
        <v>13370.5</v>
      </c>
    </row>
    <row r="210" spans="1:11" ht="14.4" customHeight="1" x14ac:dyDescent="0.3">
      <c r="A210" s="680" t="s">
        <v>534</v>
      </c>
      <c r="B210" s="671" t="s">
        <v>536</v>
      </c>
      <c r="C210" s="705" t="s">
        <v>554</v>
      </c>
      <c r="D210" s="723" t="s">
        <v>555</v>
      </c>
      <c r="E210" s="705" t="s">
        <v>2531</v>
      </c>
      <c r="F210" s="723" t="s">
        <v>2532</v>
      </c>
      <c r="G210" s="705" t="s">
        <v>2855</v>
      </c>
      <c r="H210" s="705" t="s">
        <v>2856</v>
      </c>
      <c r="I210" s="238">
        <v>123.18</v>
      </c>
      <c r="J210" s="238">
        <v>50</v>
      </c>
      <c r="K210" s="713">
        <v>6158.8</v>
      </c>
    </row>
    <row r="211" spans="1:11" ht="14.4" customHeight="1" x14ac:dyDescent="0.3">
      <c r="A211" s="680" t="s">
        <v>534</v>
      </c>
      <c r="B211" s="671" t="s">
        <v>536</v>
      </c>
      <c r="C211" s="705" t="s">
        <v>554</v>
      </c>
      <c r="D211" s="723" t="s">
        <v>555</v>
      </c>
      <c r="E211" s="705" t="s">
        <v>2531</v>
      </c>
      <c r="F211" s="723" t="s">
        <v>2532</v>
      </c>
      <c r="G211" s="705" t="s">
        <v>2679</v>
      </c>
      <c r="H211" s="705" t="s">
        <v>2680</v>
      </c>
      <c r="I211" s="238">
        <v>15.004999999999999</v>
      </c>
      <c r="J211" s="238">
        <v>40</v>
      </c>
      <c r="K211" s="713">
        <v>600.20000000000005</v>
      </c>
    </row>
    <row r="212" spans="1:11" ht="14.4" customHeight="1" x14ac:dyDescent="0.3">
      <c r="A212" s="680" t="s">
        <v>534</v>
      </c>
      <c r="B212" s="671" t="s">
        <v>536</v>
      </c>
      <c r="C212" s="705" t="s">
        <v>554</v>
      </c>
      <c r="D212" s="723" t="s">
        <v>555</v>
      </c>
      <c r="E212" s="705" t="s">
        <v>2531</v>
      </c>
      <c r="F212" s="723" t="s">
        <v>2532</v>
      </c>
      <c r="G212" s="705" t="s">
        <v>2857</v>
      </c>
      <c r="H212" s="705" t="s">
        <v>2858</v>
      </c>
      <c r="I212" s="238">
        <v>32.9</v>
      </c>
      <c r="J212" s="238">
        <v>30</v>
      </c>
      <c r="K212" s="713">
        <v>987</v>
      </c>
    </row>
    <row r="213" spans="1:11" ht="14.4" customHeight="1" x14ac:dyDescent="0.3">
      <c r="A213" s="680" t="s">
        <v>534</v>
      </c>
      <c r="B213" s="671" t="s">
        <v>536</v>
      </c>
      <c r="C213" s="705" t="s">
        <v>554</v>
      </c>
      <c r="D213" s="723" t="s">
        <v>555</v>
      </c>
      <c r="E213" s="705" t="s">
        <v>2531</v>
      </c>
      <c r="F213" s="723" t="s">
        <v>2532</v>
      </c>
      <c r="G213" s="705" t="s">
        <v>2859</v>
      </c>
      <c r="H213" s="705" t="s">
        <v>2860</v>
      </c>
      <c r="I213" s="238">
        <v>64.61</v>
      </c>
      <c r="J213" s="238">
        <v>50</v>
      </c>
      <c r="K213" s="713">
        <v>3230.7</v>
      </c>
    </row>
    <row r="214" spans="1:11" ht="14.4" customHeight="1" x14ac:dyDescent="0.3">
      <c r="A214" s="680" t="s">
        <v>534</v>
      </c>
      <c r="B214" s="671" t="s">
        <v>536</v>
      </c>
      <c r="C214" s="705" t="s">
        <v>554</v>
      </c>
      <c r="D214" s="723" t="s">
        <v>555</v>
      </c>
      <c r="E214" s="705" t="s">
        <v>2531</v>
      </c>
      <c r="F214" s="723" t="s">
        <v>2532</v>
      </c>
      <c r="G214" s="705" t="s">
        <v>2861</v>
      </c>
      <c r="H214" s="705" t="s">
        <v>2862</v>
      </c>
      <c r="I214" s="238">
        <v>84.34</v>
      </c>
      <c r="J214" s="238">
        <v>20</v>
      </c>
      <c r="K214" s="713">
        <v>1686.75</v>
      </c>
    </row>
    <row r="215" spans="1:11" ht="14.4" customHeight="1" x14ac:dyDescent="0.3">
      <c r="A215" s="680" t="s">
        <v>534</v>
      </c>
      <c r="B215" s="671" t="s">
        <v>536</v>
      </c>
      <c r="C215" s="705" t="s">
        <v>554</v>
      </c>
      <c r="D215" s="723" t="s">
        <v>555</v>
      </c>
      <c r="E215" s="705" t="s">
        <v>2531</v>
      </c>
      <c r="F215" s="723" t="s">
        <v>2532</v>
      </c>
      <c r="G215" s="705" t="s">
        <v>2685</v>
      </c>
      <c r="H215" s="705" t="s">
        <v>2686</v>
      </c>
      <c r="I215" s="238">
        <v>5.2</v>
      </c>
      <c r="J215" s="238">
        <v>2465</v>
      </c>
      <c r="K215" s="713">
        <v>12818</v>
      </c>
    </row>
    <row r="216" spans="1:11" ht="14.4" customHeight="1" x14ac:dyDescent="0.3">
      <c r="A216" s="680" t="s">
        <v>534</v>
      </c>
      <c r="B216" s="671" t="s">
        <v>536</v>
      </c>
      <c r="C216" s="705" t="s">
        <v>554</v>
      </c>
      <c r="D216" s="723" t="s">
        <v>555</v>
      </c>
      <c r="E216" s="705" t="s">
        <v>2531</v>
      </c>
      <c r="F216" s="723" t="s">
        <v>2532</v>
      </c>
      <c r="G216" s="705" t="s">
        <v>2863</v>
      </c>
      <c r="H216" s="705" t="s">
        <v>2864</v>
      </c>
      <c r="I216" s="238">
        <v>13.2</v>
      </c>
      <c r="J216" s="238">
        <v>10</v>
      </c>
      <c r="K216" s="713">
        <v>132</v>
      </c>
    </row>
    <row r="217" spans="1:11" ht="14.4" customHeight="1" x14ac:dyDescent="0.3">
      <c r="A217" s="680" t="s">
        <v>534</v>
      </c>
      <c r="B217" s="671" t="s">
        <v>536</v>
      </c>
      <c r="C217" s="705" t="s">
        <v>554</v>
      </c>
      <c r="D217" s="723" t="s">
        <v>555</v>
      </c>
      <c r="E217" s="705" t="s">
        <v>2531</v>
      </c>
      <c r="F217" s="723" t="s">
        <v>2532</v>
      </c>
      <c r="G217" s="705" t="s">
        <v>2687</v>
      </c>
      <c r="H217" s="705" t="s">
        <v>2688</v>
      </c>
      <c r="I217" s="238">
        <v>13.2</v>
      </c>
      <c r="J217" s="238">
        <v>10</v>
      </c>
      <c r="K217" s="713">
        <v>132</v>
      </c>
    </row>
    <row r="218" spans="1:11" ht="14.4" customHeight="1" x14ac:dyDescent="0.3">
      <c r="A218" s="680" t="s">
        <v>534</v>
      </c>
      <c r="B218" s="671" t="s">
        <v>536</v>
      </c>
      <c r="C218" s="705" t="s">
        <v>554</v>
      </c>
      <c r="D218" s="723" t="s">
        <v>555</v>
      </c>
      <c r="E218" s="705" t="s">
        <v>2531</v>
      </c>
      <c r="F218" s="723" t="s">
        <v>2532</v>
      </c>
      <c r="G218" s="705" t="s">
        <v>2689</v>
      </c>
      <c r="H218" s="705" t="s">
        <v>2690</v>
      </c>
      <c r="I218" s="238">
        <v>1.5550000000000002</v>
      </c>
      <c r="J218" s="238">
        <v>375</v>
      </c>
      <c r="K218" s="713">
        <v>583.5</v>
      </c>
    </row>
    <row r="219" spans="1:11" ht="14.4" customHeight="1" x14ac:dyDescent="0.3">
      <c r="A219" s="680" t="s">
        <v>534</v>
      </c>
      <c r="B219" s="671" t="s">
        <v>536</v>
      </c>
      <c r="C219" s="705" t="s">
        <v>554</v>
      </c>
      <c r="D219" s="723" t="s">
        <v>555</v>
      </c>
      <c r="E219" s="705" t="s">
        <v>2531</v>
      </c>
      <c r="F219" s="723" t="s">
        <v>2532</v>
      </c>
      <c r="G219" s="705" t="s">
        <v>2865</v>
      </c>
      <c r="H219" s="705" t="s">
        <v>2866</v>
      </c>
      <c r="I219" s="238">
        <v>13.19</v>
      </c>
      <c r="J219" s="238">
        <v>10</v>
      </c>
      <c r="K219" s="713">
        <v>131.9</v>
      </c>
    </row>
    <row r="220" spans="1:11" ht="14.4" customHeight="1" x14ac:dyDescent="0.3">
      <c r="A220" s="680" t="s">
        <v>534</v>
      </c>
      <c r="B220" s="671" t="s">
        <v>536</v>
      </c>
      <c r="C220" s="705" t="s">
        <v>554</v>
      </c>
      <c r="D220" s="723" t="s">
        <v>555</v>
      </c>
      <c r="E220" s="705" t="s">
        <v>2531</v>
      </c>
      <c r="F220" s="723" t="s">
        <v>2532</v>
      </c>
      <c r="G220" s="705" t="s">
        <v>2691</v>
      </c>
      <c r="H220" s="705" t="s">
        <v>2692</v>
      </c>
      <c r="I220" s="238">
        <v>0.47</v>
      </c>
      <c r="J220" s="238">
        <v>2400</v>
      </c>
      <c r="K220" s="713">
        <v>1128</v>
      </c>
    </row>
    <row r="221" spans="1:11" ht="14.4" customHeight="1" x14ac:dyDescent="0.3">
      <c r="A221" s="680" t="s">
        <v>534</v>
      </c>
      <c r="B221" s="671" t="s">
        <v>536</v>
      </c>
      <c r="C221" s="705" t="s">
        <v>554</v>
      </c>
      <c r="D221" s="723" t="s">
        <v>555</v>
      </c>
      <c r="E221" s="705" t="s">
        <v>2531</v>
      </c>
      <c r="F221" s="723" t="s">
        <v>2532</v>
      </c>
      <c r="G221" s="705" t="s">
        <v>2867</v>
      </c>
      <c r="H221" s="705" t="s">
        <v>2868</v>
      </c>
      <c r="I221" s="238">
        <v>4.03</v>
      </c>
      <c r="J221" s="238">
        <v>500</v>
      </c>
      <c r="K221" s="713">
        <v>2015</v>
      </c>
    </row>
    <row r="222" spans="1:11" ht="14.4" customHeight="1" x14ac:dyDescent="0.3">
      <c r="A222" s="680" t="s">
        <v>534</v>
      </c>
      <c r="B222" s="671" t="s">
        <v>536</v>
      </c>
      <c r="C222" s="705" t="s">
        <v>554</v>
      </c>
      <c r="D222" s="723" t="s">
        <v>555</v>
      </c>
      <c r="E222" s="705" t="s">
        <v>2531</v>
      </c>
      <c r="F222" s="723" t="s">
        <v>2532</v>
      </c>
      <c r="G222" s="705" t="s">
        <v>2869</v>
      </c>
      <c r="H222" s="705" t="s">
        <v>2870</v>
      </c>
      <c r="I222" s="238">
        <v>2.605</v>
      </c>
      <c r="J222" s="238">
        <v>200</v>
      </c>
      <c r="K222" s="713">
        <v>521</v>
      </c>
    </row>
    <row r="223" spans="1:11" ht="14.4" customHeight="1" x14ac:dyDescent="0.3">
      <c r="A223" s="680" t="s">
        <v>534</v>
      </c>
      <c r="B223" s="671" t="s">
        <v>536</v>
      </c>
      <c r="C223" s="705" t="s">
        <v>554</v>
      </c>
      <c r="D223" s="723" t="s">
        <v>555</v>
      </c>
      <c r="E223" s="705" t="s">
        <v>2531</v>
      </c>
      <c r="F223" s="723" t="s">
        <v>2532</v>
      </c>
      <c r="G223" s="705" t="s">
        <v>2871</v>
      </c>
      <c r="H223" s="705" t="s">
        <v>2872</v>
      </c>
      <c r="I223" s="238">
        <v>2.6</v>
      </c>
      <c r="J223" s="238">
        <v>400</v>
      </c>
      <c r="K223" s="713">
        <v>1040</v>
      </c>
    </row>
    <row r="224" spans="1:11" ht="14.4" customHeight="1" x14ac:dyDescent="0.3">
      <c r="A224" s="680" t="s">
        <v>534</v>
      </c>
      <c r="B224" s="671" t="s">
        <v>536</v>
      </c>
      <c r="C224" s="705" t="s">
        <v>554</v>
      </c>
      <c r="D224" s="723" t="s">
        <v>555</v>
      </c>
      <c r="E224" s="705" t="s">
        <v>2531</v>
      </c>
      <c r="F224" s="723" t="s">
        <v>2532</v>
      </c>
      <c r="G224" s="705" t="s">
        <v>2873</v>
      </c>
      <c r="H224" s="705" t="s">
        <v>2874</v>
      </c>
      <c r="I224" s="238">
        <v>2.6</v>
      </c>
      <c r="J224" s="238">
        <v>600</v>
      </c>
      <c r="K224" s="713">
        <v>1560</v>
      </c>
    </row>
    <row r="225" spans="1:11" ht="14.4" customHeight="1" x14ac:dyDescent="0.3">
      <c r="A225" s="680" t="s">
        <v>534</v>
      </c>
      <c r="B225" s="671" t="s">
        <v>536</v>
      </c>
      <c r="C225" s="705" t="s">
        <v>554</v>
      </c>
      <c r="D225" s="723" t="s">
        <v>555</v>
      </c>
      <c r="E225" s="705" t="s">
        <v>2531</v>
      </c>
      <c r="F225" s="723" t="s">
        <v>2532</v>
      </c>
      <c r="G225" s="705" t="s">
        <v>2875</v>
      </c>
      <c r="H225" s="705" t="s">
        <v>2876</v>
      </c>
      <c r="I225" s="238">
        <v>227.48</v>
      </c>
      <c r="J225" s="238">
        <v>25</v>
      </c>
      <c r="K225" s="713">
        <v>5687</v>
      </c>
    </row>
    <row r="226" spans="1:11" ht="14.4" customHeight="1" x14ac:dyDescent="0.3">
      <c r="A226" s="680" t="s">
        <v>534</v>
      </c>
      <c r="B226" s="671" t="s">
        <v>536</v>
      </c>
      <c r="C226" s="705" t="s">
        <v>554</v>
      </c>
      <c r="D226" s="723" t="s">
        <v>555</v>
      </c>
      <c r="E226" s="705" t="s">
        <v>2531</v>
      </c>
      <c r="F226" s="723" t="s">
        <v>2532</v>
      </c>
      <c r="G226" s="705" t="s">
        <v>2877</v>
      </c>
      <c r="H226" s="705" t="s">
        <v>2878</v>
      </c>
      <c r="I226" s="238">
        <v>15.39</v>
      </c>
      <c r="J226" s="238">
        <v>300</v>
      </c>
      <c r="K226" s="713">
        <v>4617</v>
      </c>
    </row>
    <row r="227" spans="1:11" ht="14.4" customHeight="1" x14ac:dyDescent="0.3">
      <c r="A227" s="680" t="s">
        <v>534</v>
      </c>
      <c r="B227" s="671" t="s">
        <v>536</v>
      </c>
      <c r="C227" s="705" t="s">
        <v>554</v>
      </c>
      <c r="D227" s="723" t="s">
        <v>555</v>
      </c>
      <c r="E227" s="705" t="s">
        <v>2531</v>
      </c>
      <c r="F227" s="723" t="s">
        <v>2532</v>
      </c>
      <c r="G227" s="705" t="s">
        <v>2879</v>
      </c>
      <c r="H227" s="705" t="s">
        <v>2880</v>
      </c>
      <c r="I227" s="238">
        <v>227.48</v>
      </c>
      <c r="J227" s="238">
        <v>25</v>
      </c>
      <c r="K227" s="713">
        <v>5687</v>
      </c>
    </row>
    <row r="228" spans="1:11" ht="14.4" customHeight="1" x14ac:dyDescent="0.3">
      <c r="A228" s="680" t="s">
        <v>534</v>
      </c>
      <c r="B228" s="671" t="s">
        <v>536</v>
      </c>
      <c r="C228" s="705" t="s">
        <v>554</v>
      </c>
      <c r="D228" s="723" t="s">
        <v>555</v>
      </c>
      <c r="E228" s="705" t="s">
        <v>2531</v>
      </c>
      <c r="F228" s="723" t="s">
        <v>2532</v>
      </c>
      <c r="G228" s="705" t="s">
        <v>2881</v>
      </c>
      <c r="H228" s="705" t="s">
        <v>2882</v>
      </c>
      <c r="I228" s="238">
        <v>43.2</v>
      </c>
      <c r="J228" s="238">
        <v>60</v>
      </c>
      <c r="K228" s="713">
        <v>2591.8000000000002</v>
      </c>
    </row>
    <row r="229" spans="1:11" ht="14.4" customHeight="1" x14ac:dyDescent="0.3">
      <c r="A229" s="680" t="s">
        <v>534</v>
      </c>
      <c r="B229" s="671" t="s">
        <v>536</v>
      </c>
      <c r="C229" s="705" t="s">
        <v>554</v>
      </c>
      <c r="D229" s="723" t="s">
        <v>555</v>
      </c>
      <c r="E229" s="705" t="s">
        <v>2531</v>
      </c>
      <c r="F229" s="723" t="s">
        <v>2532</v>
      </c>
      <c r="G229" s="705" t="s">
        <v>2883</v>
      </c>
      <c r="H229" s="705" t="s">
        <v>2884</v>
      </c>
      <c r="I229" s="238">
        <v>646.75</v>
      </c>
      <c r="J229" s="238">
        <v>2</v>
      </c>
      <c r="K229" s="713">
        <v>1293.5</v>
      </c>
    </row>
    <row r="230" spans="1:11" ht="14.4" customHeight="1" x14ac:dyDescent="0.3">
      <c r="A230" s="680" t="s">
        <v>534</v>
      </c>
      <c r="B230" s="671" t="s">
        <v>536</v>
      </c>
      <c r="C230" s="705" t="s">
        <v>554</v>
      </c>
      <c r="D230" s="723" t="s">
        <v>555</v>
      </c>
      <c r="E230" s="705" t="s">
        <v>2531</v>
      </c>
      <c r="F230" s="723" t="s">
        <v>2532</v>
      </c>
      <c r="G230" s="705" t="s">
        <v>2885</v>
      </c>
      <c r="H230" s="705" t="s">
        <v>2886</v>
      </c>
      <c r="I230" s="238">
        <v>242</v>
      </c>
      <c r="J230" s="238">
        <v>10</v>
      </c>
      <c r="K230" s="713">
        <v>2420</v>
      </c>
    </row>
    <row r="231" spans="1:11" ht="14.4" customHeight="1" x14ac:dyDescent="0.3">
      <c r="A231" s="680" t="s">
        <v>534</v>
      </c>
      <c r="B231" s="671" t="s">
        <v>536</v>
      </c>
      <c r="C231" s="705" t="s">
        <v>554</v>
      </c>
      <c r="D231" s="723" t="s">
        <v>555</v>
      </c>
      <c r="E231" s="705" t="s">
        <v>2531</v>
      </c>
      <c r="F231" s="723" t="s">
        <v>2532</v>
      </c>
      <c r="G231" s="705" t="s">
        <v>2887</v>
      </c>
      <c r="H231" s="705" t="s">
        <v>2888</v>
      </c>
      <c r="I231" s="238">
        <v>8.3800000000000008</v>
      </c>
      <c r="J231" s="238">
        <v>40</v>
      </c>
      <c r="K231" s="713">
        <v>335.2</v>
      </c>
    </row>
    <row r="232" spans="1:11" ht="14.4" customHeight="1" x14ac:dyDescent="0.3">
      <c r="A232" s="680" t="s">
        <v>534</v>
      </c>
      <c r="B232" s="671" t="s">
        <v>536</v>
      </c>
      <c r="C232" s="705" t="s">
        <v>554</v>
      </c>
      <c r="D232" s="723" t="s">
        <v>555</v>
      </c>
      <c r="E232" s="705" t="s">
        <v>2531</v>
      </c>
      <c r="F232" s="723" t="s">
        <v>2532</v>
      </c>
      <c r="G232" s="705" t="s">
        <v>2889</v>
      </c>
      <c r="H232" s="705" t="s">
        <v>2890</v>
      </c>
      <c r="I232" s="238">
        <v>49.91</v>
      </c>
      <c r="J232" s="238">
        <v>50</v>
      </c>
      <c r="K232" s="713">
        <v>2495.63</v>
      </c>
    </row>
    <row r="233" spans="1:11" ht="14.4" customHeight="1" x14ac:dyDescent="0.3">
      <c r="A233" s="680" t="s">
        <v>534</v>
      </c>
      <c r="B233" s="671" t="s">
        <v>536</v>
      </c>
      <c r="C233" s="705" t="s">
        <v>554</v>
      </c>
      <c r="D233" s="723" t="s">
        <v>555</v>
      </c>
      <c r="E233" s="705" t="s">
        <v>2531</v>
      </c>
      <c r="F233" s="723" t="s">
        <v>2532</v>
      </c>
      <c r="G233" s="705" t="s">
        <v>2891</v>
      </c>
      <c r="H233" s="705" t="s">
        <v>2892</v>
      </c>
      <c r="I233" s="238">
        <v>17.91</v>
      </c>
      <c r="J233" s="238">
        <v>60</v>
      </c>
      <c r="K233" s="713">
        <v>1074.46</v>
      </c>
    </row>
    <row r="234" spans="1:11" ht="14.4" customHeight="1" x14ac:dyDescent="0.3">
      <c r="A234" s="680" t="s">
        <v>534</v>
      </c>
      <c r="B234" s="671" t="s">
        <v>536</v>
      </c>
      <c r="C234" s="705" t="s">
        <v>554</v>
      </c>
      <c r="D234" s="723" t="s">
        <v>555</v>
      </c>
      <c r="E234" s="705" t="s">
        <v>2531</v>
      </c>
      <c r="F234" s="723" t="s">
        <v>2532</v>
      </c>
      <c r="G234" s="705" t="s">
        <v>2893</v>
      </c>
      <c r="H234" s="705" t="s">
        <v>2894</v>
      </c>
      <c r="I234" s="238">
        <v>411.4</v>
      </c>
      <c r="J234" s="238">
        <v>10</v>
      </c>
      <c r="K234" s="713">
        <v>4114</v>
      </c>
    </row>
    <row r="235" spans="1:11" ht="14.4" customHeight="1" x14ac:dyDescent="0.3">
      <c r="A235" s="680" t="s">
        <v>534</v>
      </c>
      <c r="B235" s="671" t="s">
        <v>536</v>
      </c>
      <c r="C235" s="705" t="s">
        <v>554</v>
      </c>
      <c r="D235" s="723" t="s">
        <v>555</v>
      </c>
      <c r="E235" s="705" t="s">
        <v>2531</v>
      </c>
      <c r="F235" s="723" t="s">
        <v>2532</v>
      </c>
      <c r="G235" s="705" t="s">
        <v>2895</v>
      </c>
      <c r="H235" s="705" t="s">
        <v>2896</v>
      </c>
      <c r="I235" s="238">
        <v>20.57</v>
      </c>
      <c r="J235" s="238">
        <v>40</v>
      </c>
      <c r="K235" s="713">
        <v>822.8</v>
      </c>
    </row>
    <row r="236" spans="1:11" ht="14.4" customHeight="1" x14ac:dyDescent="0.3">
      <c r="A236" s="680" t="s">
        <v>534</v>
      </c>
      <c r="B236" s="671" t="s">
        <v>536</v>
      </c>
      <c r="C236" s="705" t="s">
        <v>554</v>
      </c>
      <c r="D236" s="723" t="s">
        <v>555</v>
      </c>
      <c r="E236" s="705" t="s">
        <v>2531</v>
      </c>
      <c r="F236" s="723" t="s">
        <v>2532</v>
      </c>
      <c r="G236" s="705" t="s">
        <v>2897</v>
      </c>
      <c r="H236" s="705" t="s">
        <v>2898</v>
      </c>
      <c r="I236" s="238">
        <v>188.68</v>
      </c>
      <c r="J236" s="238">
        <v>2</v>
      </c>
      <c r="K236" s="713">
        <v>377.36</v>
      </c>
    </row>
    <row r="237" spans="1:11" ht="14.4" customHeight="1" x14ac:dyDescent="0.3">
      <c r="A237" s="680" t="s">
        <v>534</v>
      </c>
      <c r="B237" s="671" t="s">
        <v>536</v>
      </c>
      <c r="C237" s="705" t="s">
        <v>554</v>
      </c>
      <c r="D237" s="723" t="s">
        <v>555</v>
      </c>
      <c r="E237" s="705" t="s">
        <v>2531</v>
      </c>
      <c r="F237" s="723" t="s">
        <v>2532</v>
      </c>
      <c r="G237" s="705" t="s">
        <v>2899</v>
      </c>
      <c r="H237" s="705" t="s">
        <v>2900</v>
      </c>
      <c r="I237" s="238">
        <v>688.91</v>
      </c>
      <c r="J237" s="238">
        <v>6</v>
      </c>
      <c r="K237" s="713">
        <v>4133.4799999999996</v>
      </c>
    </row>
    <row r="238" spans="1:11" ht="14.4" customHeight="1" x14ac:dyDescent="0.3">
      <c r="A238" s="680" t="s">
        <v>534</v>
      </c>
      <c r="B238" s="671" t="s">
        <v>536</v>
      </c>
      <c r="C238" s="705" t="s">
        <v>554</v>
      </c>
      <c r="D238" s="723" t="s">
        <v>555</v>
      </c>
      <c r="E238" s="705" t="s">
        <v>2531</v>
      </c>
      <c r="F238" s="723" t="s">
        <v>2532</v>
      </c>
      <c r="G238" s="705" t="s">
        <v>2901</v>
      </c>
      <c r="H238" s="705" t="s">
        <v>2902</v>
      </c>
      <c r="I238" s="238">
        <v>27.439999999999998</v>
      </c>
      <c r="J238" s="238">
        <v>100</v>
      </c>
      <c r="K238" s="713">
        <v>2744.24</v>
      </c>
    </row>
    <row r="239" spans="1:11" ht="14.4" customHeight="1" x14ac:dyDescent="0.3">
      <c r="A239" s="680" t="s">
        <v>534</v>
      </c>
      <c r="B239" s="671" t="s">
        <v>536</v>
      </c>
      <c r="C239" s="705" t="s">
        <v>554</v>
      </c>
      <c r="D239" s="723" t="s">
        <v>555</v>
      </c>
      <c r="E239" s="705" t="s">
        <v>2531</v>
      </c>
      <c r="F239" s="723" t="s">
        <v>2532</v>
      </c>
      <c r="G239" s="705" t="s">
        <v>2903</v>
      </c>
      <c r="H239" s="705" t="s">
        <v>2904</v>
      </c>
      <c r="I239" s="238">
        <v>54.28</v>
      </c>
      <c r="J239" s="238">
        <v>60</v>
      </c>
      <c r="K239" s="713">
        <v>3256.84</v>
      </c>
    </row>
    <row r="240" spans="1:11" ht="14.4" customHeight="1" x14ac:dyDescent="0.3">
      <c r="A240" s="680" t="s">
        <v>534</v>
      </c>
      <c r="B240" s="671" t="s">
        <v>536</v>
      </c>
      <c r="C240" s="705" t="s">
        <v>554</v>
      </c>
      <c r="D240" s="723" t="s">
        <v>555</v>
      </c>
      <c r="E240" s="705" t="s">
        <v>2531</v>
      </c>
      <c r="F240" s="723" t="s">
        <v>2532</v>
      </c>
      <c r="G240" s="705" t="s">
        <v>2905</v>
      </c>
      <c r="H240" s="705" t="s">
        <v>2906</v>
      </c>
      <c r="I240" s="238">
        <v>150</v>
      </c>
      <c r="J240" s="238">
        <v>10</v>
      </c>
      <c r="K240" s="713">
        <v>1500</v>
      </c>
    </row>
    <row r="241" spans="1:11" ht="14.4" customHeight="1" x14ac:dyDescent="0.3">
      <c r="A241" s="680" t="s">
        <v>534</v>
      </c>
      <c r="B241" s="671" t="s">
        <v>536</v>
      </c>
      <c r="C241" s="705" t="s">
        <v>554</v>
      </c>
      <c r="D241" s="723" t="s">
        <v>555</v>
      </c>
      <c r="E241" s="705" t="s">
        <v>2531</v>
      </c>
      <c r="F241" s="723" t="s">
        <v>2532</v>
      </c>
      <c r="G241" s="705" t="s">
        <v>2907</v>
      </c>
      <c r="H241" s="705" t="s">
        <v>2908</v>
      </c>
      <c r="I241" s="238">
        <v>150.01</v>
      </c>
      <c r="J241" s="238">
        <v>4</v>
      </c>
      <c r="K241" s="713">
        <v>600.04</v>
      </c>
    </row>
    <row r="242" spans="1:11" ht="14.4" customHeight="1" x14ac:dyDescent="0.3">
      <c r="A242" s="680" t="s">
        <v>534</v>
      </c>
      <c r="B242" s="671" t="s">
        <v>536</v>
      </c>
      <c r="C242" s="705" t="s">
        <v>554</v>
      </c>
      <c r="D242" s="723" t="s">
        <v>555</v>
      </c>
      <c r="E242" s="705" t="s">
        <v>2531</v>
      </c>
      <c r="F242" s="723" t="s">
        <v>2532</v>
      </c>
      <c r="G242" s="705" t="s">
        <v>2909</v>
      </c>
      <c r="H242" s="705" t="s">
        <v>2910</v>
      </c>
      <c r="I242" s="238">
        <v>527.96</v>
      </c>
      <c r="J242" s="238">
        <v>10</v>
      </c>
      <c r="K242" s="713">
        <v>5279.65</v>
      </c>
    </row>
    <row r="243" spans="1:11" ht="14.4" customHeight="1" x14ac:dyDescent="0.3">
      <c r="A243" s="680" t="s">
        <v>534</v>
      </c>
      <c r="B243" s="671" t="s">
        <v>536</v>
      </c>
      <c r="C243" s="705" t="s">
        <v>554</v>
      </c>
      <c r="D243" s="723" t="s">
        <v>555</v>
      </c>
      <c r="E243" s="705" t="s">
        <v>2531</v>
      </c>
      <c r="F243" s="723" t="s">
        <v>2532</v>
      </c>
      <c r="G243" s="705" t="s">
        <v>2705</v>
      </c>
      <c r="H243" s="705" t="s">
        <v>2706</v>
      </c>
      <c r="I243" s="238">
        <v>9.1999999999999993</v>
      </c>
      <c r="J243" s="238">
        <v>200</v>
      </c>
      <c r="K243" s="713">
        <v>1840</v>
      </c>
    </row>
    <row r="244" spans="1:11" ht="14.4" customHeight="1" x14ac:dyDescent="0.3">
      <c r="A244" s="680" t="s">
        <v>534</v>
      </c>
      <c r="B244" s="671" t="s">
        <v>536</v>
      </c>
      <c r="C244" s="705" t="s">
        <v>554</v>
      </c>
      <c r="D244" s="723" t="s">
        <v>555</v>
      </c>
      <c r="E244" s="705" t="s">
        <v>2531</v>
      </c>
      <c r="F244" s="723" t="s">
        <v>2532</v>
      </c>
      <c r="G244" s="705" t="s">
        <v>2911</v>
      </c>
      <c r="H244" s="705" t="s">
        <v>2912</v>
      </c>
      <c r="I244" s="238">
        <v>9.68</v>
      </c>
      <c r="J244" s="238">
        <v>100</v>
      </c>
      <c r="K244" s="713">
        <v>968</v>
      </c>
    </row>
    <row r="245" spans="1:11" ht="14.4" customHeight="1" x14ac:dyDescent="0.3">
      <c r="A245" s="680" t="s">
        <v>534</v>
      </c>
      <c r="B245" s="671" t="s">
        <v>536</v>
      </c>
      <c r="C245" s="705" t="s">
        <v>554</v>
      </c>
      <c r="D245" s="723" t="s">
        <v>555</v>
      </c>
      <c r="E245" s="705" t="s">
        <v>2531</v>
      </c>
      <c r="F245" s="723" t="s">
        <v>2532</v>
      </c>
      <c r="G245" s="705" t="s">
        <v>2913</v>
      </c>
      <c r="H245" s="705" t="s">
        <v>2914</v>
      </c>
      <c r="I245" s="238">
        <v>150</v>
      </c>
      <c r="J245" s="238">
        <v>10</v>
      </c>
      <c r="K245" s="713">
        <v>1500.04</v>
      </c>
    </row>
    <row r="246" spans="1:11" ht="14.4" customHeight="1" x14ac:dyDescent="0.3">
      <c r="A246" s="680" t="s">
        <v>534</v>
      </c>
      <c r="B246" s="671" t="s">
        <v>536</v>
      </c>
      <c r="C246" s="705" t="s">
        <v>554</v>
      </c>
      <c r="D246" s="723" t="s">
        <v>555</v>
      </c>
      <c r="E246" s="705" t="s">
        <v>2531</v>
      </c>
      <c r="F246" s="723" t="s">
        <v>2532</v>
      </c>
      <c r="G246" s="705" t="s">
        <v>2915</v>
      </c>
      <c r="H246" s="705" t="s">
        <v>2916</v>
      </c>
      <c r="I246" s="238">
        <v>150</v>
      </c>
      <c r="J246" s="238">
        <v>10</v>
      </c>
      <c r="K246" s="713">
        <v>1500.04</v>
      </c>
    </row>
    <row r="247" spans="1:11" ht="14.4" customHeight="1" x14ac:dyDescent="0.3">
      <c r="A247" s="680" t="s">
        <v>534</v>
      </c>
      <c r="B247" s="671" t="s">
        <v>536</v>
      </c>
      <c r="C247" s="705" t="s">
        <v>554</v>
      </c>
      <c r="D247" s="723" t="s">
        <v>555</v>
      </c>
      <c r="E247" s="705" t="s">
        <v>2533</v>
      </c>
      <c r="F247" s="723" t="s">
        <v>2534</v>
      </c>
      <c r="G247" s="705" t="s">
        <v>2917</v>
      </c>
      <c r="H247" s="705" t="s">
        <v>2918</v>
      </c>
      <c r="I247" s="238">
        <v>36.299999999999997</v>
      </c>
      <c r="J247" s="238">
        <v>5</v>
      </c>
      <c r="K247" s="713">
        <v>181.5</v>
      </c>
    </row>
    <row r="248" spans="1:11" ht="14.4" customHeight="1" x14ac:dyDescent="0.3">
      <c r="A248" s="680" t="s">
        <v>534</v>
      </c>
      <c r="B248" s="671" t="s">
        <v>536</v>
      </c>
      <c r="C248" s="705" t="s">
        <v>554</v>
      </c>
      <c r="D248" s="723" t="s">
        <v>555</v>
      </c>
      <c r="E248" s="705" t="s">
        <v>2537</v>
      </c>
      <c r="F248" s="723" t="s">
        <v>2538</v>
      </c>
      <c r="G248" s="705" t="s">
        <v>2919</v>
      </c>
      <c r="H248" s="705" t="s">
        <v>2920</v>
      </c>
      <c r="I248" s="238">
        <v>350.26</v>
      </c>
      <c r="J248" s="238">
        <v>20</v>
      </c>
      <c r="K248" s="713">
        <v>7005.18</v>
      </c>
    </row>
    <row r="249" spans="1:11" ht="14.4" customHeight="1" x14ac:dyDescent="0.3">
      <c r="A249" s="680" t="s">
        <v>534</v>
      </c>
      <c r="B249" s="671" t="s">
        <v>536</v>
      </c>
      <c r="C249" s="705" t="s">
        <v>554</v>
      </c>
      <c r="D249" s="723" t="s">
        <v>555</v>
      </c>
      <c r="E249" s="705" t="s">
        <v>2537</v>
      </c>
      <c r="F249" s="723" t="s">
        <v>2538</v>
      </c>
      <c r="G249" s="705" t="s">
        <v>2921</v>
      </c>
      <c r="H249" s="705" t="s">
        <v>2922</v>
      </c>
      <c r="I249" s="238">
        <v>289.83999999999997</v>
      </c>
      <c r="J249" s="238">
        <v>10</v>
      </c>
      <c r="K249" s="713">
        <v>2898.43</v>
      </c>
    </row>
    <row r="250" spans="1:11" ht="14.4" customHeight="1" x14ac:dyDescent="0.3">
      <c r="A250" s="680" t="s">
        <v>534</v>
      </c>
      <c r="B250" s="671" t="s">
        <v>536</v>
      </c>
      <c r="C250" s="705" t="s">
        <v>554</v>
      </c>
      <c r="D250" s="723" t="s">
        <v>555</v>
      </c>
      <c r="E250" s="705" t="s">
        <v>2537</v>
      </c>
      <c r="F250" s="723" t="s">
        <v>2538</v>
      </c>
      <c r="G250" s="705" t="s">
        <v>2923</v>
      </c>
      <c r="H250" s="705" t="s">
        <v>2924</v>
      </c>
      <c r="I250" s="238">
        <v>2502.8200000000002</v>
      </c>
      <c r="J250" s="238">
        <v>5</v>
      </c>
      <c r="K250" s="713">
        <v>12514.12</v>
      </c>
    </row>
    <row r="251" spans="1:11" ht="14.4" customHeight="1" x14ac:dyDescent="0.3">
      <c r="A251" s="680" t="s">
        <v>534</v>
      </c>
      <c r="B251" s="671" t="s">
        <v>536</v>
      </c>
      <c r="C251" s="705" t="s">
        <v>554</v>
      </c>
      <c r="D251" s="723" t="s">
        <v>555</v>
      </c>
      <c r="E251" s="705" t="s">
        <v>2541</v>
      </c>
      <c r="F251" s="723" t="s">
        <v>2542</v>
      </c>
      <c r="G251" s="705" t="s">
        <v>2717</v>
      </c>
      <c r="H251" s="705" t="s">
        <v>2718</v>
      </c>
      <c r="I251" s="238">
        <v>8.17</v>
      </c>
      <c r="J251" s="238">
        <v>700</v>
      </c>
      <c r="K251" s="713">
        <v>5719</v>
      </c>
    </row>
    <row r="252" spans="1:11" ht="14.4" customHeight="1" x14ac:dyDescent="0.3">
      <c r="A252" s="680" t="s">
        <v>534</v>
      </c>
      <c r="B252" s="671" t="s">
        <v>536</v>
      </c>
      <c r="C252" s="705" t="s">
        <v>554</v>
      </c>
      <c r="D252" s="723" t="s">
        <v>555</v>
      </c>
      <c r="E252" s="705" t="s">
        <v>2541</v>
      </c>
      <c r="F252" s="723" t="s">
        <v>2542</v>
      </c>
      <c r="G252" s="705" t="s">
        <v>2925</v>
      </c>
      <c r="H252" s="705" t="s">
        <v>2926</v>
      </c>
      <c r="I252" s="238">
        <v>7.01</v>
      </c>
      <c r="J252" s="238">
        <v>100</v>
      </c>
      <c r="K252" s="713">
        <v>701</v>
      </c>
    </row>
    <row r="253" spans="1:11" ht="14.4" customHeight="1" x14ac:dyDescent="0.3">
      <c r="A253" s="680" t="s">
        <v>534</v>
      </c>
      <c r="B253" s="671" t="s">
        <v>536</v>
      </c>
      <c r="C253" s="705" t="s">
        <v>554</v>
      </c>
      <c r="D253" s="723" t="s">
        <v>555</v>
      </c>
      <c r="E253" s="705" t="s">
        <v>2541</v>
      </c>
      <c r="F253" s="723" t="s">
        <v>2542</v>
      </c>
      <c r="G253" s="705" t="s">
        <v>2927</v>
      </c>
      <c r="H253" s="705" t="s">
        <v>2928</v>
      </c>
      <c r="I253" s="238">
        <v>3539.25</v>
      </c>
      <c r="J253" s="238">
        <v>10</v>
      </c>
      <c r="K253" s="713">
        <v>35392.5</v>
      </c>
    </row>
    <row r="254" spans="1:11" ht="14.4" customHeight="1" x14ac:dyDescent="0.3">
      <c r="A254" s="680" t="s">
        <v>534</v>
      </c>
      <c r="B254" s="671" t="s">
        <v>536</v>
      </c>
      <c r="C254" s="705" t="s">
        <v>554</v>
      </c>
      <c r="D254" s="723" t="s">
        <v>555</v>
      </c>
      <c r="E254" s="705" t="s">
        <v>2545</v>
      </c>
      <c r="F254" s="723" t="s">
        <v>2546</v>
      </c>
      <c r="G254" s="705" t="s">
        <v>2929</v>
      </c>
      <c r="H254" s="705" t="s">
        <v>2930</v>
      </c>
      <c r="I254" s="238">
        <v>0.3</v>
      </c>
      <c r="J254" s="238">
        <v>1000</v>
      </c>
      <c r="K254" s="713">
        <v>300</v>
      </c>
    </row>
    <row r="255" spans="1:11" ht="14.4" customHeight="1" x14ac:dyDescent="0.3">
      <c r="A255" s="680" t="s">
        <v>534</v>
      </c>
      <c r="B255" s="671" t="s">
        <v>536</v>
      </c>
      <c r="C255" s="705" t="s">
        <v>554</v>
      </c>
      <c r="D255" s="723" t="s">
        <v>555</v>
      </c>
      <c r="E255" s="705" t="s">
        <v>2545</v>
      </c>
      <c r="F255" s="723" t="s">
        <v>2546</v>
      </c>
      <c r="G255" s="705" t="s">
        <v>2931</v>
      </c>
      <c r="H255" s="705" t="s">
        <v>2932</v>
      </c>
      <c r="I255" s="238">
        <v>0.3</v>
      </c>
      <c r="J255" s="238">
        <v>800</v>
      </c>
      <c r="K255" s="713">
        <v>240</v>
      </c>
    </row>
    <row r="256" spans="1:11" ht="14.4" customHeight="1" x14ac:dyDescent="0.3">
      <c r="A256" s="680" t="s">
        <v>534</v>
      </c>
      <c r="B256" s="671" t="s">
        <v>536</v>
      </c>
      <c r="C256" s="705" t="s">
        <v>554</v>
      </c>
      <c r="D256" s="723" t="s">
        <v>555</v>
      </c>
      <c r="E256" s="705" t="s">
        <v>2545</v>
      </c>
      <c r="F256" s="723" t="s">
        <v>2546</v>
      </c>
      <c r="G256" s="705" t="s">
        <v>2723</v>
      </c>
      <c r="H256" s="705" t="s">
        <v>2724</v>
      </c>
      <c r="I256" s="238">
        <v>0.30499999999999999</v>
      </c>
      <c r="J256" s="238">
        <v>400</v>
      </c>
      <c r="K256" s="713">
        <v>122</v>
      </c>
    </row>
    <row r="257" spans="1:11" ht="14.4" customHeight="1" x14ac:dyDescent="0.3">
      <c r="A257" s="680" t="s">
        <v>534</v>
      </c>
      <c r="B257" s="671" t="s">
        <v>536</v>
      </c>
      <c r="C257" s="705" t="s">
        <v>554</v>
      </c>
      <c r="D257" s="723" t="s">
        <v>555</v>
      </c>
      <c r="E257" s="705" t="s">
        <v>2545</v>
      </c>
      <c r="F257" s="723" t="s">
        <v>2546</v>
      </c>
      <c r="G257" s="705" t="s">
        <v>2933</v>
      </c>
      <c r="H257" s="705" t="s">
        <v>2934</v>
      </c>
      <c r="I257" s="238">
        <v>7.87</v>
      </c>
      <c r="J257" s="238">
        <v>250</v>
      </c>
      <c r="K257" s="713">
        <v>1966.25</v>
      </c>
    </row>
    <row r="258" spans="1:11" ht="14.4" customHeight="1" x14ac:dyDescent="0.3">
      <c r="A258" s="680" t="s">
        <v>534</v>
      </c>
      <c r="B258" s="671" t="s">
        <v>536</v>
      </c>
      <c r="C258" s="705" t="s">
        <v>554</v>
      </c>
      <c r="D258" s="723" t="s">
        <v>555</v>
      </c>
      <c r="E258" s="705" t="s">
        <v>2545</v>
      </c>
      <c r="F258" s="723" t="s">
        <v>2546</v>
      </c>
      <c r="G258" s="705" t="s">
        <v>2727</v>
      </c>
      <c r="H258" s="705" t="s">
        <v>2728</v>
      </c>
      <c r="I258" s="238">
        <v>0.3</v>
      </c>
      <c r="J258" s="238">
        <v>4500</v>
      </c>
      <c r="K258" s="713">
        <v>1350</v>
      </c>
    </row>
    <row r="259" spans="1:11" ht="14.4" customHeight="1" x14ac:dyDescent="0.3">
      <c r="A259" s="680" t="s">
        <v>534</v>
      </c>
      <c r="B259" s="671" t="s">
        <v>536</v>
      </c>
      <c r="C259" s="705" t="s">
        <v>554</v>
      </c>
      <c r="D259" s="723" t="s">
        <v>555</v>
      </c>
      <c r="E259" s="705" t="s">
        <v>2547</v>
      </c>
      <c r="F259" s="723" t="s">
        <v>2548</v>
      </c>
      <c r="G259" s="705" t="s">
        <v>2733</v>
      </c>
      <c r="H259" s="705" t="s">
        <v>2734</v>
      </c>
      <c r="I259" s="238">
        <v>0.77500000000000002</v>
      </c>
      <c r="J259" s="238">
        <v>5500</v>
      </c>
      <c r="K259" s="713">
        <v>4260</v>
      </c>
    </row>
    <row r="260" spans="1:11" ht="14.4" customHeight="1" x14ac:dyDescent="0.3">
      <c r="A260" s="680" t="s">
        <v>534</v>
      </c>
      <c r="B260" s="671" t="s">
        <v>536</v>
      </c>
      <c r="C260" s="705" t="s">
        <v>554</v>
      </c>
      <c r="D260" s="723" t="s">
        <v>555</v>
      </c>
      <c r="E260" s="705" t="s">
        <v>2547</v>
      </c>
      <c r="F260" s="723" t="s">
        <v>2548</v>
      </c>
      <c r="G260" s="705" t="s">
        <v>2735</v>
      </c>
      <c r="H260" s="705" t="s">
        <v>2736</v>
      </c>
      <c r="I260" s="238">
        <v>0.77</v>
      </c>
      <c r="J260" s="238">
        <v>17000</v>
      </c>
      <c r="K260" s="713">
        <v>13100</v>
      </c>
    </row>
    <row r="261" spans="1:11" ht="14.4" customHeight="1" x14ac:dyDescent="0.3">
      <c r="A261" s="680" t="s">
        <v>534</v>
      </c>
      <c r="B261" s="671" t="s">
        <v>536</v>
      </c>
      <c r="C261" s="705" t="s">
        <v>554</v>
      </c>
      <c r="D261" s="723" t="s">
        <v>555</v>
      </c>
      <c r="E261" s="705" t="s">
        <v>2547</v>
      </c>
      <c r="F261" s="723" t="s">
        <v>2548</v>
      </c>
      <c r="G261" s="705" t="s">
        <v>2737</v>
      </c>
      <c r="H261" s="705" t="s">
        <v>2738</v>
      </c>
      <c r="I261" s="238">
        <v>0.77</v>
      </c>
      <c r="J261" s="238">
        <v>4500</v>
      </c>
      <c r="K261" s="713">
        <v>3465</v>
      </c>
    </row>
    <row r="262" spans="1:11" ht="14.4" customHeight="1" x14ac:dyDescent="0.3">
      <c r="A262" s="680" t="s">
        <v>534</v>
      </c>
      <c r="B262" s="671" t="s">
        <v>536</v>
      </c>
      <c r="C262" s="705" t="s">
        <v>554</v>
      </c>
      <c r="D262" s="723" t="s">
        <v>555</v>
      </c>
      <c r="E262" s="705" t="s">
        <v>2527</v>
      </c>
      <c r="F262" s="723" t="s">
        <v>2528</v>
      </c>
      <c r="G262" s="705" t="s">
        <v>2739</v>
      </c>
      <c r="H262" s="705" t="s">
        <v>2740</v>
      </c>
      <c r="I262" s="238">
        <v>139.44</v>
      </c>
      <c r="J262" s="238">
        <v>28</v>
      </c>
      <c r="K262" s="713">
        <v>3904.32</v>
      </c>
    </row>
    <row r="263" spans="1:11" ht="14.4" customHeight="1" x14ac:dyDescent="0.3">
      <c r="A263" s="680" t="s">
        <v>534</v>
      </c>
      <c r="B263" s="671" t="s">
        <v>536</v>
      </c>
      <c r="C263" s="705" t="s">
        <v>554</v>
      </c>
      <c r="D263" s="723" t="s">
        <v>555</v>
      </c>
      <c r="E263" s="705" t="s">
        <v>2527</v>
      </c>
      <c r="F263" s="723" t="s">
        <v>2528</v>
      </c>
      <c r="G263" s="705" t="s">
        <v>2741</v>
      </c>
      <c r="H263" s="705" t="s">
        <v>2742</v>
      </c>
      <c r="I263" s="238">
        <v>139.43</v>
      </c>
      <c r="J263" s="238">
        <v>28</v>
      </c>
      <c r="K263" s="713">
        <v>3903.99</v>
      </c>
    </row>
    <row r="264" spans="1:11" ht="14.4" customHeight="1" x14ac:dyDescent="0.3">
      <c r="A264" s="680" t="s">
        <v>534</v>
      </c>
      <c r="B264" s="671" t="s">
        <v>536</v>
      </c>
      <c r="C264" s="705" t="s">
        <v>554</v>
      </c>
      <c r="D264" s="723" t="s">
        <v>555</v>
      </c>
      <c r="E264" s="705" t="s">
        <v>2527</v>
      </c>
      <c r="F264" s="723" t="s">
        <v>2528</v>
      </c>
      <c r="G264" s="705" t="s">
        <v>2743</v>
      </c>
      <c r="H264" s="705" t="s">
        <v>2744</v>
      </c>
      <c r="I264" s="238">
        <v>11.65</v>
      </c>
      <c r="J264" s="238">
        <v>50</v>
      </c>
      <c r="K264" s="713">
        <v>582.62</v>
      </c>
    </row>
    <row r="265" spans="1:11" ht="14.4" customHeight="1" x14ac:dyDescent="0.3">
      <c r="A265" s="680" t="s">
        <v>534</v>
      </c>
      <c r="B265" s="671" t="s">
        <v>536</v>
      </c>
      <c r="C265" s="705" t="s">
        <v>554</v>
      </c>
      <c r="D265" s="723" t="s">
        <v>555</v>
      </c>
      <c r="E265" s="705" t="s">
        <v>2527</v>
      </c>
      <c r="F265" s="723" t="s">
        <v>2528</v>
      </c>
      <c r="G265" s="705" t="s">
        <v>2935</v>
      </c>
      <c r="H265" s="705" t="s">
        <v>2936</v>
      </c>
      <c r="I265" s="238">
        <v>152.46</v>
      </c>
      <c r="J265" s="238">
        <v>2</v>
      </c>
      <c r="K265" s="713">
        <v>304.92</v>
      </c>
    </row>
    <row r="266" spans="1:11" ht="14.4" customHeight="1" x14ac:dyDescent="0.3">
      <c r="A266" s="680" t="s">
        <v>534</v>
      </c>
      <c r="B266" s="671" t="s">
        <v>536</v>
      </c>
      <c r="C266" s="705" t="s">
        <v>554</v>
      </c>
      <c r="D266" s="723" t="s">
        <v>555</v>
      </c>
      <c r="E266" s="705" t="s">
        <v>2527</v>
      </c>
      <c r="F266" s="723" t="s">
        <v>2528</v>
      </c>
      <c r="G266" s="705" t="s">
        <v>2937</v>
      </c>
      <c r="H266" s="705" t="s">
        <v>2938</v>
      </c>
      <c r="I266" s="238">
        <v>9699.48</v>
      </c>
      <c r="J266" s="238">
        <v>1</v>
      </c>
      <c r="K266" s="713">
        <v>9699.48</v>
      </c>
    </row>
    <row r="267" spans="1:11" ht="14.4" customHeight="1" x14ac:dyDescent="0.3">
      <c r="A267" s="680" t="s">
        <v>534</v>
      </c>
      <c r="B267" s="671" t="s">
        <v>536</v>
      </c>
      <c r="C267" s="705" t="s">
        <v>554</v>
      </c>
      <c r="D267" s="723" t="s">
        <v>555</v>
      </c>
      <c r="E267" s="705" t="s">
        <v>2527</v>
      </c>
      <c r="F267" s="723" t="s">
        <v>2528</v>
      </c>
      <c r="G267" s="705" t="s">
        <v>2939</v>
      </c>
      <c r="H267" s="705" t="s">
        <v>2940</v>
      </c>
      <c r="I267" s="238">
        <v>102.35</v>
      </c>
      <c r="J267" s="238">
        <v>1</v>
      </c>
      <c r="K267" s="713">
        <v>102.35</v>
      </c>
    </row>
    <row r="268" spans="1:11" ht="14.4" customHeight="1" x14ac:dyDescent="0.3">
      <c r="A268" s="680" t="s">
        <v>534</v>
      </c>
      <c r="B268" s="671" t="s">
        <v>536</v>
      </c>
      <c r="C268" s="705" t="s">
        <v>554</v>
      </c>
      <c r="D268" s="723" t="s">
        <v>555</v>
      </c>
      <c r="E268" s="705" t="s">
        <v>2527</v>
      </c>
      <c r="F268" s="723" t="s">
        <v>2528</v>
      </c>
      <c r="G268" s="705" t="s">
        <v>2941</v>
      </c>
      <c r="H268" s="705" t="s">
        <v>2942</v>
      </c>
      <c r="I268" s="238">
        <v>4076.13</v>
      </c>
      <c r="J268" s="238">
        <v>2</v>
      </c>
      <c r="K268" s="713">
        <v>8152.25</v>
      </c>
    </row>
    <row r="269" spans="1:11" ht="14.4" customHeight="1" x14ac:dyDescent="0.3">
      <c r="A269" s="680" t="s">
        <v>534</v>
      </c>
      <c r="B269" s="671" t="s">
        <v>536</v>
      </c>
      <c r="C269" s="705" t="s">
        <v>554</v>
      </c>
      <c r="D269" s="723" t="s">
        <v>555</v>
      </c>
      <c r="E269" s="705" t="s">
        <v>2527</v>
      </c>
      <c r="F269" s="723" t="s">
        <v>2528</v>
      </c>
      <c r="G269" s="705" t="s">
        <v>2943</v>
      </c>
      <c r="H269" s="705" t="s">
        <v>2944</v>
      </c>
      <c r="I269" s="238">
        <v>4076.13</v>
      </c>
      <c r="J269" s="238">
        <v>4</v>
      </c>
      <c r="K269" s="713">
        <v>16304.51</v>
      </c>
    </row>
    <row r="270" spans="1:11" ht="14.4" customHeight="1" x14ac:dyDescent="0.3">
      <c r="A270" s="680" t="s">
        <v>534</v>
      </c>
      <c r="B270" s="671" t="s">
        <v>536</v>
      </c>
      <c r="C270" s="705" t="s">
        <v>554</v>
      </c>
      <c r="D270" s="723" t="s">
        <v>555</v>
      </c>
      <c r="E270" s="705" t="s">
        <v>2527</v>
      </c>
      <c r="F270" s="723" t="s">
        <v>2528</v>
      </c>
      <c r="G270" s="705" t="s">
        <v>2945</v>
      </c>
      <c r="H270" s="705" t="s">
        <v>2946</v>
      </c>
      <c r="I270" s="238">
        <v>4572.71</v>
      </c>
      <c r="J270" s="238">
        <v>2</v>
      </c>
      <c r="K270" s="713">
        <v>9145.42</v>
      </c>
    </row>
    <row r="271" spans="1:11" ht="14.4" customHeight="1" x14ac:dyDescent="0.3">
      <c r="A271" s="680" t="s">
        <v>534</v>
      </c>
      <c r="B271" s="671" t="s">
        <v>536</v>
      </c>
      <c r="C271" s="705" t="s">
        <v>554</v>
      </c>
      <c r="D271" s="723" t="s">
        <v>555</v>
      </c>
      <c r="E271" s="705" t="s">
        <v>2527</v>
      </c>
      <c r="F271" s="723" t="s">
        <v>2528</v>
      </c>
      <c r="G271" s="705" t="s">
        <v>2947</v>
      </c>
      <c r="H271" s="705" t="s">
        <v>2948</v>
      </c>
      <c r="I271" s="238">
        <v>20234.650000000001</v>
      </c>
      <c r="J271" s="238">
        <v>1</v>
      </c>
      <c r="K271" s="713">
        <v>20234.650000000001</v>
      </c>
    </row>
    <row r="272" spans="1:11" ht="14.4" customHeight="1" x14ac:dyDescent="0.3">
      <c r="A272" s="680" t="s">
        <v>534</v>
      </c>
      <c r="B272" s="671" t="s">
        <v>536</v>
      </c>
      <c r="C272" s="705" t="s">
        <v>554</v>
      </c>
      <c r="D272" s="723" t="s">
        <v>555</v>
      </c>
      <c r="E272" s="705" t="s">
        <v>2527</v>
      </c>
      <c r="F272" s="723" t="s">
        <v>2528</v>
      </c>
      <c r="G272" s="705" t="s">
        <v>2949</v>
      </c>
      <c r="H272" s="705" t="s">
        <v>2950</v>
      </c>
      <c r="I272" s="238">
        <v>3153.08</v>
      </c>
      <c r="J272" s="238">
        <v>6</v>
      </c>
      <c r="K272" s="713">
        <v>18918.47</v>
      </c>
    </row>
    <row r="273" spans="1:11" ht="14.4" customHeight="1" x14ac:dyDescent="0.3">
      <c r="A273" s="680" t="s">
        <v>534</v>
      </c>
      <c r="B273" s="671" t="s">
        <v>536</v>
      </c>
      <c r="C273" s="705" t="s">
        <v>554</v>
      </c>
      <c r="D273" s="723" t="s">
        <v>555</v>
      </c>
      <c r="E273" s="705" t="s">
        <v>2527</v>
      </c>
      <c r="F273" s="723" t="s">
        <v>2528</v>
      </c>
      <c r="G273" s="705" t="s">
        <v>2951</v>
      </c>
      <c r="H273" s="705" t="s">
        <v>2952</v>
      </c>
      <c r="I273" s="238">
        <v>4973.8900000000003</v>
      </c>
      <c r="J273" s="238">
        <v>7</v>
      </c>
      <c r="K273" s="713">
        <v>34817.21</v>
      </c>
    </row>
    <row r="274" spans="1:11" ht="14.4" customHeight="1" x14ac:dyDescent="0.3">
      <c r="A274" s="680" t="s">
        <v>534</v>
      </c>
      <c r="B274" s="671" t="s">
        <v>536</v>
      </c>
      <c r="C274" s="705" t="s">
        <v>554</v>
      </c>
      <c r="D274" s="723" t="s">
        <v>555</v>
      </c>
      <c r="E274" s="705" t="s">
        <v>2527</v>
      </c>
      <c r="F274" s="723" t="s">
        <v>2528</v>
      </c>
      <c r="G274" s="705" t="s">
        <v>2953</v>
      </c>
      <c r="H274" s="705" t="s">
        <v>2954</v>
      </c>
      <c r="I274" s="238">
        <v>9699.48</v>
      </c>
      <c r="J274" s="238">
        <v>1</v>
      </c>
      <c r="K274" s="713">
        <v>9699.48</v>
      </c>
    </row>
    <row r="275" spans="1:11" ht="14.4" customHeight="1" x14ac:dyDescent="0.3">
      <c r="A275" s="680" t="s">
        <v>534</v>
      </c>
      <c r="B275" s="671" t="s">
        <v>536</v>
      </c>
      <c r="C275" s="705" t="s">
        <v>554</v>
      </c>
      <c r="D275" s="723" t="s">
        <v>555</v>
      </c>
      <c r="E275" s="705" t="s">
        <v>2527</v>
      </c>
      <c r="F275" s="723" t="s">
        <v>2528</v>
      </c>
      <c r="G275" s="705" t="s">
        <v>2955</v>
      </c>
      <c r="H275" s="705" t="s">
        <v>2956</v>
      </c>
      <c r="I275" s="238">
        <v>9699.48</v>
      </c>
      <c r="J275" s="238">
        <v>1</v>
      </c>
      <c r="K275" s="713">
        <v>9699.48</v>
      </c>
    </row>
    <row r="276" spans="1:11" ht="14.4" customHeight="1" x14ac:dyDescent="0.3">
      <c r="A276" s="680" t="s">
        <v>534</v>
      </c>
      <c r="B276" s="671" t="s">
        <v>536</v>
      </c>
      <c r="C276" s="705" t="s">
        <v>554</v>
      </c>
      <c r="D276" s="723" t="s">
        <v>555</v>
      </c>
      <c r="E276" s="705" t="s">
        <v>2527</v>
      </c>
      <c r="F276" s="723" t="s">
        <v>2528</v>
      </c>
      <c r="G276" s="705" t="s">
        <v>2957</v>
      </c>
      <c r="H276" s="705" t="s">
        <v>2958</v>
      </c>
      <c r="I276" s="238">
        <v>2847.31</v>
      </c>
      <c r="J276" s="238">
        <v>2</v>
      </c>
      <c r="K276" s="713">
        <v>5694.62</v>
      </c>
    </row>
    <row r="277" spans="1:11" ht="14.4" customHeight="1" x14ac:dyDescent="0.3">
      <c r="A277" s="680" t="s">
        <v>534</v>
      </c>
      <c r="B277" s="671" t="s">
        <v>536</v>
      </c>
      <c r="C277" s="705" t="s">
        <v>554</v>
      </c>
      <c r="D277" s="723" t="s">
        <v>555</v>
      </c>
      <c r="E277" s="705" t="s">
        <v>2527</v>
      </c>
      <c r="F277" s="723" t="s">
        <v>2528</v>
      </c>
      <c r="G277" s="705" t="s">
        <v>2959</v>
      </c>
      <c r="H277" s="705" t="s">
        <v>2960</v>
      </c>
      <c r="I277" s="238">
        <v>2847.32</v>
      </c>
      <c r="J277" s="238">
        <v>2</v>
      </c>
      <c r="K277" s="713">
        <v>5694.63</v>
      </c>
    </row>
    <row r="278" spans="1:11" ht="14.4" customHeight="1" x14ac:dyDescent="0.3">
      <c r="A278" s="680" t="s">
        <v>534</v>
      </c>
      <c r="B278" s="671" t="s">
        <v>536</v>
      </c>
      <c r="C278" s="705" t="s">
        <v>554</v>
      </c>
      <c r="D278" s="723" t="s">
        <v>555</v>
      </c>
      <c r="E278" s="705" t="s">
        <v>2527</v>
      </c>
      <c r="F278" s="723" t="s">
        <v>2528</v>
      </c>
      <c r="G278" s="705" t="s">
        <v>2961</v>
      </c>
      <c r="H278" s="705" t="s">
        <v>2962</v>
      </c>
      <c r="I278" s="238">
        <v>266.69</v>
      </c>
      <c r="J278" s="238">
        <v>4</v>
      </c>
      <c r="K278" s="713">
        <v>1066.74</v>
      </c>
    </row>
    <row r="279" spans="1:11" ht="14.4" customHeight="1" x14ac:dyDescent="0.3">
      <c r="A279" s="680" t="s">
        <v>534</v>
      </c>
      <c r="B279" s="671" t="s">
        <v>536</v>
      </c>
      <c r="C279" s="705" t="s">
        <v>554</v>
      </c>
      <c r="D279" s="723" t="s">
        <v>555</v>
      </c>
      <c r="E279" s="705" t="s">
        <v>2527</v>
      </c>
      <c r="F279" s="723" t="s">
        <v>2528</v>
      </c>
      <c r="G279" s="705" t="s">
        <v>2963</v>
      </c>
      <c r="H279" s="705" t="s">
        <v>2964</v>
      </c>
      <c r="I279" s="238">
        <v>11210.76</v>
      </c>
      <c r="J279" s="238">
        <v>1</v>
      </c>
      <c r="K279" s="713">
        <v>11210.76</v>
      </c>
    </row>
    <row r="280" spans="1:11" ht="14.4" customHeight="1" x14ac:dyDescent="0.3">
      <c r="A280" s="680" t="s">
        <v>534</v>
      </c>
      <c r="B280" s="671" t="s">
        <v>536</v>
      </c>
      <c r="C280" s="705" t="s">
        <v>554</v>
      </c>
      <c r="D280" s="723" t="s">
        <v>555</v>
      </c>
      <c r="E280" s="705" t="s">
        <v>2527</v>
      </c>
      <c r="F280" s="723" t="s">
        <v>2528</v>
      </c>
      <c r="G280" s="705" t="s">
        <v>2965</v>
      </c>
      <c r="H280" s="705" t="s">
        <v>2966</v>
      </c>
      <c r="I280" s="238">
        <v>9699.48</v>
      </c>
      <c r="J280" s="238">
        <v>1</v>
      </c>
      <c r="K280" s="713">
        <v>9699.48</v>
      </c>
    </row>
    <row r="281" spans="1:11" ht="14.4" customHeight="1" x14ac:dyDescent="0.3">
      <c r="A281" s="680" t="s">
        <v>534</v>
      </c>
      <c r="B281" s="671" t="s">
        <v>536</v>
      </c>
      <c r="C281" s="705" t="s">
        <v>554</v>
      </c>
      <c r="D281" s="723" t="s">
        <v>555</v>
      </c>
      <c r="E281" s="705" t="s">
        <v>2527</v>
      </c>
      <c r="F281" s="723" t="s">
        <v>2528</v>
      </c>
      <c r="G281" s="705" t="s">
        <v>2967</v>
      </c>
      <c r="H281" s="705" t="s">
        <v>2968</v>
      </c>
      <c r="I281" s="238">
        <v>250.24666666666667</v>
      </c>
      <c r="J281" s="238">
        <v>3</v>
      </c>
      <c r="K281" s="713">
        <v>750.74</v>
      </c>
    </row>
    <row r="282" spans="1:11" ht="14.4" customHeight="1" x14ac:dyDescent="0.3">
      <c r="A282" s="680" t="s">
        <v>534</v>
      </c>
      <c r="B282" s="671" t="s">
        <v>536</v>
      </c>
      <c r="C282" s="705" t="s">
        <v>556</v>
      </c>
      <c r="D282" s="723" t="s">
        <v>557</v>
      </c>
      <c r="E282" s="705" t="s">
        <v>2529</v>
      </c>
      <c r="F282" s="723" t="s">
        <v>2530</v>
      </c>
      <c r="G282" s="705" t="s">
        <v>2757</v>
      </c>
      <c r="H282" s="705" t="s">
        <v>2758</v>
      </c>
      <c r="I282" s="238">
        <v>4.3</v>
      </c>
      <c r="J282" s="238">
        <v>72</v>
      </c>
      <c r="K282" s="713">
        <v>309.60000000000002</v>
      </c>
    </row>
    <row r="283" spans="1:11" ht="14.4" customHeight="1" x14ac:dyDescent="0.3">
      <c r="A283" s="680" t="s">
        <v>534</v>
      </c>
      <c r="B283" s="671" t="s">
        <v>536</v>
      </c>
      <c r="C283" s="705" t="s">
        <v>556</v>
      </c>
      <c r="D283" s="723" t="s">
        <v>557</v>
      </c>
      <c r="E283" s="705" t="s">
        <v>2529</v>
      </c>
      <c r="F283" s="723" t="s">
        <v>2530</v>
      </c>
      <c r="G283" s="705" t="s">
        <v>2969</v>
      </c>
      <c r="H283" s="705" t="s">
        <v>2970</v>
      </c>
      <c r="I283" s="238">
        <v>5.36</v>
      </c>
      <c r="J283" s="238">
        <v>24</v>
      </c>
      <c r="K283" s="713">
        <v>128.57</v>
      </c>
    </row>
    <row r="284" spans="1:11" ht="14.4" customHeight="1" x14ac:dyDescent="0.3">
      <c r="A284" s="680" t="s">
        <v>534</v>
      </c>
      <c r="B284" s="671" t="s">
        <v>536</v>
      </c>
      <c r="C284" s="705" t="s">
        <v>556</v>
      </c>
      <c r="D284" s="723" t="s">
        <v>557</v>
      </c>
      <c r="E284" s="705" t="s">
        <v>2529</v>
      </c>
      <c r="F284" s="723" t="s">
        <v>2530</v>
      </c>
      <c r="G284" s="705" t="s">
        <v>2971</v>
      </c>
      <c r="H284" s="705" t="s">
        <v>2972</v>
      </c>
      <c r="I284" s="238">
        <v>12.08</v>
      </c>
      <c r="J284" s="238">
        <v>30</v>
      </c>
      <c r="K284" s="713">
        <v>362.4</v>
      </c>
    </row>
    <row r="285" spans="1:11" ht="14.4" customHeight="1" x14ac:dyDescent="0.3">
      <c r="A285" s="680" t="s">
        <v>534</v>
      </c>
      <c r="B285" s="671" t="s">
        <v>536</v>
      </c>
      <c r="C285" s="705" t="s">
        <v>556</v>
      </c>
      <c r="D285" s="723" t="s">
        <v>557</v>
      </c>
      <c r="E285" s="705" t="s">
        <v>2529</v>
      </c>
      <c r="F285" s="723" t="s">
        <v>2530</v>
      </c>
      <c r="G285" s="705" t="s">
        <v>2973</v>
      </c>
      <c r="H285" s="705" t="s">
        <v>2974</v>
      </c>
      <c r="I285" s="238">
        <v>0.4</v>
      </c>
      <c r="J285" s="238">
        <v>1000</v>
      </c>
      <c r="K285" s="713">
        <v>400</v>
      </c>
    </row>
    <row r="286" spans="1:11" ht="14.4" customHeight="1" x14ac:dyDescent="0.3">
      <c r="A286" s="680" t="s">
        <v>534</v>
      </c>
      <c r="B286" s="671" t="s">
        <v>536</v>
      </c>
      <c r="C286" s="705" t="s">
        <v>556</v>
      </c>
      <c r="D286" s="723" t="s">
        <v>557</v>
      </c>
      <c r="E286" s="705" t="s">
        <v>2529</v>
      </c>
      <c r="F286" s="723" t="s">
        <v>2530</v>
      </c>
      <c r="G286" s="705" t="s">
        <v>2975</v>
      </c>
      <c r="H286" s="705" t="s">
        <v>2976</v>
      </c>
      <c r="I286" s="238">
        <v>65.2</v>
      </c>
      <c r="J286" s="238">
        <v>10</v>
      </c>
      <c r="K286" s="713">
        <v>652</v>
      </c>
    </row>
    <row r="287" spans="1:11" ht="14.4" customHeight="1" x14ac:dyDescent="0.3">
      <c r="A287" s="680" t="s">
        <v>534</v>
      </c>
      <c r="B287" s="671" t="s">
        <v>536</v>
      </c>
      <c r="C287" s="705" t="s">
        <v>556</v>
      </c>
      <c r="D287" s="723" t="s">
        <v>557</v>
      </c>
      <c r="E287" s="705" t="s">
        <v>2529</v>
      </c>
      <c r="F287" s="723" t="s">
        <v>2530</v>
      </c>
      <c r="G287" s="705" t="s">
        <v>2977</v>
      </c>
      <c r="H287" s="705" t="s">
        <v>2978</v>
      </c>
      <c r="I287" s="238">
        <v>2.27</v>
      </c>
      <c r="J287" s="238">
        <v>200</v>
      </c>
      <c r="K287" s="713">
        <v>454</v>
      </c>
    </row>
    <row r="288" spans="1:11" ht="14.4" customHeight="1" x14ac:dyDescent="0.3">
      <c r="A288" s="680" t="s">
        <v>534</v>
      </c>
      <c r="B288" s="671" t="s">
        <v>536</v>
      </c>
      <c r="C288" s="705" t="s">
        <v>556</v>
      </c>
      <c r="D288" s="723" t="s">
        <v>557</v>
      </c>
      <c r="E288" s="705" t="s">
        <v>2529</v>
      </c>
      <c r="F288" s="723" t="s">
        <v>2530</v>
      </c>
      <c r="G288" s="705" t="s">
        <v>2979</v>
      </c>
      <c r="H288" s="705" t="s">
        <v>2980</v>
      </c>
      <c r="I288" s="238">
        <v>437</v>
      </c>
      <c r="J288" s="238">
        <v>3</v>
      </c>
      <c r="K288" s="713">
        <v>1311</v>
      </c>
    </row>
    <row r="289" spans="1:11" ht="14.4" customHeight="1" x14ac:dyDescent="0.3">
      <c r="A289" s="680" t="s">
        <v>534</v>
      </c>
      <c r="B289" s="671" t="s">
        <v>536</v>
      </c>
      <c r="C289" s="705" t="s">
        <v>556</v>
      </c>
      <c r="D289" s="723" t="s">
        <v>557</v>
      </c>
      <c r="E289" s="705" t="s">
        <v>2529</v>
      </c>
      <c r="F289" s="723" t="s">
        <v>2530</v>
      </c>
      <c r="G289" s="705" t="s">
        <v>2765</v>
      </c>
      <c r="H289" s="705" t="s">
        <v>2766</v>
      </c>
      <c r="I289" s="238">
        <v>0.27500000000000002</v>
      </c>
      <c r="J289" s="238">
        <v>1600</v>
      </c>
      <c r="K289" s="713">
        <v>422</v>
      </c>
    </row>
    <row r="290" spans="1:11" ht="14.4" customHeight="1" x14ac:dyDescent="0.3">
      <c r="A290" s="680" t="s">
        <v>534</v>
      </c>
      <c r="B290" s="671" t="s">
        <v>536</v>
      </c>
      <c r="C290" s="705" t="s">
        <v>556</v>
      </c>
      <c r="D290" s="723" t="s">
        <v>557</v>
      </c>
      <c r="E290" s="705" t="s">
        <v>2529</v>
      </c>
      <c r="F290" s="723" t="s">
        <v>2530</v>
      </c>
      <c r="G290" s="705" t="s">
        <v>2567</v>
      </c>
      <c r="H290" s="705" t="s">
        <v>2568</v>
      </c>
      <c r="I290" s="238">
        <v>1.38</v>
      </c>
      <c r="J290" s="238">
        <v>400</v>
      </c>
      <c r="K290" s="713">
        <v>552</v>
      </c>
    </row>
    <row r="291" spans="1:11" ht="14.4" customHeight="1" x14ac:dyDescent="0.3">
      <c r="A291" s="680" t="s">
        <v>534</v>
      </c>
      <c r="B291" s="671" t="s">
        <v>536</v>
      </c>
      <c r="C291" s="705" t="s">
        <v>556</v>
      </c>
      <c r="D291" s="723" t="s">
        <v>557</v>
      </c>
      <c r="E291" s="705" t="s">
        <v>2529</v>
      </c>
      <c r="F291" s="723" t="s">
        <v>2530</v>
      </c>
      <c r="G291" s="705" t="s">
        <v>2571</v>
      </c>
      <c r="H291" s="705" t="s">
        <v>2572</v>
      </c>
      <c r="I291" s="238">
        <v>3.25</v>
      </c>
      <c r="J291" s="238">
        <v>100</v>
      </c>
      <c r="K291" s="713">
        <v>325</v>
      </c>
    </row>
    <row r="292" spans="1:11" ht="14.4" customHeight="1" x14ac:dyDescent="0.3">
      <c r="A292" s="680" t="s">
        <v>534</v>
      </c>
      <c r="B292" s="671" t="s">
        <v>536</v>
      </c>
      <c r="C292" s="705" t="s">
        <v>556</v>
      </c>
      <c r="D292" s="723" t="s">
        <v>557</v>
      </c>
      <c r="E292" s="705" t="s">
        <v>2529</v>
      </c>
      <c r="F292" s="723" t="s">
        <v>2530</v>
      </c>
      <c r="G292" s="705" t="s">
        <v>2981</v>
      </c>
      <c r="H292" s="705" t="s">
        <v>2982</v>
      </c>
      <c r="I292" s="238">
        <v>10.35</v>
      </c>
      <c r="J292" s="238">
        <v>5700</v>
      </c>
      <c r="K292" s="713">
        <v>58995</v>
      </c>
    </row>
    <row r="293" spans="1:11" ht="14.4" customHeight="1" x14ac:dyDescent="0.3">
      <c r="A293" s="680" t="s">
        <v>534</v>
      </c>
      <c r="B293" s="671" t="s">
        <v>536</v>
      </c>
      <c r="C293" s="705" t="s">
        <v>556</v>
      </c>
      <c r="D293" s="723" t="s">
        <v>557</v>
      </c>
      <c r="E293" s="705" t="s">
        <v>2531</v>
      </c>
      <c r="F293" s="723" t="s">
        <v>2532</v>
      </c>
      <c r="G293" s="705" t="s">
        <v>2983</v>
      </c>
      <c r="H293" s="705" t="s">
        <v>2984</v>
      </c>
      <c r="I293" s="238">
        <v>6945.6200000000008</v>
      </c>
      <c r="J293" s="238">
        <v>21</v>
      </c>
      <c r="K293" s="713">
        <v>145858.1</v>
      </c>
    </row>
    <row r="294" spans="1:11" ht="14.4" customHeight="1" x14ac:dyDescent="0.3">
      <c r="A294" s="680" t="s">
        <v>534</v>
      </c>
      <c r="B294" s="671" t="s">
        <v>536</v>
      </c>
      <c r="C294" s="705" t="s">
        <v>556</v>
      </c>
      <c r="D294" s="723" t="s">
        <v>557</v>
      </c>
      <c r="E294" s="705" t="s">
        <v>2531</v>
      </c>
      <c r="F294" s="723" t="s">
        <v>2532</v>
      </c>
      <c r="G294" s="705" t="s">
        <v>2985</v>
      </c>
      <c r="H294" s="705" t="s">
        <v>2986</v>
      </c>
      <c r="I294" s="238">
        <v>3112.1899999999996</v>
      </c>
      <c r="J294" s="238">
        <v>21</v>
      </c>
      <c r="K294" s="713">
        <v>65355.97</v>
      </c>
    </row>
    <row r="295" spans="1:11" ht="14.4" customHeight="1" x14ac:dyDescent="0.3">
      <c r="A295" s="680" t="s">
        <v>534</v>
      </c>
      <c r="B295" s="671" t="s">
        <v>536</v>
      </c>
      <c r="C295" s="705" t="s">
        <v>556</v>
      </c>
      <c r="D295" s="723" t="s">
        <v>557</v>
      </c>
      <c r="E295" s="705" t="s">
        <v>2531</v>
      </c>
      <c r="F295" s="723" t="s">
        <v>2532</v>
      </c>
      <c r="G295" s="705" t="s">
        <v>2987</v>
      </c>
      <c r="H295" s="705" t="s">
        <v>2988</v>
      </c>
      <c r="I295" s="238">
        <v>1980.04</v>
      </c>
      <c r="J295" s="238">
        <v>60</v>
      </c>
      <c r="K295" s="713">
        <v>118802.51999999999</v>
      </c>
    </row>
    <row r="296" spans="1:11" ht="14.4" customHeight="1" x14ac:dyDescent="0.3">
      <c r="A296" s="680" t="s">
        <v>534</v>
      </c>
      <c r="B296" s="671" t="s">
        <v>536</v>
      </c>
      <c r="C296" s="705" t="s">
        <v>556</v>
      </c>
      <c r="D296" s="723" t="s">
        <v>557</v>
      </c>
      <c r="E296" s="705" t="s">
        <v>2531</v>
      </c>
      <c r="F296" s="723" t="s">
        <v>2532</v>
      </c>
      <c r="G296" s="705" t="s">
        <v>2989</v>
      </c>
      <c r="H296" s="705" t="s">
        <v>2990</v>
      </c>
      <c r="I296" s="238">
        <v>3112.1899999999996</v>
      </c>
      <c r="J296" s="238">
        <v>21</v>
      </c>
      <c r="K296" s="713">
        <v>65355.97</v>
      </c>
    </row>
    <row r="297" spans="1:11" ht="14.4" customHeight="1" x14ac:dyDescent="0.3">
      <c r="A297" s="680" t="s">
        <v>534</v>
      </c>
      <c r="B297" s="671" t="s">
        <v>536</v>
      </c>
      <c r="C297" s="705" t="s">
        <v>556</v>
      </c>
      <c r="D297" s="723" t="s">
        <v>557</v>
      </c>
      <c r="E297" s="705" t="s">
        <v>2531</v>
      </c>
      <c r="F297" s="723" t="s">
        <v>2532</v>
      </c>
      <c r="G297" s="705" t="s">
        <v>2991</v>
      </c>
      <c r="H297" s="705" t="s">
        <v>2992</v>
      </c>
      <c r="I297" s="238">
        <v>2280</v>
      </c>
      <c r="J297" s="238">
        <v>21</v>
      </c>
      <c r="K297" s="713">
        <v>47880.04</v>
      </c>
    </row>
    <row r="298" spans="1:11" ht="14.4" customHeight="1" x14ac:dyDescent="0.3">
      <c r="A298" s="680" t="s">
        <v>534</v>
      </c>
      <c r="B298" s="671" t="s">
        <v>536</v>
      </c>
      <c r="C298" s="705" t="s">
        <v>556</v>
      </c>
      <c r="D298" s="723" t="s">
        <v>557</v>
      </c>
      <c r="E298" s="705" t="s">
        <v>2531</v>
      </c>
      <c r="F298" s="723" t="s">
        <v>2532</v>
      </c>
      <c r="G298" s="705" t="s">
        <v>2993</v>
      </c>
      <c r="H298" s="705" t="s">
        <v>2994</v>
      </c>
      <c r="I298" s="238">
        <v>10803</v>
      </c>
      <c r="J298" s="238">
        <v>40</v>
      </c>
      <c r="K298" s="713">
        <v>432120</v>
      </c>
    </row>
    <row r="299" spans="1:11" ht="14.4" customHeight="1" x14ac:dyDescent="0.3">
      <c r="A299" s="680" t="s">
        <v>534</v>
      </c>
      <c r="B299" s="671" t="s">
        <v>536</v>
      </c>
      <c r="C299" s="705" t="s">
        <v>556</v>
      </c>
      <c r="D299" s="723" t="s">
        <v>557</v>
      </c>
      <c r="E299" s="705" t="s">
        <v>2531</v>
      </c>
      <c r="F299" s="723" t="s">
        <v>2532</v>
      </c>
      <c r="G299" s="705" t="s">
        <v>2995</v>
      </c>
      <c r="H299" s="705" t="s">
        <v>2996</v>
      </c>
      <c r="I299" s="238">
        <v>6685</v>
      </c>
      <c r="J299" s="238">
        <v>40</v>
      </c>
      <c r="K299" s="713">
        <v>267400</v>
      </c>
    </row>
    <row r="300" spans="1:11" ht="14.4" customHeight="1" x14ac:dyDescent="0.3">
      <c r="A300" s="680" t="s">
        <v>534</v>
      </c>
      <c r="B300" s="671" t="s">
        <v>536</v>
      </c>
      <c r="C300" s="705" t="s">
        <v>556</v>
      </c>
      <c r="D300" s="723" t="s">
        <v>557</v>
      </c>
      <c r="E300" s="705" t="s">
        <v>2531</v>
      </c>
      <c r="F300" s="723" t="s">
        <v>2532</v>
      </c>
      <c r="G300" s="705" t="s">
        <v>2997</v>
      </c>
      <c r="H300" s="705" t="s">
        <v>2998</v>
      </c>
      <c r="I300" s="238">
        <v>37490</v>
      </c>
      <c r="J300" s="238">
        <v>4</v>
      </c>
      <c r="K300" s="713">
        <v>149960</v>
      </c>
    </row>
    <row r="301" spans="1:11" ht="14.4" customHeight="1" x14ac:dyDescent="0.3">
      <c r="A301" s="680" t="s">
        <v>534</v>
      </c>
      <c r="B301" s="671" t="s">
        <v>536</v>
      </c>
      <c r="C301" s="705" t="s">
        <v>556</v>
      </c>
      <c r="D301" s="723" t="s">
        <v>557</v>
      </c>
      <c r="E301" s="705" t="s">
        <v>2531</v>
      </c>
      <c r="F301" s="723" t="s">
        <v>2532</v>
      </c>
      <c r="G301" s="705" t="s">
        <v>2999</v>
      </c>
      <c r="H301" s="705" t="s">
        <v>3000</v>
      </c>
      <c r="I301" s="238">
        <v>8701.11</v>
      </c>
      <c r="J301" s="238">
        <v>28</v>
      </c>
      <c r="K301" s="713">
        <v>243631.08000000002</v>
      </c>
    </row>
    <row r="302" spans="1:11" ht="14.4" customHeight="1" x14ac:dyDescent="0.3">
      <c r="A302" s="680" t="s">
        <v>534</v>
      </c>
      <c r="B302" s="671" t="s">
        <v>536</v>
      </c>
      <c r="C302" s="705" t="s">
        <v>556</v>
      </c>
      <c r="D302" s="723" t="s">
        <v>557</v>
      </c>
      <c r="E302" s="705" t="s">
        <v>2531</v>
      </c>
      <c r="F302" s="723" t="s">
        <v>2532</v>
      </c>
      <c r="G302" s="705" t="s">
        <v>3001</v>
      </c>
      <c r="H302" s="705" t="s">
        <v>3002</v>
      </c>
      <c r="I302" s="238">
        <v>16701.63</v>
      </c>
      <c r="J302" s="238">
        <v>18</v>
      </c>
      <c r="K302" s="713">
        <v>300629.34000000003</v>
      </c>
    </row>
    <row r="303" spans="1:11" ht="14.4" customHeight="1" x14ac:dyDescent="0.3">
      <c r="A303" s="680" t="s">
        <v>534</v>
      </c>
      <c r="B303" s="671" t="s">
        <v>536</v>
      </c>
      <c r="C303" s="705" t="s">
        <v>556</v>
      </c>
      <c r="D303" s="723" t="s">
        <v>557</v>
      </c>
      <c r="E303" s="705" t="s">
        <v>2531</v>
      </c>
      <c r="F303" s="723" t="s">
        <v>2532</v>
      </c>
      <c r="G303" s="705" t="s">
        <v>3003</v>
      </c>
      <c r="H303" s="705" t="s">
        <v>3004</v>
      </c>
      <c r="I303" s="238">
        <v>1212.6777777777779</v>
      </c>
      <c r="J303" s="238">
        <v>45</v>
      </c>
      <c r="K303" s="713">
        <v>54570.5</v>
      </c>
    </row>
    <row r="304" spans="1:11" ht="14.4" customHeight="1" x14ac:dyDescent="0.3">
      <c r="A304" s="680" t="s">
        <v>534</v>
      </c>
      <c r="B304" s="671" t="s">
        <v>536</v>
      </c>
      <c r="C304" s="705" t="s">
        <v>556</v>
      </c>
      <c r="D304" s="723" t="s">
        <v>557</v>
      </c>
      <c r="E304" s="705" t="s">
        <v>2531</v>
      </c>
      <c r="F304" s="723" t="s">
        <v>2532</v>
      </c>
      <c r="G304" s="705" t="s">
        <v>3005</v>
      </c>
      <c r="H304" s="705" t="s">
        <v>3006</v>
      </c>
      <c r="I304" s="238">
        <v>652.91999999999996</v>
      </c>
      <c r="J304" s="238">
        <v>10</v>
      </c>
      <c r="K304" s="713">
        <v>6529.16</v>
      </c>
    </row>
    <row r="305" spans="1:11" ht="14.4" customHeight="1" x14ac:dyDescent="0.3">
      <c r="A305" s="680" t="s">
        <v>534</v>
      </c>
      <c r="B305" s="671" t="s">
        <v>536</v>
      </c>
      <c r="C305" s="705" t="s">
        <v>556</v>
      </c>
      <c r="D305" s="723" t="s">
        <v>557</v>
      </c>
      <c r="E305" s="705" t="s">
        <v>2531</v>
      </c>
      <c r="F305" s="723" t="s">
        <v>2532</v>
      </c>
      <c r="G305" s="705" t="s">
        <v>3007</v>
      </c>
      <c r="H305" s="705" t="s">
        <v>3008</v>
      </c>
      <c r="I305" s="238">
        <v>94.38</v>
      </c>
      <c r="J305" s="238">
        <v>30</v>
      </c>
      <c r="K305" s="713">
        <v>2831.4</v>
      </c>
    </row>
    <row r="306" spans="1:11" ht="14.4" customHeight="1" x14ac:dyDescent="0.3">
      <c r="A306" s="680" t="s">
        <v>534</v>
      </c>
      <c r="B306" s="671" t="s">
        <v>536</v>
      </c>
      <c r="C306" s="705" t="s">
        <v>556</v>
      </c>
      <c r="D306" s="723" t="s">
        <v>557</v>
      </c>
      <c r="E306" s="705" t="s">
        <v>2531</v>
      </c>
      <c r="F306" s="723" t="s">
        <v>2532</v>
      </c>
      <c r="G306" s="705" t="s">
        <v>2787</v>
      </c>
      <c r="H306" s="705" t="s">
        <v>2788</v>
      </c>
      <c r="I306" s="238">
        <v>26.01</v>
      </c>
      <c r="J306" s="238">
        <v>40</v>
      </c>
      <c r="K306" s="713">
        <v>1040.5999999999999</v>
      </c>
    </row>
    <row r="307" spans="1:11" ht="14.4" customHeight="1" x14ac:dyDescent="0.3">
      <c r="A307" s="680" t="s">
        <v>534</v>
      </c>
      <c r="B307" s="671" t="s">
        <v>536</v>
      </c>
      <c r="C307" s="705" t="s">
        <v>556</v>
      </c>
      <c r="D307" s="723" t="s">
        <v>557</v>
      </c>
      <c r="E307" s="705" t="s">
        <v>2531</v>
      </c>
      <c r="F307" s="723" t="s">
        <v>2532</v>
      </c>
      <c r="G307" s="705" t="s">
        <v>2789</v>
      </c>
      <c r="H307" s="705" t="s">
        <v>2790</v>
      </c>
      <c r="I307" s="238">
        <v>3.51</v>
      </c>
      <c r="J307" s="238">
        <v>10</v>
      </c>
      <c r="K307" s="713">
        <v>35.1</v>
      </c>
    </row>
    <row r="308" spans="1:11" ht="14.4" customHeight="1" x14ac:dyDescent="0.3">
      <c r="A308" s="680" t="s">
        <v>534</v>
      </c>
      <c r="B308" s="671" t="s">
        <v>536</v>
      </c>
      <c r="C308" s="705" t="s">
        <v>556</v>
      </c>
      <c r="D308" s="723" t="s">
        <v>557</v>
      </c>
      <c r="E308" s="705" t="s">
        <v>2531</v>
      </c>
      <c r="F308" s="723" t="s">
        <v>2532</v>
      </c>
      <c r="G308" s="705" t="s">
        <v>2617</v>
      </c>
      <c r="H308" s="705" t="s">
        <v>2618</v>
      </c>
      <c r="I308" s="238">
        <v>11.147499999999999</v>
      </c>
      <c r="J308" s="238">
        <v>200</v>
      </c>
      <c r="K308" s="713">
        <v>2229.5</v>
      </c>
    </row>
    <row r="309" spans="1:11" ht="14.4" customHeight="1" x14ac:dyDescent="0.3">
      <c r="A309" s="680" t="s">
        <v>534</v>
      </c>
      <c r="B309" s="671" t="s">
        <v>536</v>
      </c>
      <c r="C309" s="705" t="s">
        <v>556</v>
      </c>
      <c r="D309" s="723" t="s">
        <v>557</v>
      </c>
      <c r="E309" s="705" t="s">
        <v>2531</v>
      </c>
      <c r="F309" s="723" t="s">
        <v>2532</v>
      </c>
      <c r="G309" s="705" t="s">
        <v>3009</v>
      </c>
      <c r="H309" s="705" t="s">
        <v>3010</v>
      </c>
      <c r="I309" s="238">
        <v>12.73</v>
      </c>
      <c r="J309" s="238">
        <v>100</v>
      </c>
      <c r="K309" s="713">
        <v>1273</v>
      </c>
    </row>
    <row r="310" spans="1:11" ht="14.4" customHeight="1" x14ac:dyDescent="0.3">
      <c r="A310" s="680" t="s">
        <v>534</v>
      </c>
      <c r="B310" s="671" t="s">
        <v>536</v>
      </c>
      <c r="C310" s="705" t="s">
        <v>556</v>
      </c>
      <c r="D310" s="723" t="s">
        <v>557</v>
      </c>
      <c r="E310" s="705" t="s">
        <v>2531</v>
      </c>
      <c r="F310" s="723" t="s">
        <v>2532</v>
      </c>
      <c r="G310" s="705" t="s">
        <v>2619</v>
      </c>
      <c r="H310" s="705" t="s">
        <v>2620</v>
      </c>
      <c r="I310" s="238">
        <v>0.93</v>
      </c>
      <c r="J310" s="238">
        <v>1200</v>
      </c>
      <c r="K310" s="713">
        <v>1116</v>
      </c>
    </row>
    <row r="311" spans="1:11" ht="14.4" customHeight="1" x14ac:dyDescent="0.3">
      <c r="A311" s="680" t="s">
        <v>534</v>
      </c>
      <c r="B311" s="671" t="s">
        <v>536</v>
      </c>
      <c r="C311" s="705" t="s">
        <v>556</v>
      </c>
      <c r="D311" s="723" t="s">
        <v>557</v>
      </c>
      <c r="E311" s="705" t="s">
        <v>2531</v>
      </c>
      <c r="F311" s="723" t="s">
        <v>2532</v>
      </c>
      <c r="G311" s="705" t="s">
        <v>2621</v>
      </c>
      <c r="H311" s="705" t="s">
        <v>2622</v>
      </c>
      <c r="I311" s="238">
        <v>1.43</v>
      </c>
      <c r="J311" s="238">
        <v>600</v>
      </c>
      <c r="K311" s="713">
        <v>858</v>
      </c>
    </row>
    <row r="312" spans="1:11" ht="14.4" customHeight="1" x14ac:dyDescent="0.3">
      <c r="A312" s="680" t="s">
        <v>534</v>
      </c>
      <c r="B312" s="671" t="s">
        <v>536</v>
      </c>
      <c r="C312" s="705" t="s">
        <v>556</v>
      </c>
      <c r="D312" s="723" t="s">
        <v>557</v>
      </c>
      <c r="E312" s="705" t="s">
        <v>2531</v>
      </c>
      <c r="F312" s="723" t="s">
        <v>2532</v>
      </c>
      <c r="G312" s="705" t="s">
        <v>2623</v>
      </c>
      <c r="H312" s="705" t="s">
        <v>2624</v>
      </c>
      <c r="I312" s="238">
        <v>0.42</v>
      </c>
      <c r="J312" s="238">
        <v>1000</v>
      </c>
      <c r="K312" s="713">
        <v>420</v>
      </c>
    </row>
    <row r="313" spans="1:11" ht="14.4" customHeight="1" x14ac:dyDescent="0.3">
      <c r="A313" s="680" t="s">
        <v>534</v>
      </c>
      <c r="B313" s="671" t="s">
        <v>536</v>
      </c>
      <c r="C313" s="705" t="s">
        <v>556</v>
      </c>
      <c r="D313" s="723" t="s">
        <v>557</v>
      </c>
      <c r="E313" s="705" t="s">
        <v>2531</v>
      </c>
      <c r="F313" s="723" t="s">
        <v>2532</v>
      </c>
      <c r="G313" s="705" t="s">
        <v>2793</v>
      </c>
      <c r="H313" s="705" t="s">
        <v>2794</v>
      </c>
      <c r="I313" s="238">
        <v>0.57999999999999996</v>
      </c>
      <c r="J313" s="238">
        <v>200</v>
      </c>
      <c r="K313" s="713">
        <v>116</v>
      </c>
    </row>
    <row r="314" spans="1:11" ht="14.4" customHeight="1" x14ac:dyDescent="0.3">
      <c r="A314" s="680" t="s">
        <v>534</v>
      </c>
      <c r="B314" s="671" t="s">
        <v>536</v>
      </c>
      <c r="C314" s="705" t="s">
        <v>556</v>
      </c>
      <c r="D314" s="723" t="s">
        <v>557</v>
      </c>
      <c r="E314" s="705" t="s">
        <v>2531</v>
      </c>
      <c r="F314" s="723" t="s">
        <v>2532</v>
      </c>
      <c r="G314" s="705" t="s">
        <v>3011</v>
      </c>
      <c r="H314" s="705" t="s">
        <v>3012</v>
      </c>
      <c r="I314" s="238">
        <v>22.53</v>
      </c>
      <c r="J314" s="238">
        <v>15</v>
      </c>
      <c r="K314" s="713">
        <v>337.95000000000005</v>
      </c>
    </row>
    <row r="315" spans="1:11" ht="14.4" customHeight="1" x14ac:dyDescent="0.3">
      <c r="A315" s="680" t="s">
        <v>534</v>
      </c>
      <c r="B315" s="671" t="s">
        <v>536</v>
      </c>
      <c r="C315" s="705" t="s">
        <v>556</v>
      </c>
      <c r="D315" s="723" t="s">
        <v>557</v>
      </c>
      <c r="E315" s="705" t="s">
        <v>2531</v>
      </c>
      <c r="F315" s="723" t="s">
        <v>2532</v>
      </c>
      <c r="G315" s="705" t="s">
        <v>3013</v>
      </c>
      <c r="H315" s="705" t="s">
        <v>3014</v>
      </c>
      <c r="I315" s="238">
        <v>12.52</v>
      </c>
      <c r="J315" s="238">
        <v>50</v>
      </c>
      <c r="K315" s="713">
        <v>625.96</v>
      </c>
    </row>
    <row r="316" spans="1:11" ht="14.4" customHeight="1" x14ac:dyDescent="0.3">
      <c r="A316" s="680" t="s">
        <v>534</v>
      </c>
      <c r="B316" s="671" t="s">
        <v>536</v>
      </c>
      <c r="C316" s="705" t="s">
        <v>556</v>
      </c>
      <c r="D316" s="723" t="s">
        <v>557</v>
      </c>
      <c r="E316" s="705" t="s">
        <v>2531</v>
      </c>
      <c r="F316" s="723" t="s">
        <v>2532</v>
      </c>
      <c r="G316" s="705" t="s">
        <v>3015</v>
      </c>
      <c r="H316" s="705" t="s">
        <v>3016</v>
      </c>
      <c r="I316" s="238">
        <v>824.01</v>
      </c>
      <c r="J316" s="238">
        <v>10</v>
      </c>
      <c r="K316" s="713">
        <v>8240.1</v>
      </c>
    </row>
    <row r="317" spans="1:11" ht="14.4" customHeight="1" x14ac:dyDescent="0.3">
      <c r="A317" s="680" t="s">
        <v>534</v>
      </c>
      <c r="B317" s="671" t="s">
        <v>536</v>
      </c>
      <c r="C317" s="705" t="s">
        <v>556</v>
      </c>
      <c r="D317" s="723" t="s">
        <v>557</v>
      </c>
      <c r="E317" s="705" t="s">
        <v>2531</v>
      </c>
      <c r="F317" s="723" t="s">
        <v>2532</v>
      </c>
      <c r="G317" s="705" t="s">
        <v>3017</v>
      </c>
      <c r="H317" s="705" t="s">
        <v>3018</v>
      </c>
      <c r="I317" s="238">
        <v>824.01</v>
      </c>
      <c r="J317" s="238">
        <v>20</v>
      </c>
      <c r="K317" s="713">
        <v>16480.2</v>
      </c>
    </row>
    <row r="318" spans="1:11" ht="14.4" customHeight="1" x14ac:dyDescent="0.3">
      <c r="A318" s="680" t="s">
        <v>534</v>
      </c>
      <c r="B318" s="671" t="s">
        <v>536</v>
      </c>
      <c r="C318" s="705" t="s">
        <v>556</v>
      </c>
      <c r="D318" s="723" t="s">
        <v>557</v>
      </c>
      <c r="E318" s="705" t="s">
        <v>2531</v>
      </c>
      <c r="F318" s="723" t="s">
        <v>2532</v>
      </c>
      <c r="G318" s="705" t="s">
        <v>3019</v>
      </c>
      <c r="H318" s="705" t="s">
        <v>3020</v>
      </c>
      <c r="I318" s="238">
        <v>824.01</v>
      </c>
      <c r="J318" s="238">
        <v>40</v>
      </c>
      <c r="K318" s="713">
        <v>32960.400000000001</v>
      </c>
    </row>
    <row r="319" spans="1:11" ht="14.4" customHeight="1" x14ac:dyDescent="0.3">
      <c r="A319" s="680" t="s">
        <v>534</v>
      </c>
      <c r="B319" s="671" t="s">
        <v>536</v>
      </c>
      <c r="C319" s="705" t="s">
        <v>556</v>
      </c>
      <c r="D319" s="723" t="s">
        <v>557</v>
      </c>
      <c r="E319" s="705" t="s">
        <v>2531</v>
      </c>
      <c r="F319" s="723" t="s">
        <v>2532</v>
      </c>
      <c r="G319" s="705" t="s">
        <v>3021</v>
      </c>
      <c r="H319" s="705" t="s">
        <v>3022</v>
      </c>
      <c r="I319" s="238">
        <v>52.76</v>
      </c>
      <c r="J319" s="238">
        <v>210</v>
      </c>
      <c r="K319" s="713">
        <v>11078.7</v>
      </c>
    </row>
    <row r="320" spans="1:11" ht="14.4" customHeight="1" x14ac:dyDescent="0.3">
      <c r="A320" s="680" t="s">
        <v>534</v>
      </c>
      <c r="B320" s="671" t="s">
        <v>536</v>
      </c>
      <c r="C320" s="705" t="s">
        <v>556</v>
      </c>
      <c r="D320" s="723" t="s">
        <v>557</v>
      </c>
      <c r="E320" s="705" t="s">
        <v>2531</v>
      </c>
      <c r="F320" s="723" t="s">
        <v>2532</v>
      </c>
      <c r="G320" s="705" t="s">
        <v>2801</v>
      </c>
      <c r="H320" s="705" t="s">
        <v>2802</v>
      </c>
      <c r="I320" s="238">
        <v>80.574999999999989</v>
      </c>
      <c r="J320" s="238">
        <v>80</v>
      </c>
      <c r="K320" s="713">
        <v>6446</v>
      </c>
    </row>
    <row r="321" spans="1:11" ht="14.4" customHeight="1" x14ac:dyDescent="0.3">
      <c r="A321" s="680" t="s">
        <v>534</v>
      </c>
      <c r="B321" s="671" t="s">
        <v>536</v>
      </c>
      <c r="C321" s="705" t="s">
        <v>556</v>
      </c>
      <c r="D321" s="723" t="s">
        <v>557</v>
      </c>
      <c r="E321" s="705" t="s">
        <v>2531</v>
      </c>
      <c r="F321" s="723" t="s">
        <v>2532</v>
      </c>
      <c r="G321" s="705" t="s">
        <v>3023</v>
      </c>
      <c r="H321" s="705" t="s">
        <v>3024</v>
      </c>
      <c r="I321" s="238">
        <v>132.69999999999999</v>
      </c>
      <c r="J321" s="238">
        <v>495</v>
      </c>
      <c r="K321" s="713">
        <v>65684.850000000006</v>
      </c>
    </row>
    <row r="322" spans="1:11" ht="14.4" customHeight="1" x14ac:dyDescent="0.3">
      <c r="A322" s="680" t="s">
        <v>534</v>
      </c>
      <c r="B322" s="671" t="s">
        <v>536</v>
      </c>
      <c r="C322" s="705" t="s">
        <v>556</v>
      </c>
      <c r="D322" s="723" t="s">
        <v>557</v>
      </c>
      <c r="E322" s="705" t="s">
        <v>2531</v>
      </c>
      <c r="F322" s="723" t="s">
        <v>2532</v>
      </c>
      <c r="G322" s="705" t="s">
        <v>3025</v>
      </c>
      <c r="H322" s="705" t="s">
        <v>3026</v>
      </c>
      <c r="I322" s="238">
        <v>191.51</v>
      </c>
      <c r="J322" s="238">
        <v>144</v>
      </c>
      <c r="K322" s="713">
        <v>27577</v>
      </c>
    </row>
    <row r="323" spans="1:11" ht="14.4" customHeight="1" x14ac:dyDescent="0.3">
      <c r="A323" s="680" t="s">
        <v>534</v>
      </c>
      <c r="B323" s="671" t="s">
        <v>536</v>
      </c>
      <c r="C323" s="705" t="s">
        <v>556</v>
      </c>
      <c r="D323" s="723" t="s">
        <v>557</v>
      </c>
      <c r="E323" s="705" t="s">
        <v>2531</v>
      </c>
      <c r="F323" s="723" t="s">
        <v>2532</v>
      </c>
      <c r="G323" s="705" t="s">
        <v>2809</v>
      </c>
      <c r="H323" s="705" t="s">
        <v>2810</v>
      </c>
      <c r="I323" s="238">
        <v>61.105000000000004</v>
      </c>
      <c r="J323" s="238">
        <v>100</v>
      </c>
      <c r="K323" s="713">
        <v>6110.5</v>
      </c>
    </row>
    <row r="324" spans="1:11" ht="14.4" customHeight="1" x14ac:dyDescent="0.3">
      <c r="A324" s="680" t="s">
        <v>534</v>
      </c>
      <c r="B324" s="671" t="s">
        <v>536</v>
      </c>
      <c r="C324" s="705" t="s">
        <v>556</v>
      </c>
      <c r="D324" s="723" t="s">
        <v>557</v>
      </c>
      <c r="E324" s="705" t="s">
        <v>2531</v>
      </c>
      <c r="F324" s="723" t="s">
        <v>2532</v>
      </c>
      <c r="G324" s="705" t="s">
        <v>2811</v>
      </c>
      <c r="H324" s="705" t="s">
        <v>2812</v>
      </c>
      <c r="I324" s="238">
        <v>45.13</v>
      </c>
      <c r="J324" s="238">
        <v>100</v>
      </c>
      <c r="K324" s="713">
        <v>4513.28</v>
      </c>
    </row>
    <row r="325" spans="1:11" ht="14.4" customHeight="1" x14ac:dyDescent="0.3">
      <c r="A325" s="680" t="s">
        <v>534</v>
      </c>
      <c r="B325" s="671" t="s">
        <v>536</v>
      </c>
      <c r="C325" s="705" t="s">
        <v>556</v>
      </c>
      <c r="D325" s="723" t="s">
        <v>557</v>
      </c>
      <c r="E325" s="705" t="s">
        <v>2531</v>
      </c>
      <c r="F325" s="723" t="s">
        <v>2532</v>
      </c>
      <c r="G325" s="705" t="s">
        <v>3027</v>
      </c>
      <c r="H325" s="705" t="s">
        <v>3028</v>
      </c>
      <c r="I325" s="238">
        <v>75.87</v>
      </c>
      <c r="J325" s="238">
        <v>20</v>
      </c>
      <c r="K325" s="713">
        <v>1517.34</v>
      </c>
    </row>
    <row r="326" spans="1:11" ht="14.4" customHeight="1" x14ac:dyDescent="0.3">
      <c r="A326" s="680" t="s">
        <v>534</v>
      </c>
      <c r="B326" s="671" t="s">
        <v>536</v>
      </c>
      <c r="C326" s="705" t="s">
        <v>556</v>
      </c>
      <c r="D326" s="723" t="s">
        <v>557</v>
      </c>
      <c r="E326" s="705" t="s">
        <v>2531</v>
      </c>
      <c r="F326" s="723" t="s">
        <v>2532</v>
      </c>
      <c r="G326" s="705" t="s">
        <v>3029</v>
      </c>
      <c r="H326" s="705" t="s">
        <v>3030</v>
      </c>
      <c r="I326" s="238">
        <v>699.38</v>
      </c>
      <c r="J326" s="238">
        <v>10</v>
      </c>
      <c r="K326" s="713">
        <v>6993.8</v>
      </c>
    </row>
    <row r="327" spans="1:11" ht="14.4" customHeight="1" x14ac:dyDescent="0.3">
      <c r="A327" s="680" t="s">
        <v>534</v>
      </c>
      <c r="B327" s="671" t="s">
        <v>536</v>
      </c>
      <c r="C327" s="705" t="s">
        <v>556</v>
      </c>
      <c r="D327" s="723" t="s">
        <v>557</v>
      </c>
      <c r="E327" s="705" t="s">
        <v>2531</v>
      </c>
      <c r="F327" s="723" t="s">
        <v>2532</v>
      </c>
      <c r="G327" s="705" t="s">
        <v>3031</v>
      </c>
      <c r="H327" s="705" t="s">
        <v>3032</v>
      </c>
      <c r="I327" s="238">
        <v>1500.4</v>
      </c>
      <c r="J327" s="238">
        <v>1</v>
      </c>
      <c r="K327" s="713">
        <v>1500.4</v>
      </c>
    </row>
    <row r="328" spans="1:11" ht="14.4" customHeight="1" x14ac:dyDescent="0.3">
      <c r="A328" s="680" t="s">
        <v>534</v>
      </c>
      <c r="B328" s="671" t="s">
        <v>536</v>
      </c>
      <c r="C328" s="705" t="s">
        <v>556</v>
      </c>
      <c r="D328" s="723" t="s">
        <v>557</v>
      </c>
      <c r="E328" s="705" t="s">
        <v>2531</v>
      </c>
      <c r="F328" s="723" t="s">
        <v>2532</v>
      </c>
      <c r="G328" s="705" t="s">
        <v>2747</v>
      </c>
      <c r="H328" s="705" t="s">
        <v>2748</v>
      </c>
      <c r="I328" s="238">
        <v>2.78</v>
      </c>
      <c r="J328" s="238">
        <v>300</v>
      </c>
      <c r="K328" s="713">
        <v>834</v>
      </c>
    </row>
    <row r="329" spans="1:11" ht="14.4" customHeight="1" x14ac:dyDescent="0.3">
      <c r="A329" s="680" t="s">
        <v>534</v>
      </c>
      <c r="B329" s="671" t="s">
        <v>536</v>
      </c>
      <c r="C329" s="705" t="s">
        <v>556</v>
      </c>
      <c r="D329" s="723" t="s">
        <v>557</v>
      </c>
      <c r="E329" s="705" t="s">
        <v>2531</v>
      </c>
      <c r="F329" s="723" t="s">
        <v>2532</v>
      </c>
      <c r="G329" s="705" t="s">
        <v>3033</v>
      </c>
      <c r="H329" s="705" t="s">
        <v>3034</v>
      </c>
      <c r="I329" s="238">
        <v>140.12</v>
      </c>
      <c r="J329" s="238">
        <v>20</v>
      </c>
      <c r="K329" s="713">
        <v>2802.36</v>
      </c>
    </row>
    <row r="330" spans="1:11" ht="14.4" customHeight="1" x14ac:dyDescent="0.3">
      <c r="A330" s="680" t="s">
        <v>534</v>
      </c>
      <c r="B330" s="671" t="s">
        <v>536</v>
      </c>
      <c r="C330" s="705" t="s">
        <v>556</v>
      </c>
      <c r="D330" s="723" t="s">
        <v>557</v>
      </c>
      <c r="E330" s="705" t="s">
        <v>2531</v>
      </c>
      <c r="F330" s="723" t="s">
        <v>2532</v>
      </c>
      <c r="G330" s="705" t="s">
        <v>3035</v>
      </c>
      <c r="H330" s="705" t="s">
        <v>3036</v>
      </c>
      <c r="I330" s="238">
        <v>824.01</v>
      </c>
      <c r="J330" s="238">
        <v>20</v>
      </c>
      <c r="K330" s="713">
        <v>16480.2</v>
      </c>
    </row>
    <row r="331" spans="1:11" ht="14.4" customHeight="1" x14ac:dyDescent="0.3">
      <c r="A331" s="680" t="s">
        <v>534</v>
      </c>
      <c r="B331" s="671" t="s">
        <v>536</v>
      </c>
      <c r="C331" s="705" t="s">
        <v>556</v>
      </c>
      <c r="D331" s="723" t="s">
        <v>557</v>
      </c>
      <c r="E331" s="705" t="s">
        <v>2531</v>
      </c>
      <c r="F331" s="723" t="s">
        <v>2532</v>
      </c>
      <c r="G331" s="705" t="s">
        <v>3037</v>
      </c>
      <c r="H331" s="705" t="s">
        <v>3038</v>
      </c>
      <c r="I331" s="238">
        <v>699.38</v>
      </c>
      <c r="J331" s="238">
        <v>10</v>
      </c>
      <c r="K331" s="713">
        <v>6993.8</v>
      </c>
    </row>
    <row r="332" spans="1:11" ht="14.4" customHeight="1" x14ac:dyDescent="0.3">
      <c r="A332" s="680" t="s">
        <v>534</v>
      </c>
      <c r="B332" s="671" t="s">
        <v>536</v>
      </c>
      <c r="C332" s="705" t="s">
        <v>556</v>
      </c>
      <c r="D332" s="723" t="s">
        <v>557</v>
      </c>
      <c r="E332" s="705" t="s">
        <v>2531</v>
      </c>
      <c r="F332" s="723" t="s">
        <v>2532</v>
      </c>
      <c r="G332" s="705" t="s">
        <v>3039</v>
      </c>
      <c r="H332" s="705" t="s">
        <v>3040</v>
      </c>
      <c r="I332" s="238">
        <v>156.19999999999999</v>
      </c>
      <c r="J332" s="238">
        <v>100</v>
      </c>
      <c r="K332" s="713">
        <v>15620</v>
      </c>
    </row>
    <row r="333" spans="1:11" ht="14.4" customHeight="1" x14ac:dyDescent="0.3">
      <c r="A333" s="680" t="s">
        <v>534</v>
      </c>
      <c r="B333" s="671" t="s">
        <v>536</v>
      </c>
      <c r="C333" s="705" t="s">
        <v>556</v>
      </c>
      <c r="D333" s="723" t="s">
        <v>557</v>
      </c>
      <c r="E333" s="705" t="s">
        <v>2531</v>
      </c>
      <c r="F333" s="723" t="s">
        <v>2532</v>
      </c>
      <c r="G333" s="705" t="s">
        <v>2815</v>
      </c>
      <c r="H333" s="705" t="s">
        <v>2816</v>
      </c>
      <c r="I333" s="238">
        <v>114.42</v>
      </c>
      <c r="J333" s="238">
        <v>100</v>
      </c>
      <c r="K333" s="713">
        <v>11441.9</v>
      </c>
    </row>
    <row r="334" spans="1:11" ht="14.4" customHeight="1" x14ac:dyDescent="0.3">
      <c r="A334" s="680" t="s">
        <v>534</v>
      </c>
      <c r="B334" s="671" t="s">
        <v>536</v>
      </c>
      <c r="C334" s="705" t="s">
        <v>556</v>
      </c>
      <c r="D334" s="723" t="s">
        <v>557</v>
      </c>
      <c r="E334" s="705" t="s">
        <v>2531</v>
      </c>
      <c r="F334" s="723" t="s">
        <v>2532</v>
      </c>
      <c r="G334" s="705" t="s">
        <v>3041</v>
      </c>
      <c r="H334" s="705" t="s">
        <v>3042</v>
      </c>
      <c r="I334" s="238">
        <v>1500.4</v>
      </c>
      <c r="J334" s="238">
        <v>1</v>
      </c>
      <c r="K334" s="713">
        <v>1500.4</v>
      </c>
    </row>
    <row r="335" spans="1:11" ht="14.4" customHeight="1" x14ac:dyDescent="0.3">
      <c r="A335" s="680" t="s">
        <v>534</v>
      </c>
      <c r="B335" s="671" t="s">
        <v>536</v>
      </c>
      <c r="C335" s="705" t="s">
        <v>556</v>
      </c>
      <c r="D335" s="723" t="s">
        <v>557</v>
      </c>
      <c r="E335" s="705" t="s">
        <v>2531</v>
      </c>
      <c r="F335" s="723" t="s">
        <v>2532</v>
      </c>
      <c r="G335" s="705" t="s">
        <v>3043</v>
      </c>
      <c r="H335" s="705" t="s">
        <v>3044</v>
      </c>
      <c r="I335" s="238">
        <v>1500.4</v>
      </c>
      <c r="J335" s="238">
        <v>3</v>
      </c>
      <c r="K335" s="713">
        <v>4501.2</v>
      </c>
    </row>
    <row r="336" spans="1:11" ht="14.4" customHeight="1" x14ac:dyDescent="0.3">
      <c r="A336" s="680" t="s">
        <v>534</v>
      </c>
      <c r="B336" s="671" t="s">
        <v>536</v>
      </c>
      <c r="C336" s="705" t="s">
        <v>556</v>
      </c>
      <c r="D336" s="723" t="s">
        <v>557</v>
      </c>
      <c r="E336" s="705" t="s">
        <v>2531</v>
      </c>
      <c r="F336" s="723" t="s">
        <v>2532</v>
      </c>
      <c r="G336" s="705" t="s">
        <v>3045</v>
      </c>
      <c r="H336" s="705" t="s">
        <v>3046</v>
      </c>
      <c r="I336" s="238">
        <v>8.9649999999999999</v>
      </c>
      <c r="J336" s="238">
        <v>80</v>
      </c>
      <c r="K336" s="713">
        <v>717.2</v>
      </c>
    </row>
    <row r="337" spans="1:11" ht="14.4" customHeight="1" x14ac:dyDescent="0.3">
      <c r="A337" s="680" t="s">
        <v>534</v>
      </c>
      <c r="B337" s="671" t="s">
        <v>536</v>
      </c>
      <c r="C337" s="705" t="s">
        <v>556</v>
      </c>
      <c r="D337" s="723" t="s">
        <v>557</v>
      </c>
      <c r="E337" s="705" t="s">
        <v>2531</v>
      </c>
      <c r="F337" s="723" t="s">
        <v>2532</v>
      </c>
      <c r="G337" s="705" t="s">
        <v>2641</v>
      </c>
      <c r="H337" s="705" t="s">
        <v>2642</v>
      </c>
      <c r="I337" s="238">
        <v>26.01</v>
      </c>
      <c r="J337" s="238">
        <v>80</v>
      </c>
      <c r="K337" s="713">
        <v>2081.1999999999998</v>
      </c>
    </row>
    <row r="338" spans="1:11" ht="14.4" customHeight="1" x14ac:dyDescent="0.3">
      <c r="A338" s="680" t="s">
        <v>534</v>
      </c>
      <c r="B338" s="671" t="s">
        <v>536</v>
      </c>
      <c r="C338" s="705" t="s">
        <v>556</v>
      </c>
      <c r="D338" s="723" t="s">
        <v>557</v>
      </c>
      <c r="E338" s="705" t="s">
        <v>2531</v>
      </c>
      <c r="F338" s="723" t="s">
        <v>2532</v>
      </c>
      <c r="G338" s="705" t="s">
        <v>2643</v>
      </c>
      <c r="H338" s="705" t="s">
        <v>2644</v>
      </c>
      <c r="I338" s="238">
        <v>26.02</v>
      </c>
      <c r="J338" s="238">
        <v>150</v>
      </c>
      <c r="K338" s="713">
        <v>3902.3</v>
      </c>
    </row>
    <row r="339" spans="1:11" ht="14.4" customHeight="1" x14ac:dyDescent="0.3">
      <c r="A339" s="680" t="s">
        <v>534</v>
      </c>
      <c r="B339" s="671" t="s">
        <v>536</v>
      </c>
      <c r="C339" s="705" t="s">
        <v>556</v>
      </c>
      <c r="D339" s="723" t="s">
        <v>557</v>
      </c>
      <c r="E339" s="705" t="s">
        <v>2531</v>
      </c>
      <c r="F339" s="723" t="s">
        <v>2532</v>
      </c>
      <c r="G339" s="705" t="s">
        <v>2645</v>
      </c>
      <c r="H339" s="705" t="s">
        <v>2646</v>
      </c>
      <c r="I339" s="238">
        <v>23.475000000000001</v>
      </c>
      <c r="J339" s="238">
        <v>90</v>
      </c>
      <c r="K339" s="713">
        <v>2112.9</v>
      </c>
    </row>
    <row r="340" spans="1:11" ht="14.4" customHeight="1" x14ac:dyDescent="0.3">
      <c r="A340" s="680" t="s">
        <v>534</v>
      </c>
      <c r="B340" s="671" t="s">
        <v>536</v>
      </c>
      <c r="C340" s="705" t="s">
        <v>556</v>
      </c>
      <c r="D340" s="723" t="s">
        <v>557</v>
      </c>
      <c r="E340" s="705" t="s">
        <v>2531</v>
      </c>
      <c r="F340" s="723" t="s">
        <v>2532</v>
      </c>
      <c r="G340" s="705" t="s">
        <v>2825</v>
      </c>
      <c r="H340" s="705" t="s">
        <v>2826</v>
      </c>
      <c r="I340" s="238">
        <v>4.24</v>
      </c>
      <c r="J340" s="238">
        <v>50</v>
      </c>
      <c r="K340" s="713">
        <v>212</v>
      </c>
    </row>
    <row r="341" spans="1:11" ht="14.4" customHeight="1" x14ac:dyDescent="0.3">
      <c r="A341" s="680" t="s">
        <v>534</v>
      </c>
      <c r="B341" s="671" t="s">
        <v>536</v>
      </c>
      <c r="C341" s="705" t="s">
        <v>556</v>
      </c>
      <c r="D341" s="723" t="s">
        <v>557</v>
      </c>
      <c r="E341" s="705" t="s">
        <v>2531</v>
      </c>
      <c r="F341" s="723" t="s">
        <v>2532</v>
      </c>
      <c r="G341" s="705" t="s">
        <v>2827</v>
      </c>
      <c r="H341" s="705" t="s">
        <v>2828</v>
      </c>
      <c r="I341" s="238">
        <v>7.16</v>
      </c>
      <c r="J341" s="238">
        <v>100</v>
      </c>
      <c r="K341" s="713">
        <v>715.7</v>
      </c>
    </row>
    <row r="342" spans="1:11" ht="14.4" customHeight="1" x14ac:dyDescent="0.3">
      <c r="A342" s="680" t="s">
        <v>534</v>
      </c>
      <c r="B342" s="671" t="s">
        <v>536</v>
      </c>
      <c r="C342" s="705" t="s">
        <v>556</v>
      </c>
      <c r="D342" s="723" t="s">
        <v>557</v>
      </c>
      <c r="E342" s="705" t="s">
        <v>2531</v>
      </c>
      <c r="F342" s="723" t="s">
        <v>2532</v>
      </c>
      <c r="G342" s="705" t="s">
        <v>3047</v>
      </c>
      <c r="H342" s="705" t="s">
        <v>3048</v>
      </c>
      <c r="I342" s="238">
        <v>33.880000000000003</v>
      </c>
      <c r="J342" s="238">
        <v>2</v>
      </c>
      <c r="K342" s="713">
        <v>67.760000000000005</v>
      </c>
    </row>
    <row r="343" spans="1:11" ht="14.4" customHeight="1" x14ac:dyDescent="0.3">
      <c r="A343" s="680" t="s">
        <v>534</v>
      </c>
      <c r="B343" s="671" t="s">
        <v>536</v>
      </c>
      <c r="C343" s="705" t="s">
        <v>556</v>
      </c>
      <c r="D343" s="723" t="s">
        <v>557</v>
      </c>
      <c r="E343" s="705" t="s">
        <v>2531</v>
      </c>
      <c r="F343" s="723" t="s">
        <v>2532</v>
      </c>
      <c r="G343" s="705" t="s">
        <v>3049</v>
      </c>
      <c r="H343" s="705" t="s">
        <v>3050</v>
      </c>
      <c r="I343" s="238">
        <v>878.46</v>
      </c>
      <c r="J343" s="238">
        <v>30</v>
      </c>
      <c r="K343" s="713">
        <v>26353.800000000003</v>
      </c>
    </row>
    <row r="344" spans="1:11" ht="14.4" customHeight="1" x14ac:dyDescent="0.3">
      <c r="A344" s="680" t="s">
        <v>534</v>
      </c>
      <c r="B344" s="671" t="s">
        <v>536</v>
      </c>
      <c r="C344" s="705" t="s">
        <v>556</v>
      </c>
      <c r="D344" s="723" t="s">
        <v>557</v>
      </c>
      <c r="E344" s="705" t="s">
        <v>2531</v>
      </c>
      <c r="F344" s="723" t="s">
        <v>2532</v>
      </c>
      <c r="G344" s="705" t="s">
        <v>3051</v>
      </c>
      <c r="H344" s="705" t="s">
        <v>3052</v>
      </c>
      <c r="I344" s="238">
        <v>667.17</v>
      </c>
      <c r="J344" s="238">
        <v>48</v>
      </c>
      <c r="K344" s="713">
        <v>32024.06</v>
      </c>
    </row>
    <row r="345" spans="1:11" ht="14.4" customHeight="1" x14ac:dyDescent="0.3">
      <c r="A345" s="680" t="s">
        <v>534</v>
      </c>
      <c r="B345" s="671" t="s">
        <v>536</v>
      </c>
      <c r="C345" s="705" t="s">
        <v>556</v>
      </c>
      <c r="D345" s="723" t="s">
        <v>557</v>
      </c>
      <c r="E345" s="705" t="s">
        <v>2531</v>
      </c>
      <c r="F345" s="723" t="s">
        <v>2532</v>
      </c>
      <c r="G345" s="705" t="s">
        <v>3053</v>
      </c>
      <c r="H345" s="705" t="s">
        <v>3054</v>
      </c>
      <c r="I345" s="238">
        <v>149.56</v>
      </c>
      <c r="J345" s="238">
        <v>48</v>
      </c>
      <c r="K345" s="713">
        <v>7178.76</v>
      </c>
    </row>
    <row r="346" spans="1:11" ht="14.4" customHeight="1" x14ac:dyDescent="0.3">
      <c r="A346" s="680" t="s">
        <v>534</v>
      </c>
      <c r="B346" s="671" t="s">
        <v>536</v>
      </c>
      <c r="C346" s="705" t="s">
        <v>556</v>
      </c>
      <c r="D346" s="723" t="s">
        <v>557</v>
      </c>
      <c r="E346" s="705" t="s">
        <v>2531</v>
      </c>
      <c r="F346" s="723" t="s">
        <v>2532</v>
      </c>
      <c r="G346" s="705" t="s">
        <v>3055</v>
      </c>
      <c r="H346" s="705" t="s">
        <v>3056</v>
      </c>
      <c r="I346" s="238">
        <v>653.4</v>
      </c>
      <c r="J346" s="238">
        <v>10</v>
      </c>
      <c r="K346" s="713">
        <v>6534</v>
      </c>
    </row>
    <row r="347" spans="1:11" ht="14.4" customHeight="1" x14ac:dyDescent="0.3">
      <c r="A347" s="680" t="s">
        <v>534</v>
      </c>
      <c r="B347" s="671" t="s">
        <v>536</v>
      </c>
      <c r="C347" s="705" t="s">
        <v>556</v>
      </c>
      <c r="D347" s="723" t="s">
        <v>557</v>
      </c>
      <c r="E347" s="705" t="s">
        <v>2531</v>
      </c>
      <c r="F347" s="723" t="s">
        <v>2532</v>
      </c>
      <c r="G347" s="705" t="s">
        <v>2829</v>
      </c>
      <c r="H347" s="705" t="s">
        <v>2830</v>
      </c>
      <c r="I347" s="238">
        <v>1249.6600000000001</v>
      </c>
      <c r="J347" s="238">
        <v>12</v>
      </c>
      <c r="K347" s="713">
        <v>14995.96</v>
      </c>
    </row>
    <row r="348" spans="1:11" ht="14.4" customHeight="1" x14ac:dyDescent="0.3">
      <c r="A348" s="680" t="s">
        <v>534</v>
      </c>
      <c r="B348" s="671" t="s">
        <v>536</v>
      </c>
      <c r="C348" s="705" t="s">
        <v>556</v>
      </c>
      <c r="D348" s="723" t="s">
        <v>557</v>
      </c>
      <c r="E348" s="705" t="s">
        <v>2531</v>
      </c>
      <c r="F348" s="723" t="s">
        <v>2532</v>
      </c>
      <c r="G348" s="705" t="s">
        <v>3057</v>
      </c>
      <c r="H348" s="705" t="s">
        <v>3058</v>
      </c>
      <c r="I348" s="238">
        <v>26.56</v>
      </c>
      <c r="J348" s="238">
        <v>100</v>
      </c>
      <c r="K348" s="713">
        <v>2655.95</v>
      </c>
    </row>
    <row r="349" spans="1:11" ht="14.4" customHeight="1" x14ac:dyDescent="0.3">
      <c r="A349" s="680" t="s">
        <v>534</v>
      </c>
      <c r="B349" s="671" t="s">
        <v>536</v>
      </c>
      <c r="C349" s="705" t="s">
        <v>556</v>
      </c>
      <c r="D349" s="723" t="s">
        <v>557</v>
      </c>
      <c r="E349" s="705" t="s">
        <v>2531</v>
      </c>
      <c r="F349" s="723" t="s">
        <v>2532</v>
      </c>
      <c r="G349" s="705" t="s">
        <v>3059</v>
      </c>
      <c r="H349" s="705" t="s">
        <v>3060</v>
      </c>
      <c r="I349" s="238">
        <v>699.38</v>
      </c>
      <c r="J349" s="238">
        <v>10</v>
      </c>
      <c r="K349" s="713">
        <v>6993.8</v>
      </c>
    </row>
    <row r="350" spans="1:11" ht="14.4" customHeight="1" x14ac:dyDescent="0.3">
      <c r="A350" s="680" t="s">
        <v>534</v>
      </c>
      <c r="B350" s="671" t="s">
        <v>536</v>
      </c>
      <c r="C350" s="705" t="s">
        <v>556</v>
      </c>
      <c r="D350" s="723" t="s">
        <v>557</v>
      </c>
      <c r="E350" s="705" t="s">
        <v>2531</v>
      </c>
      <c r="F350" s="723" t="s">
        <v>2532</v>
      </c>
      <c r="G350" s="705" t="s">
        <v>3061</v>
      </c>
      <c r="H350" s="705" t="s">
        <v>3062</v>
      </c>
      <c r="I350" s="238">
        <v>21.78</v>
      </c>
      <c r="J350" s="238">
        <v>12</v>
      </c>
      <c r="K350" s="713">
        <v>261.36</v>
      </c>
    </row>
    <row r="351" spans="1:11" ht="14.4" customHeight="1" x14ac:dyDescent="0.3">
      <c r="A351" s="680" t="s">
        <v>534</v>
      </c>
      <c r="B351" s="671" t="s">
        <v>536</v>
      </c>
      <c r="C351" s="705" t="s">
        <v>556</v>
      </c>
      <c r="D351" s="723" t="s">
        <v>557</v>
      </c>
      <c r="E351" s="705" t="s">
        <v>2531</v>
      </c>
      <c r="F351" s="723" t="s">
        <v>2532</v>
      </c>
      <c r="G351" s="705" t="s">
        <v>2673</v>
      </c>
      <c r="H351" s="705" t="s">
        <v>2674</v>
      </c>
      <c r="I351" s="238">
        <v>2.91</v>
      </c>
      <c r="J351" s="238">
        <v>100</v>
      </c>
      <c r="K351" s="713">
        <v>291</v>
      </c>
    </row>
    <row r="352" spans="1:11" ht="14.4" customHeight="1" x14ac:dyDescent="0.3">
      <c r="A352" s="680" t="s">
        <v>534</v>
      </c>
      <c r="B352" s="671" t="s">
        <v>536</v>
      </c>
      <c r="C352" s="705" t="s">
        <v>556</v>
      </c>
      <c r="D352" s="723" t="s">
        <v>557</v>
      </c>
      <c r="E352" s="705" t="s">
        <v>2531</v>
      </c>
      <c r="F352" s="723" t="s">
        <v>2532</v>
      </c>
      <c r="G352" s="705" t="s">
        <v>3063</v>
      </c>
      <c r="H352" s="705" t="s">
        <v>3064</v>
      </c>
      <c r="I352" s="238">
        <v>2.9</v>
      </c>
      <c r="J352" s="238">
        <v>100</v>
      </c>
      <c r="K352" s="713">
        <v>290</v>
      </c>
    </row>
    <row r="353" spans="1:11" ht="14.4" customHeight="1" x14ac:dyDescent="0.3">
      <c r="A353" s="680" t="s">
        <v>534</v>
      </c>
      <c r="B353" s="671" t="s">
        <v>536</v>
      </c>
      <c r="C353" s="705" t="s">
        <v>556</v>
      </c>
      <c r="D353" s="723" t="s">
        <v>557</v>
      </c>
      <c r="E353" s="705" t="s">
        <v>2531</v>
      </c>
      <c r="F353" s="723" t="s">
        <v>2532</v>
      </c>
      <c r="G353" s="705" t="s">
        <v>2677</v>
      </c>
      <c r="H353" s="705" t="s">
        <v>2678</v>
      </c>
      <c r="I353" s="238">
        <v>833.69</v>
      </c>
      <c r="J353" s="238">
        <v>96</v>
      </c>
      <c r="K353" s="713">
        <v>80034.240000000005</v>
      </c>
    </row>
    <row r="354" spans="1:11" ht="14.4" customHeight="1" x14ac:dyDescent="0.3">
      <c r="A354" s="680" t="s">
        <v>534</v>
      </c>
      <c r="B354" s="671" t="s">
        <v>536</v>
      </c>
      <c r="C354" s="705" t="s">
        <v>556</v>
      </c>
      <c r="D354" s="723" t="s">
        <v>557</v>
      </c>
      <c r="E354" s="705" t="s">
        <v>2531</v>
      </c>
      <c r="F354" s="723" t="s">
        <v>2532</v>
      </c>
      <c r="G354" s="705" t="s">
        <v>3065</v>
      </c>
      <c r="H354" s="705" t="s">
        <v>3066</v>
      </c>
      <c r="I354" s="238">
        <v>115</v>
      </c>
      <c r="J354" s="238">
        <v>48</v>
      </c>
      <c r="K354" s="713">
        <v>5520</v>
      </c>
    </row>
    <row r="355" spans="1:11" ht="14.4" customHeight="1" x14ac:dyDescent="0.3">
      <c r="A355" s="680" t="s">
        <v>534</v>
      </c>
      <c r="B355" s="671" t="s">
        <v>536</v>
      </c>
      <c r="C355" s="705" t="s">
        <v>556</v>
      </c>
      <c r="D355" s="723" t="s">
        <v>557</v>
      </c>
      <c r="E355" s="705" t="s">
        <v>2531</v>
      </c>
      <c r="F355" s="723" t="s">
        <v>2532</v>
      </c>
      <c r="G355" s="705" t="s">
        <v>2679</v>
      </c>
      <c r="H355" s="705" t="s">
        <v>2680</v>
      </c>
      <c r="I355" s="238">
        <v>15</v>
      </c>
      <c r="J355" s="238">
        <v>50</v>
      </c>
      <c r="K355" s="713">
        <v>750</v>
      </c>
    </row>
    <row r="356" spans="1:11" ht="14.4" customHeight="1" x14ac:dyDescent="0.3">
      <c r="A356" s="680" t="s">
        <v>534</v>
      </c>
      <c r="B356" s="671" t="s">
        <v>536</v>
      </c>
      <c r="C356" s="705" t="s">
        <v>556</v>
      </c>
      <c r="D356" s="723" t="s">
        <v>557</v>
      </c>
      <c r="E356" s="705" t="s">
        <v>2531</v>
      </c>
      <c r="F356" s="723" t="s">
        <v>2532</v>
      </c>
      <c r="G356" s="705" t="s">
        <v>3067</v>
      </c>
      <c r="H356" s="705" t="s">
        <v>3068</v>
      </c>
      <c r="I356" s="238">
        <v>17.98</v>
      </c>
      <c r="J356" s="238">
        <v>50</v>
      </c>
      <c r="K356" s="713">
        <v>899.03</v>
      </c>
    </row>
    <row r="357" spans="1:11" ht="14.4" customHeight="1" x14ac:dyDescent="0.3">
      <c r="A357" s="680" t="s">
        <v>534</v>
      </c>
      <c r="B357" s="671" t="s">
        <v>536</v>
      </c>
      <c r="C357" s="705" t="s">
        <v>556</v>
      </c>
      <c r="D357" s="723" t="s">
        <v>557</v>
      </c>
      <c r="E357" s="705" t="s">
        <v>2531</v>
      </c>
      <c r="F357" s="723" t="s">
        <v>2532</v>
      </c>
      <c r="G357" s="705" t="s">
        <v>3069</v>
      </c>
      <c r="H357" s="705" t="s">
        <v>3070</v>
      </c>
      <c r="I357" s="238">
        <v>214.8</v>
      </c>
      <c r="J357" s="238">
        <v>30</v>
      </c>
      <c r="K357" s="713">
        <v>6443.98</v>
      </c>
    </row>
    <row r="358" spans="1:11" ht="14.4" customHeight="1" x14ac:dyDescent="0.3">
      <c r="A358" s="680" t="s">
        <v>534</v>
      </c>
      <c r="B358" s="671" t="s">
        <v>536</v>
      </c>
      <c r="C358" s="705" t="s">
        <v>556</v>
      </c>
      <c r="D358" s="723" t="s">
        <v>557</v>
      </c>
      <c r="E358" s="705" t="s">
        <v>2531</v>
      </c>
      <c r="F358" s="723" t="s">
        <v>2532</v>
      </c>
      <c r="G358" s="705" t="s">
        <v>2681</v>
      </c>
      <c r="H358" s="705" t="s">
        <v>2682</v>
      </c>
      <c r="I358" s="238">
        <v>12.1</v>
      </c>
      <c r="J358" s="238">
        <v>20</v>
      </c>
      <c r="K358" s="713">
        <v>242</v>
      </c>
    </row>
    <row r="359" spans="1:11" ht="14.4" customHeight="1" x14ac:dyDescent="0.3">
      <c r="A359" s="680" t="s">
        <v>534</v>
      </c>
      <c r="B359" s="671" t="s">
        <v>536</v>
      </c>
      <c r="C359" s="705" t="s">
        <v>556</v>
      </c>
      <c r="D359" s="723" t="s">
        <v>557</v>
      </c>
      <c r="E359" s="705" t="s">
        <v>2531</v>
      </c>
      <c r="F359" s="723" t="s">
        <v>2532</v>
      </c>
      <c r="G359" s="705" t="s">
        <v>2857</v>
      </c>
      <c r="H359" s="705" t="s">
        <v>2858</v>
      </c>
      <c r="I359" s="238">
        <v>32.9</v>
      </c>
      <c r="J359" s="238">
        <v>60</v>
      </c>
      <c r="K359" s="713">
        <v>1974</v>
      </c>
    </row>
    <row r="360" spans="1:11" ht="14.4" customHeight="1" x14ac:dyDescent="0.3">
      <c r="A360" s="680" t="s">
        <v>534</v>
      </c>
      <c r="B360" s="671" t="s">
        <v>536</v>
      </c>
      <c r="C360" s="705" t="s">
        <v>556</v>
      </c>
      <c r="D360" s="723" t="s">
        <v>557</v>
      </c>
      <c r="E360" s="705" t="s">
        <v>2531</v>
      </c>
      <c r="F360" s="723" t="s">
        <v>2532</v>
      </c>
      <c r="G360" s="705" t="s">
        <v>3071</v>
      </c>
      <c r="H360" s="705" t="s">
        <v>3072</v>
      </c>
      <c r="I360" s="238">
        <v>17.3</v>
      </c>
      <c r="J360" s="238">
        <v>100</v>
      </c>
      <c r="K360" s="713">
        <v>1730.3</v>
      </c>
    </row>
    <row r="361" spans="1:11" ht="14.4" customHeight="1" x14ac:dyDescent="0.3">
      <c r="A361" s="680" t="s">
        <v>534</v>
      </c>
      <c r="B361" s="671" t="s">
        <v>536</v>
      </c>
      <c r="C361" s="705" t="s">
        <v>556</v>
      </c>
      <c r="D361" s="723" t="s">
        <v>557</v>
      </c>
      <c r="E361" s="705" t="s">
        <v>2531</v>
      </c>
      <c r="F361" s="723" t="s">
        <v>2532</v>
      </c>
      <c r="G361" s="705" t="s">
        <v>2685</v>
      </c>
      <c r="H361" s="705" t="s">
        <v>2686</v>
      </c>
      <c r="I361" s="238">
        <v>5.2</v>
      </c>
      <c r="J361" s="238">
        <v>100</v>
      </c>
      <c r="K361" s="713">
        <v>520</v>
      </c>
    </row>
    <row r="362" spans="1:11" ht="14.4" customHeight="1" x14ac:dyDescent="0.3">
      <c r="A362" s="680" t="s">
        <v>534</v>
      </c>
      <c r="B362" s="671" t="s">
        <v>536</v>
      </c>
      <c r="C362" s="705" t="s">
        <v>556</v>
      </c>
      <c r="D362" s="723" t="s">
        <v>557</v>
      </c>
      <c r="E362" s="705" t="s">
        <v>2531</v>
      </c>
      <c r="F362" s="723" t="s">
        <v>2532</v>
      </c>
      <c r="G362" s="705" t="s">
        <v>2687</v>
      </c>
      <c r="H362" s="705" t="s">
        <v>2688</v>
      </c>
      <c r="I362" s="238">
        <v>13.2</v>
      </c>
      <c r="J362" s="238">
        <v>80</v>
      </c>
      <c r="K362" s="713">
        <v>1056</v>
      </c>
    </row>
    <row r="363" spans="1:11" ht="14.4" customHeight="1" x14ac:dyDescent="0.3">
      <c r="A363" s="680" t="s">
        <v>534</v>
      </c>
      <c r="B363" s="671" t="s">
        <v>536</v>
      </c>
      <c r="C363" s="705" t="s">
        <v>556</v>
      </c>
      <c r="D363" s="723" t="s">
        <v>557</v>
      </c>
      <c r="E363" s="705" t="s">
        <v>2531</v>
      </c>
      <c r="F363" s="723" t="s">
        <v>2532</v>
      </c>
      <c r="G363" s="705" t="s">
        <v>3073</v>
      </c>
      <c r="H363" s="705" t="s">
        <v>3074</v>
      </c>
      <c r="I363" s="238">
        <v>19400</v>
      </c>
      <c r="J363" s="238">
        <v>1</v>
      </c>
      <c r="K363" s="713">
        <v>19400</v>
      </c>
    </row>
    <row r="364" spans="1:11" ht="14.4" customHeight="1" x14ac:dyDescent="0.3">
      <c r="A364" s="680" t="s">
        <v>534</v>
      </c>
      <c r="B364" s="671" t="s">
        <v>536</v>
      </c>
      <c r="C364" s="705" t="s">
        <v>556</v>
      </c>
      <c r="D364" s="723" t="s">
        <v>557</v>
      </c>
      <c r="E364" s="705" t="s">
        <v>2531</v>
      </c>
      <c r="F364" s="723" t="s">
        <v>2532</v>
      </c>
      <c r="G364" s="705" t="s">
        <v>3075</v>
      </c>
      <c r="H364" s="705" t="s">
        <v>3076</v>
      </c>
      <c r="I364" s="238">
        <v>1221</v>
      </c>
      <c r="J364" s="238">
        <v>40</v>
      </c>
      <c r="K364" s="713">
        <v>48840</v>
      </c>
    </row>
    <row r="365" spans="1:11" ht="14.4" customHeight="1" x14ac:dyDescent="0.3">
      <c r="A365" s="680" t="s">
        <v>534</v>
      </c>
      <c r="B365" s="671" t="s">
        <v>536</v>
      </c>
      <c r="C365" s="705" t="s">
        <v>556</v>
      </c>
      <c r="D365" s="723" t="s">
        <v>557</v>
      </c>
      <c r="E365" s="705" t="s">
        <v>2531</v>
      </c>
      <c r="F365" s="723" t="s">
        <v>2532</v>
      </c>
      <c r="G365" s="705" t="s">
        <v>2691</v>
      </c>
      <c r="H365" s="705" t="s">
        <v>2692</v>
      </c>
      <c r="I365" s="238">
        <v>0.47</v>
      </c>
      <c r="J365" s="238">
        <v>1000</v>
      </c>
      <c r="K365" s="713">
        <v>470</v>
      </c>
    </row>
    <row r="366" spans="1:11" ht="14.4" customHeight="1" x14ac:dyDescent="0.3">
      <c r="A366" s="680" t="s">
        <v>534</v>
      </c>
      <c r="B366" s="671" t="s">
        <v>536</v>
      </c>
      <c r="C366" s="705" t="s">
        <v>556</v>
      </c>
      <c r="D366" s="723" t="s">
        <v>557</v>
      </c>
      <c r="E366" s="705" t="s">
        <v>2531</v>
      </c>
      <c r="F366" s="723" t="s">
        <v>2532</v>
      </c>
      <c r="G366" s="705" t="s">
        <v>2867</v>
      </c>
      <c r="H366" s="705" t="s">
        <v>2868</v>
      </c>
      <c r="I366" s="238">
        <v>4.03</v>
      </c>
      <c r="J366" s="238">
        <v>200</v>
      </c>
      <c r="K366" s="713">
        <v>806</v>
      </c>
    </row>
    <row r="367" spans="1:11" ht="14.4" customHeight="1" x14ac:dyDescent="0.3">
      <c r="A367" s="680" t="s">
        <v>534</v>
      </c>
      <c r="B367" s="671" t="s">
        <v>536</v>
      </c>
      <c r="C367" s="705" t="s">
        <v>556</v>
      </c>
      <c r="D367" s="723" t="s">
        <v>557</v>
      </c>
      <c r="E367" s="705" t="s">
        <v>2531</v>
      </c>
      <c r="F367" s="723" t="s">
        <v>2532</v>
      </c>
      <c r="G367" s="705" t="s">
        <v>3077</v>
      </c>
      <c r="H367" s="705" t="s">
        <v>3078</v>
      </c>
      <c r="I367" s="238">
        <v>1945.8966666666668</v>
      </c>
      <c r="J367" s="238">
        <v>60</v>
      </c>
      <c r="K367" s="713">
        <v>116753.72</v>
      </c>
    </row>
    <row r="368" spans="1:11" ht="14.4" customHeight="1" x14ac:dyDescent="0.3">
      <c r="A368" s="680" t="s">
        <v>534</v>
      </c>
      <c r="B368" s="671" t="s">
        <v>536</v>
      </c>
      <c r="C368" s="705" t="s">
        <v>556</v>
      </c>
      <c r="D368" s="723" t="s">
        <v>557</v>
      </c>
      <c r="E368" s="705" t="s">
        <v>2531</v>
      </c>
      <c r="F368" s="723" t="s">
        <v>2532</v>
      </c>
      <c r="G368" s="705" t="s">
        <v>3079</v>
      </c>
      <c r="H368" s="705" t="s">
        <v>3080</v>
      </c>
      <c r="I368" s="238">
        <v>678.02</v>
      </c>
      <c r="J368" s="238">
        <v>20</v>
      </c>
      <c r="K368" s="713">
        <v>13560.45</v>
      </c>
    </row>
    <row r="369" spans="1:11" ht="14.4" customHeight="1" x14ac:dyDescent="0.3">
      <c r="A369" s="680" t="s">
        <v>534</v>
      </c>
      <c r="B369" s="671" t="s">
        <v>536</v>
      </c>
      <c r="C369" s="705" t="s">
        <v>556</v>
      </c>
      <c r="D369" s="723" t="s">
        <v>557</v>
      </c>
      <c r="E369" s="705" t="s">
        <v>2531</v>
      </c>
      <c r="F369" s="723" t="s">
        <v>2532</v>
      </c>
      <c r="G369" s="705" t="s">
        <v>2877</v>
      </c>
      <c r="H369" s="705" t="s">
        <v>2878</v>
      </c>
      <c r="I369" s="238">
        <v>15.39</v>
      </c>
      <c r="J369" s="238">
        <v>50</v>
      </c>
      <c r="K369" s="713">
        <v>769.7</v>
      </c>
    </row>
    <row r="370" spans="1:11" ht="14.4" customHeight="1" x14ac:dyDescent="0.3">
      <c r="A370" s="680" t="s">
        <v>534</v>
      </c>
      <c r="B370" s="671" t="s">
        <v>536</v>
      </c>
      <c r="C370" s="705" t="s">
        <v>556</v>
      </c>
      <c r="D370" s="723" t="s">
        <v>557</v>
      </c>
      <c r="E370" s="705" t="s">
        <v>2531</v>
      </c>
      <c r="F370" s="723" t="s">
        <v>2532</v>
      </c>
      <c r="G370" s="705" t="s">
        <v>3081</v>
      </c>
      <c r="H370" s="705" t="s">
        <v>3082</v>
      </c>
      <c r="I370" s="238">
        <v>317.63</v>
      </c>
      <c r="J370" s="238">
        <v>50</v>
      </c>
      <c r="K370" s="713">
        <v>15881.25</v>
      </c>
    </row>
    <row r="371" spans="1:11" ht="14.4" customHeight="1" x14ac:dyDescent="0.3">
      <c r="A371" s="680" t="s">
        <v>534</v>
      </c>
      <c r="B371" s="671" t="s">
        <v>536</v>
      </c>
      <c r="C371" s="705" t="s">
        <v>556</v>
      </c>
      <c r="D371" s="723" t="s">
        <v>557</v>
      </c>
      <c r="E371" s="705" t="s">
        <v>2531</v>
      </c>
      <c r="F371" s="723" t="s">
        <v>2532</v>
      </c>
      <c r="G371" s="705" t="s">
        <v>3083</v>
      </c>
      <c r="H371" s="705" t="s">
        <v>3084</v>
      </c>
      <c r="I371" s="238">
        <v>1305.82</v>
      </c>
      <c r="J371" s="238">
        <v>10</v>
      </c>
      <c r="K371" s="713">
        <v>13058.2</v>
      </c>
    </row>
    <row r="372" spans="1:11" ht="14.4" customHeight="1" x14ac:dyDescent="0.3">
      <c r="A372" s="680" t="s">
        <v>534</v>
      </c>
      <c r="B372" s="671" t="s">
        <v>536</v>
      </c>
      <c r="C372" s="705" t="s">
        <v>556</v>
      </c>
      <c r="D372" s="723" t="s">
        <v>557</v>
      </c>
      <c r="E372" s="705" t="s">
        <v>2531</v>
      </c>
      <c r="F372" s="723" t="s">
        <v>2532</v>
      </c>
      <c r="G372" s="705" t="s">
        <v>3085</v>
      </c>
      <c r="H372" s="705" t="s">
        <v>3086</v>
      </c>
      <c r="I372" s="238">
        <v>251.43</v>
      </c>
      <c r="J372" s="238">
        <v>20</v>
      </c>
      <c r="K372" s="713">
        <v>5028.55</v>
      </c>
    </row>
    <row r="373" spans="1:11" ht="14.4" customHeight="1" x14ac:dyDescent="0.3">
      <c r="A373" s="680" t="s">
        <v>534</v>
      </c>
      <c r="B373" s="671" t="s">
        <v>536</v>
      </c>
      <c r="C373" s="705" t="s">
        <v>556</v>
      </c>
      <c r="D373" s="723" t="s">
        <v>557</v>
      </c>
      <c r="E373" s="705" t="s">
        <v>2531</v>
      </c>
      <c r="F373" s="723" t="s">
        <v>2532</v>
      </c>
      <c r="G373" s="705" t="s">
        <v>3087</v>
      </c>
      <c r="H373" s="705" t="s">
        <v>3088</v>
      </c>
      <c r="I373" s="238">
        <v>265.45999999999998</v>
      </c>
      <c r="J373" s="238">
        <v>20</v>
      </c>
      <c r="K373" s="713">
        <v>5309.13</v>
      </c>
    </row>
    <row r="374" spans="1:11" ht="14.4" customHeight="1" x14ac:dyDescent="0.3">
      <c r="A374" s="680" t="s">
        <v>534</v>
      </c>
      <c r="B374" s="671" t="s">
        <v>536</v>
      </c>
      <c r="C374" s="705" t="s">
        <v>556</v>
      </c>
      <c r="D374" s="723" t="s">
        <v>557</v>
      </c>
      <c r="E374" s="705" t="s">
        <v>2531</v>
      </c>
      <c r="F374" s="723" t="s">
        <v>2532</v>
      </c>
      <c r="G374" s="705" t="s">
        <v>3089</v>
      </c>
      <c r="H374" s="705" t="s">
        <v>3090</v>
      </c>
      <c r="I374" s="238">
        <v>699.38</v>
      </c>
      <c r="J374" s="238">
        <v>10</v>
      </c>
      <c r="K374" s="713">
        <v>6993.8</v>
      </c>
    </row>
    <row r="375" spans="1:11" ht="14.4" customHeight="1" x14ac:dyDescent="0.3">
      <c r="A375" s="680" t="s">
        <v>534</v>
      </c>
      <c r="B375" s="671" t="s">
        <v>536</v>
      </c>
      <c r="C375" s="705" t="s">
        <v>556</v>
      </c>
      <c r="D375" s="723" t="s">
        <v>557</v>
      </c>
      <c r="E375" s="705" t="s">
        <v>2531</v>
      </c>
      <c r="F375" s="723" t="s">
        <v>2532</v>
      </c>
      <c r="G375" s="705" t="s">
        <v>3091</v>
      </c>
      <c r="H375" s="705" t="s">
        <v>3092</v>
      </c>
      <c r="I375" s="238">
        <v>1875.5</v>
      </c>
      <c r="J375" s="238">
        <v>5</v>
      </c>
      <c r="K375" s="713">
        <v>9377.5</v>
      </c>
    </row>
    <row r="376" spans="1:11" ht="14.4" customHeight="1" x14ac:dyDescent="0.3">
      <c r="A376" s="680" t="s">
        <v>534</v>
      </c>
      <c r="B376" s="671" t="s">
        <v>536</v>
      </c>
      <c r="C376" s="705" t="s">
        <v>556</v>
      </c>
      <c r="D376" s="723" t="s">
        <v>557</v>
      </c>
      <c r="E376" s="705" t="s">
        <v>2531</v>
      </c>
      <c r="F376" s="723" t="s">
        <v>2532</v>
      </c>
      <c r="G376" s="705" t="s">
        <v>3093</v>
      </c>
      <c r="H376" s="705" t="s">
        <v>3094</v>
      </c>
      <c r="I376" s="238">
        <v>284.16000000000003</v>
      </c>
      <c r="J376" s="238">
        <v>20</v>
      </c>
      <c r="K376" s="713">
        <v>5683.21</v>
      </c>
    </row>
    <row r="377" spans="1:11" ht="14.4" customHeight="1" x14ac:dyDescent="0.3">
      <c r="A377" s="680" t="s">
        <v>534</v>
      </c>
      <c r="B377" s="671" t="s">
        <v>536</v>
      </c>
      <c r="C377" s="705" t="s">
        <v>556</v>
      </c>
      <c r="D377" s="723" t="s">
        <v>557</v>
      </c>
      <c r="E377" s="705" t="s">
        <v>2531</v>
      </c>
      <c r="F377" s="723" t="s">
        <v>2532</v>
      </c>
      <c r="G377" s="705" t="s">
        <v>3095</v>
      </c>
      <c r="H377" s="705" t="s">
        <v>3096</v>
      </c>
      <c r="I377" s="238">
        <v>1426.6</v>
      </c>
      <c r="J377" s="238">
        <v>1</v>
      </c>
      <c r="K377" s="713">
        <v>1426.6</v>
      </c>
    </row>
    <row r="378" spans="1:11" ht="14.4" customHeight="1" x14ac:dyDescent="0.3">
      <c r="A378" s="680" t="s">
        <v>534</v>
      </c>
      <c r="B378" s="671" t="s">
        <v>536</v>
      </c>
      <c r="C378" s="705" t="s">
        <v>556</v>
      </c>
      <c r="D378" s="723" t="s">
        <v>557</v>
      </c>
      <c r="E378" s="705" t="s">
        <v>2531</v>
      </c>
      <c r="F378" s="723" t="s">
        <v>2532</v>
      </c>
      <c r="G378" s="705" t="s">
        <v>3097</v>
      </c>
      <c r="H378" s="705" t="s">
        <v>3098</v>
      </c>
      <c r="I378" s="238">
        <v>5395.5</v>
      </c>
      <c r="J378" s="238">
        <v>12</v>
      </c>
      <c r="K378" s="713">
        <v>64746</v>
      </c>
    </row>
    <row r="379" spans="1:11" ht="14.4" customHeight="1" x14ac:dyDescent="0.3">
      <c r="A379" s="680" t="s">
        <v>534</v>
      </c>
      <c r="B379" s="671" t="s">
        <v>536</v>
      </c>
      <c r="C379" s="705" t="s">
        <v>556</v>
      </c>
      <c r="D379" s="723" t="s">
        <v>557</v>
      </c>
      <c r="E379" s="705" t="s">
        <v>2531</v>
      </c>
      <c r="F379" s="723" t="s">
        <v>2532</v>
      </c>
      <c r="G379" s="705" t="s">
        <v>3099</v>
      </c>
      <c r="H379" s="705" t="s">
        <v>3100</v>
      </c>
      <c r="I379" s="238">
        <v>139.26</v>
      </c>
      <c r="J379" s="238">
        <v>720</v>
      </c>
      <c r="K379" s="713">
        <v>100266.41</v>
      </c>
    </row>
    <row r="380" spans="1:11" ht="14.4" customHeight="1" x14ac:dyDescent="0.3">
      <c r="A380" s="680" t="s">
        <v>534</v>
      </c>
      <c r="B380" s="671" t="s">
        <v>536</v>
      </c>
      <c r="C380" s="705" t="s">
        <v>556</v>
      </c>
      <c r="D380" s="723" t="s">
        <v>557</v>
      </c>
      <c r="E380" s="705" t="s">
        <v>2531</v>
      </c>
      <c r="F380" s="723" t="s">
        <v>2532</v>
      </c>
      <c r="G380" s="705" t="s">
        <v>3101</v>
      </c>
      <c r="H380" s="705" t="s">
        <v>3102</v>
      </c>
      <c r="I380" s="238">
        <v>3162.94</v>
      </c>
      <c r="J380" s="238">
        <v>4</v>
      </c>
      <c r="K380" s="713">
        <v>12651.76</v>
      </c>
    </row>
    <row r="381" spans="1:11" ht="14.4" customHeight="1" x14ac:dyDescent="0.3">
      <c r="A381" s="680" t="s">
        <v>534</v>
      </c>
      <c r="B381" s="671" t="s">
        <v>536</v>
      </c>
      <c r="C381" s="705" t="s">
        <v>556</v>
      </c>
      <c r="D381" s="723" t="s">
        <v>557</v>
      </c>
      <c r="E381" s="705" t="s">
        <v>2531</v>
      </c>
      <c r="F381" s="723" t="s">
        <v>2532</v>
      </c>
      <c r="G381" s="705" t="s">
        <v>3103</v>
      </c>
      <c r="H381" s="705" t="s">
        <v>3104</v>
      </c>
      <c r="I381" s="238">
        <v>4751.67</v>
      </c>
      <c r="J381" s="238">
        <v>2</v>
      </c>
      <c r="K381" s="713">
        <v>9503.34</v>
      </c>
    </row>
    <row r="382" spans="1:11" ht="14.4" customHeight="1" x14ac:dyDescent="0.3">
      <c r="A382" s="680" t="s">
        <v>534</v>
      </c>
      <c r="B382" s="671" t="s">
        <v>536</v>
      </c>
      <c r="C382" s="705" t="s">
        <v>556</v>
      </c>
      <c r="D382" s="723" t="s">
        <v>557</v>
      </c>
      <c r="E382" s="705" t="s">
        <v>2531</v>
      </c>
      <c r="F382" s="723" t="s">
        <v>2532</v>
      </c>
      <c r="G382" s="705" t="s">
        <v>3105</v>
      </c>
      <c r="H382" s="705" t="s">
        <v>3106</v>
      </c>
      <c r="I382" s="238">
        <v>5131.6350000000002</v>
      </c>
      <c r="J382" s="238">
        <v>2</v>
      </c>
      <c r="K382" s="713">
        <v>10263.27</v>
      </c>
    </row>
    <row r="383" spans="1:11" ht="14.4" customHeight="1" x14ac:dyDescent="0.3">
      <c r="A383" s="680" t="s">
        <v>534</v>
      </c>
      <c r="B383" s="671" t="s">
        <v>536</v>
      </c>
      <c r="C383" s="705" t="s">
        <v>556</v>
      </c>
      <c r="D383" s="723" t="s">
        <v>557</v>
      </c>
      <c r="E383" s="705" t="s">
        <v>2531</v>
      </c>
      <c r="F383" s="723" t="s">
        <v>2532</v>
      </c>
      <c r="G383" s="705" t="s">
        <v>3107</v>
      </c>
      <c r="H383" s="705" t="s">
        <v>3108</v>
      </c>
      <c r="I383" s="238">
        <v>3162.94</v>
      </c>
      <c r="J383" s="238">
        <v>1</v>
      </c>
      <c r="K383" s="713">
        <v>3162.94</v>
      </c>
    </row>
    <row r="384" spans="1:11" ht="14.4" customHeight="1" x14ac:dyDescent="0.3">
      <c r="A384" s="680" t="s">
        <v>534</v>
      </c>
      <c r="B384" s="671" t="s">
        <v>536</v>
      </c>
      <c r="C384" s="705" t="s">
        <v>556</v>
      </c>
      <c r="D384" s="723" t="s">
        <v>557</v>
      </c>
      <c r="E384" s="705" t="s">
        <v>2531</v>
      </c>
      <c r="F384" s="723" t="s">
        <v>2532</v>
      </c>
      <c r="G384" s="705" t="s">
        <v>3109</v>
      </c>
      <c r="H384" s="705" t="s">
        <v>3110</v>
      </c>
      <c r="I384" s="238">
        <v>548.13</v>
      </c>
      <c r="J384" s="238">
        <v>40</v>
      </c>
      <c r="K384" s="713">
        <v>21925.200000000001</v>
      </c>
    </row>
    <row r="385" spans="1:11" ht="14.4" customHeight="1" x14ac:dyDescent="0.3">
      <c r="A385" s="680" t="s">
        <v>534</v>
      </c>
      <c r="B385" s="671" t="s">
        <v>536</v>
      </c>
      <c r="C385" s="705" t="s">
        <v>556</v>
      </c>
      <c r="D385" s="723" t="s">
        <v>557</v>
      </c>
      <c r="E385" s="705" t="s">
        <v>2531</v>
      </c>
      <c r="F385" s="723" t="s">
        <v>2532</v>
      </c>
      <c r="G385" s="705" t="s">
        <v>3111</v>
      </c>
      <c r="H385" s="705" t="s">
        <v>3112</v>
      </c>
      <c r="I385" s="238">
        <v>1.21</v>
      </c>
      <c r="J385" s="238">
        <v>1</v>
      </c>
      <c r="K385" s="713">
        <v>1.21</v>
      </c>
    </row>
    <row r="386" spans="1:11" ht="14.4" customHeight="1" x14ac:dyDescent="0.3">
      <c r="A386" s="680" t="s">
        <v>534</v>
      </c>
      <c r="B386" s="671" t="s">
        <v>536</v>
      </c>
      <c r="C386" s="705" t="s">
        <v>556</v>
      </c>
      <c r="D386" s="723" t="s">
        <v>557</v>
      </c>
      <c r="E386" s="705" t="s">
        <v>2531</v>
      </c>
      <c r="F386" s="723" t="s">
        <v>2532</v>
      </c>
      <c r="G386" s="705" t="s">
        <v>3113</v>
      </c>
      <c r="H386" s="705" t="s">
        <v>3114</v>
      </c>
      <c r="I386" s="238">
        <v>232.32</v>
      </c>
      <c r="J386" s="238">
        <v>10</v>
      </c>
      <c r="K386" s="713">
        <v>2323.1999999999998</v>
      </c>
    </row>
    <row r="387" spans="1:11" ht="14.4" customHeight="1" x14ac:dyDescent="0.3">
      <c r="A387" s="680" t="s">
        <v>534</v>
      </c>
      <c r="B387" s="671" t="s">
        <v>536</v>
      </c>
      <c r="C387" s="705" t="s">
        <v>556</v>
      </c>
      <c r="D387" s="723" t="s">
        <v>557</v>
      </c>
      <c r="E387" s="705" t="s">
        <v>2531</v>
      </c>
      <c r="F387" s="723" t="s">
        <v>2532</v>
      </c>
      <c r="G387" s="705" t="s">
        <v>3115</v>
      </c>
      <c r="H387" s="705" t="s">
        <v>3116</v>
      </c>
      <c r="I387" s="238">
        <v>1800</v>
      </c>
      <c r="J387" s="238">
        <v>1</v>
      </c>
      <c r="K387" s="713">
        <v>1800</v>
      </c>
    </row>
    <row r="388" spans="1:11" ht="14.4" customHeight="1" x14ac:dyDescent="0.3">
      <c r="A388" s="680" t="s">
        <v>534</v>
      </c>
      <c r="B388" s="671" t="s">
        <v>536</v>
      </c>
      <c r="C388" s="705" t="s">
        <v>556</v>
      </c>
      <c r="D388" s="723" t="s">
        <v>557</v>
      </c>
      <c r="E388" s="705" t="s">
        <v>2531</v>
      </c>
      <c r="F388" s="723" t="s">
        <v>2532</v>
      </c>
      <c r="G388" s="705" t="s">
        <v>3117</v>
      </c>
      <c r="H388" s="705" t="s">
        <v>3118</v>
      </c>
      <c r="I388" s="238">
        <v>1324.95</v>
      </c>
      <c r="J388" s="238">
        <v>5</v>
      </c>
      <c r="K388" s="713">
        <v>6624.75</v>
      </c>
    </row>
    <row r="389" spans="1:11" ht="14.4" customHeight="1" x14ac:dyDescent="0.3">
      <c r="A389" s="680" t="s">
        <v>534</v>
      </c>
      <c r="B389" s="671" t="s">
        <v>536</v>
      </c>
      <c r="C389" s="705" t="s">
        <v>556</v>
      </c>
      <c r="D389" s="723" t="s">
        <v>557</v>
      </c>
      <c r="E389" s="705" t="s">
        <v>2531</v>
      </c>
      <c r="F389" s="723" t="s">
        <v>2532</v>
      </c>
      <c r="G389" s="705" t="s">
        <v>3119</v>
      </c>
      <c r="H389" s="705" t="s">
        <v>3120</v>
      </c>
      <c r="I389" s="238">
        <v>15.81</v>
      </c>
      <c r="J389" s="238">
        <v>75</v>
      </c>
      <c r="K389" s="713">
        <v>1185.5899999999999</v>
      </c>
    </row>
    <row r="390" spans="1:11" ht="14.4" customHeight="1" x14ac:dyDescent="0.3">
      <c r="A390" s="680" t="s">
        <v>534</v>
      </c>
      <c r="B390" s="671" t="s">
        <v>536</v>
      </c>
      <c r="C390" s="705" t="s">
        <v>556</v>
      </c>
      <c r="D390" s="723" t="s">
        <v>557</v>
      </c>
      <c r="E390" s="705" t="s">
        <v>2531</v>
      </c>
      <c r="F390" s="723" t="s">
        <v>2532</v>
      </c>
      <c r="G390" s="705" t="s">
        <v>3121</v>
      </c>
      <c r="H390" s="705" t="s">
        <v>3122</v>
      </c>
      <c r="I390" s="238">
        <v>200.05</v>
      </c>
      <c r="J390" s="238">
        <v>18</v>
      </c>
      <c r="K390" s="713">
        <v>3600.96</v>
      </c>
    </row>
    <row r="391" spans="1:11" ht="14.4" customHeight="1" x14ac:dyDescent="0.3">
      <c r="A391" s="680" t="s">
        <v>534</v>
      </c>
      <c r="B391" s="671" t="s">
        <v>536</v>
      </c>
      <c r="C391" s="705" t="s">
        <v>556</v>
      </c>
      <c r="D391" s="723" t="s">
        <v>557</v>
      </c>
      <c r="E391" s="705" t="s">
        <v>2531</v>
      </c>
      <c r="F391" s="723" t="s">
        <v>2532</v>
      </c>
      <c r="G391" s="705" t="s">
        <v>3123</v>
      </c>
      <c r="H391" s="705" t="s">
        <v>3124</v>
      </c>
      <c r="I391" s="238">
        <v>58685</v>
      </c>
      <c r="J391" s="238">
        <v>4</v>
      </c>
      <c r="K391" s="713">
        <v>234740</v>
      </c>
    </row>
    <row r="392" spans="1:11" ht="14.4" customHeight="1" x14ac:dyDescent="0.3">
      <c r="A392" s="680" t="s">
        <v>534</v>
      </c>
      <c r="B392" s="671" t="s">
        <v>536</v>
      </c>
      <c r="C392" s="705" t="s">
        <v>556</v>
      </c>
      <c r="D392" s="723" t="s">
        <v>557</v>
      </c>
      <c r="E392" s="705" t="s">
        <v>2531</v>
      </c>
      <c r="F392" s="723" t="s">
        <v>2532</v>
      </c>
      <c r="G392" s="705" t="s">
        <v>3125</v>
      </c>
      <c r="H392" s="705" t="s">
        <v>3126</v>
      </c>
      <c r="I392" s="238">
        <v>1800</v>
      </c>
      <c r="J392" s="238">
        <v>1</v>
      </c>
      <c r="K392" s="713">
        <v>1800</v>
      </c>
    </row>
    <row r="393" spans="1:11" ht="14.4" customHeight="1" x14ac:dyDescent="0.3">
      <c r="A393" s="680" t="s">
        <v>534</v>
      </c>
      <c r="B393" s="671" t="s">
        <v>536</v>
      </c>
      <c r="C393" s="705" t="s">
        <v>556</v>
      </c>
      <c r="D393" s="723" t="s">
        <v>557</v>
      </c>
      <c r="E393" s="705" t="s">
        <v>2531</v>
      </c>
      <c r="F393" s="723" t="s">
        <v>2532</v>
      </c>
      <c r="G393" s="705" t="s">
        <v>3127</v>
      </c>
      <c r="H393" s="705" t="s">
        <v>3128</v>
      </c>
      <c r="I393" s="238">
        <v>1649.98</v>
      </c>
      <c r="J393" s="238">
        <v>21</v>
      </c>
      <c r="K393" s="713">
        <v>34649.47</v>
      </c>
    </row>
    <row r="394" spans="1:11" ht="14.4" customHeight="1" x14ac:dyDescent="0.3">
      <c r="A394" s="680" t="s">
        <v>534</v>
      </c>
      <c r="B394" s="671" t="s">
        <v>536</v>
      </c>
      <c r="C394" s="705" t="s">
        <v>556</v>
      </c>
      <c r="D394" s="723" t="s">
        <v>557</v>
      </c>
      <c r="E394" s="705" t="s">
        <v>2531</v>
      </c>
      <c r="F394" s="723" t="s">
        <v>2532</v>
      </c>
      <c r="G394" s="705" t="s">
        <v>3129</v>
      </c>
      <c r="H394" s="705" t="s">
        <v>3130</v>
      </c>
      <c r="I394" s="238">
        <v>824.01</v>
      </c>
      <c r="J394" s="238">
        <v>10</v>
      </c>
      <c r="K394" s="713">
        <v>8240.1</v>
      </c>
    </row>
    <row r="395" spans="1:11" ht="14.4" customHeight="1" x14ac:dyDescent="0.3">
      <c r="A395" s="680" t="s">
        <v>534</v>
      </c>
      <c r="B395" s="671" t="s">
        <v>536</v>
      </c>
      <c r="C395" s="705" t="s">
        <v>556</v>
      </c>
      <c r="D395" s="723" t="s">
        <v>557</v>
      </c>
      <c r="E395" s="705" t="s">
        <v>2531</v>
      </c>
      <c r="F395" s="723" t="s">
        <v>2532</v>
      </c>
      <c r="G395" s="705" t="s">
        <v>3131</v>
      </c>
      <c r="H395" s="705" t="s">
        <v>3132</v>
      </c>
      <c r="I395" s="238">
        <v>45.13</v>
      </c>
      <c r="J395" s="238">
        <v>20</v>
      </c>
      <c r="K395" s="713">
        <v>902.66</v>
      </c>
    </row>
    <row r="396" spans="1:11" ht="14.4" customHeight="1" x14ac:dyDescent="0.3">
      <c r="A396" s="680" t="s">
        <v>534</v>
      </c>
      <c r="B396" s="671" t="s">
        <v>536</v>
      </c>
      <c r="C396" s="705" t="s">
        <v>556</v>
      </c>
      <c r="D396" s="723" t="s">
        <v>557</v>
      </c>
      <c r="E396" s="705" t="s">
        <v>2531</v>
      </c>
      <c r="F396" s="723" t="s">
        <v>2532</v>
      </c>
      <c r="G396" s="705" t="s">
        <v>3133</v>
      </c>
      <c r="H396" s="705" t="s">
        <v>3134</v>
      </c>
      <c r="I396" s="238">
        <v>12500</v>
      </c>
      <c r="J396" s="238">
        <v>2</v>
      </c>
      <c r="K396" s="713">
        <v>25000</v>
      </c>
    </row>
    <row r="397" spans="1:11" ht="14.4" customHeight="1" x14ac:dyDescent="0.3">
      <c r="A397" s="680" t="s">
        <v>534</v>
      </c>
      <c r="B397" s="671" t="s">
        <v>536</v>
      </c>
      <c r="C397" s="705" t="s">
        <v>556</v>
      </c>
      <c r="D397" s="723" t="s">
        <v>557</v>
      </c>
      <c r="E397" s="705" t="s">
        <v>2531</v>
      </c>
      <c r="F397" s="723" t="s">
        <v>2532</v>
      </c>
      <c r="G397" s="705" t="s">
        <v>3135</v>
      </c>
      <c r="H397" s="705" t="s">
        <v>3136</v>
      </c>
      <c r="I397" s="238">
        <v>6438</v>
      </c>
      <c r="J397" s="238">
        <v>2</v>
      </c>
      <c r="K397" s="713">
        <v>12876</v>
      </c>
    </row>
    <row r="398" spans="1:11" ht="14.4" customHeight="1" x14ac:dyDescent="0.3">
      <c r="A398" s="680" t="s">
        <v>534</v>
      </c>
      <c r="B398" s="671" t="s">
        <v>536</v>
      </c>
      <c r="C398" s="705" t="s">
        <v>556</v>
      </c>
      <c r="D398" s="723" t="s">
        <v>557</v>
      </c>
      <c r="E398" s="705" t="s">
        <v>2531</v>
      </c>
      <c r="F398" s="723" t="s">
        <v>2532</v>
      </c>
      <c r="G398" s="705" t="s">
        <v>3137</v>
      </c>
      <c r="H398" s="705" t="s">
        <v>3138</v>
      </c>
      <c r="I398" s="238">
        <v>900.97</v>
      </c>
      <c r="J398" s="238">
        <v>9</v>
      </c>
      <c r="K398" s="713">
        <v>8108.71</v>
      </c>
    </row>
    <row r="399" spans="1:11" ht="14.4" customHeight="1" x14ac:dyDescent="0.3">
      <c r="A399" s="680" t="s">
        <v>534</v>
      </c>
      <c r="B399" s="671" t="s">
        <v>536</v>
      </c>
      <c r="C399" s="705" t="s">
        <v>556</v>
      </c>
      <c r="D399" s="723" t="s">
        <v>557</v>
      </c>
      <c r="E399" s="705" t="s">
        <v>2531</v>
      </c>
      <c r="F399" s="723" t="s">
        <v>2532</v>
      </c>
      <c r="G399" s="705" t="s">
        <v>3139</v>
      </c>
      <c r="H399" s="705" t="s">
        <v>3140</v>
      </c>
      <c r="I399" s="238">
        <v>467.01</v>
      </c>
      <c r="J399" s="238">
        <v>5</v>
      </c>
      <c r="K399" s="713">
        <v>2335.06</v>
      </c>
    </row>
    <row r="400" spans="1:11" ht="14.4" customHeight="1" x14ac:dyDescent="0.3">
      <c r="A400" s="680" t="s">
        <v>534</v>
      </c>
      <c r="B400" s="671" t="s">
        <v>536</v>
      </c>
      <c r="C400" s="705" t="s">
        <v>556</v>
      </c>
      <c r="D400" s="723" t="s">
        <v>557</v>
      </c>
      <c r="E400" s="705" t="s">
        <v>2531</v>
      </c>
      <c r="F400" s="723" t="s">
        <v>2532</v>
      </c>
      <c r="G400" s="705" t="s">
        <v>3141</v>
      </c>
      <c r="H400" s="705" t="s">
        <v>3142</v>
      </c>
      <c r="I400" s="238">
        <v>7690</v>
      </c>
      <c r="J400" s="238">
        <v>1</v>
      </c>
      <c r="K400" s="713">
        <v>7690</v>
      </c>
    </row>
    <row r="401" spans="1:11" ht="14.4" customHeight="1" x14ac:dyDescent="0.3">
      <c r="A401" s="680" t="s">
        <v>534</v>
      </c>
      <c r="B401" s="671" t="s">
        <v>536</v>
      </c>
      <c r="C401" s="705" t="s">
        <v>556</v>
      </c>
      <c r="D401" s="723" t="s">
        <v>557</v>
      </c>
      <c r="E401" s="705" t="s">
        <v>2535</v>
      </c>
      <c r="F401" s="723" t="s">
        <v>2536</v>
      </c>
      <c r="G401" s="705" t="s">
        <v>3143</v>
      </c>
      <c r="H401" s="705" t="s">
        <v>3144</v>
      </c>
      <c r="I401" s="238">
        <v>20895.5</v>
      </c>
      <c r="J401" s="238">
        <v>2</v>
      </c>
      <c r="K401" s="713">
        <v>41791</v>
      </c>
    </row>
    <row r="402" spans="1:11" ht="14.4" customHeight="1" x14ac:dyDescent="0.3">
      <c r="A402" s="680" t="s">
        <v>534</v>
      </c>
      <c r="B402" s="671" t="s">
        <v>536</v>
      </c>
      <c r="C402" s="705" t="s">
        <v>556</v>
      </c>
      <c r="D402" s="723" t="s">
        <v>557</v>
      </c>
      <c r="E402" s="705" t="s">
        <v>2535</v>
      </c>
      <c r="F402" s="723" t="s">
        <v>2536</v>
      </c>
      <c r="G402" s="705" t="s">
        <v>3145</v>
      </c>
      <c r="H402" s="705" t="s">
        <v>3146</v>
      </c>
      <c r="I402" s="238">
        <v>42940</v>
      </c>
      <c r="J402" s="238">
        <v>2</v>
      </c>
      <c r="K402" s="713">
        <v>85880</v>
      </c>
    </row>
    <row r="403" spans="1:11" ht="14.4" customHeight="1" x14ac:dyDescent="0.3">
      <c r="A403" s="680" t="s">
        <v>534</v>
      </c>
      <c r="B403" s="671" t="s">
        <v>536</v>
      </c>
      <c r="C403" s="705" t="s">
        <v>556</v>
      </c>
      <c r="D403" s="723" t="s">
        <v>557</v>
      </c>
      <c r="E403" s="705" t="s">
        <v>2535</v>
      </c>
      <c r="F403" s="723" t="s">
        <v>2536</v>
      </c>
      <c r="G403" s="705" t="s">
        <v>3147</v>
      </c>
      <c r="H403" s="705" t="s">
        <v>3148</v>
      </c>
      <c r="I403" s="238">
        <v>40560</v>
      </c>
      <c r="J403" s="238">
        <v>3</v>
      </c>
      <c r="K403" s="713">
        <v>121680</v>
      </c>
    </row>
    <row r="404" spans="1:11" ht="14.4" customHeight="1" x14ac:dyDescent="0.3">
      <c r="A404" s="680" t="s">
        <v>534</v>
      </c>
      <c r="B404" s="671" t="s">
        <v>536</v>
      </c>
      <c r="C404" s="705" t="s">
        <v>556</v>
      </c>
      <c r="D404" s="723" t="s">
        <v>557</v>
      </c>
      <c r="E404" s="705" t="s">
        <v>2535</v>
      </c>
      <c r="F404" s="723" t="s">
        <v>2536</v>
      </c>
      <c r="G404" s="705" t="s">
        <v>3149</v>
      </c>
      <c r="H404" s="705" t="s">
        <v>3150</v>
      </c>
      <c r="I404" s="238">
        <v>40560</v>
      </c>
      <c r="J404" s="238">
        <v>1</v>
      </c>
      <c r="K404" s="713">
        <v>40560</v>
      </c>
    </row>
    <row r="405" spans="1:11" ht="14.4" customHeight="1" x14ac:dyDescent="0.3">
      <c r="A405" s="680" t="s">
        <v>534</v>
      </c>
      <c r="B405" s="671" t="s">
        <v>536</v>
      </c>
      <c r="C405" s="705" t="s">
        <v>556</v>
      </c>
      <c r="D405" s="723" t="s">
        <v>557</v>
      </c>
      <c r="E405" s="705" t="s">
        <v>2535</v>
      </c>
      <c r="F405" s="723" t="s">
        <v>2536</v>
      </c>
      <c r="G405" s="705" t="s">
        <v>3151</v>
      </c>
      <c r="H405" s="705" t="s">
        <v>3152</v>
      </c>
      <c r="I405" s="238">
        <v>1121.76</v>
      </c>
      <c r="J405" s="238">
        <v>12</v>
      </c>
      <c r="K405" s="713">
        <v>13461.1</v>
      </c>
    </row>
    <row r="406" spans="1:11" ht="14.4" customHeight="1" x14ac:dyDescent="0.3">
      <c r="A406" s="680" t="s">
        <v>534</v>
      </c>
      <c r="B406" s="671" t="s">
        <v>536</v>
      </c>
      <c r="C406" s="705" t="s">
        <v>556</v>
      </c>
      <c r="D406" s="723" t="s">
        <v>557</v>
      </c>
      <c r="E406" s="705" t="s">
        <v>2535</v>
      </c>
      <c r="F406" s="723" t="s">
        <v>2536</v>
      </c>
      <c r="G406" s="705" t="s">
        <v>3153</v>
      </c>
      <c r="H406" s="705" t="s">
        <v>3154</v>
      </c>
      <c r="I406" s="238">
        <v>1121.76</v>
      </c>
      <c r="J406" s="238">
        <v>5</v>
      </c>
      <c r="K406" s="713">
        <v>5608.78</v>
      </c>
    </row>
    <row r="407" spans="1:11" ht="14.4" customHeight="1" x14ac:dyDescent="0.3">
      <c r="A407" s="680" t="s">
        <v>534</v>
      </c>
      <c r="B407" s="671" t="s">
        <v>536</v>
      </c>
      <c r="C407" s="705" t="s">
        <v>556</v>
      </c>
      <c r="D407" s="723" t="s">
        <v>557</v>
      </c>
      <c r="E407" s="705" t="s">
        <v>2535</v>
      </c>
      <c r="F407" s="723" t="s">
        <v>2536</v>
      </c>
      <c r="G407" s="705" t="s">
        <v>3155</v>
      </c>
      <c r="H407" s="705" t="s">
        <v>3156</v>
      </c>
      <c r="I407" s="238">
        <v>9158.76</v>
      </c>
      <c r="J407" s="238">
        <v>2</v>
      </c>
      <c r="K407" s="713">
        <v>18317.52</v>
      </c>
    </row>
    <row r="408" spans="1:11" ht="14.4" customHeight="1" x14ac:dyDescent="0.3">
      <c r="A408" s="680" t="s">
        <v>534</v>
      </c>
      <c r="B408" s="671" t="s">
        <v>536</v>
      </c>
      <c r="C408" s="705" t="s">
        <v>556</v>
      </c>
      <c r="D408" s="723" t="s">
        <v>557</v>
      </c>
      <c r="E408" s="705" t="s">
        <v>2535</v>
      </c>
      <c r="F408" s="723" t="s">
        <v>2536</v>
      </c>
      <c r="G408" s="705" t="s">
        <v>3157</v>
      </c>
      <c r="H408" s="705" t="s">
        <v>3158</v>
      </c>
      <c r="I408" s="238">
        <v>1121.76</v>
      </c>
      <c r="J408" s="238">
        <v>2</v>
      </c>
      <c r="K408" s="713">
        <v>2243.52</v>
      </c>
    </row>
    <row r="409" spans="1:11" ht="14.4" customHeight="1" x14ac:dyDescent="0.3">
      <c r="A409" s="680" t="s">
        <v>534</v>
      </c>
      <c r="B409" s="671" t="s">
        <v>536</v>
      </c>
      <c r="C409" s="705" t="s">
        <v>556</v>
      </c>
      <c r="D409" s="723" t="s">
        <v>557</v>
      </c>
      <c r="E409" s="705" t="s">
        <v>2535</v>
      </c>
      <c r="F409" s="723" t="s">
        <v>2536</v>
      </c>
      <c r="G409" s="705" t="s">
        <v>3159</v>
      </c>
      <c r="H409" s="705" t="s">
        <v>3160</v>
      </c>
      <c r="I409" s="238">
        <v>1121.76</v>
      </c>
      <c r="J409" s="238">
        <v>8</v>
      </c>
      <c r="K409" s="713">
        <v>8974.08</v>
      </c>
    </row>
    <row r="410" spans="1:11" ht="14.4" customHeight="1" x14ac:dyDescent="0.3">
      <c r="A410" s="680" t="s">
        <v>534</v>
      </c>
      <c r="B410" s="671" t="s">
        <v>536</v>
      </c>
      <c r="C410" s="705" t="s">
        <v>556</v>
      </c>
      <c r="D410" s="723" t="s">
        <v>557</v>
      </c>
      <c r="E410" s="705" t="s">
        <v>2535</v>
      </c>
      <c r="F410" s="723" t="s">
        <v>2536</v>
      </c>
      <c r="G410" s="705" t="s">
        <v>3161</v>
      </c>
      <c r="H410" s="705" t="s">
        <v>3162</v>
      </c>
      <c r="I410" s="238">
        <v>1425.0141176470588</v>
      </c>
      <c r="J410" s="238">
        <v>85</v>
      </c>
      <c r="K410" s="713">
        <v>121126.20000000003</v>
      </c>
    </row>
    <row r="411" spans="1:11" ht="14.4" customHeight="1" x14ac:dyDescent="0.3">
      <c r="A411" s="680" t="s">
        <v>534</v>
      </c>
      <c r="B411" s="671" t="s">
        <v>536</v>
      </c>
      <c r="C411" s="705" t="s">
        <v>556</v>
      </c>
      <c r="D411" s="723" t="s">
        <v>557</v>
      </c>
      <c r="E411" s="705" t="s">
        <v>2535</v>
      </c>
      <c r="F411" s="723" t="s">
        <v>2536</v>
      </c>
      <c r="G411" s="705" t="s">
        <v>3163</v>
      </c>
      <c r="H411" s="705" t="s">
        <v>3164</v>
      </c>
      <c r="I411" s="238">
        <v>8025.6</v>
      </c>
      <c r="J411" s="238">
        <v>1</v>
      </c>
      <c r="K411" s="713">
        <v>8025.6</v>
      </c>
    </row>
    <row r="412" spans="1:11" ht="14.4" customHeight="1" x14ac:dyDescent="0.3">
      <c r="A412" s="680" t="s">
        <v>534</v>
      </c>
      <c r="B412" s="671" t="s">
        <v>536</v>
      </c>
      <c r="C412" s="705" t="s">
        <v>556</v>
      </c>
      <c r="D412" s="723" t="s">
        <v>557</v>
      </c>
      <c r="E412" s="705" t="s">
        <v>2535</v>
      </c>
      <c r="F412" s="723" t="s">
        <v>2536</v>
      </c>
      <c r="G412" s="705" t="s">
        <v>3165</v>
      </c>
      <c r="H412" s="705" t="s">
        <v>3166</v>
      </c>
      <c r="I412" s="238">
        <v>15801</v>
      </c>
      <c r="J412" s="238">
        <v>2</v>
      </c>
      <c r="K412" s="713">
        <v>31602</v>
      </c>
    </row>
    <row r="413" spans="1:11" ht="14.4" customHeight="1" x14ac:dyDescent="0.3">
      <c r="A413" s="680" t="s">
        <v>534</v>
      </c>
      <c r="B413" s="671" t="s">
        <v>536</v>
      </c>
      <c r="C413" s="705" t="s">
        <v>556</v>
      </c>
      <c r="D413" s="723" t="s">
        <v>557</v>
      </c>
      <c r="E413" s="705" t="s">
        <v>2537</v>
      </c>
      <c r="F413" s="723" t="s">
        <v>2538</v>
      </c>
      <c r="G413" s="705" t="s">
        <v>3167</v>
      </c>
      <c r="H413" s="705" t="s">
        <v>3168</v>
      </c>
      <c r="I413" s="238">
        <v>7.02</v>
      </c>
      <c r="J413" s="238">
        <v>6</v>
      </c>
      <c r="K413" s="713">
        <v>42.09</v>
      </c>
    </row>
    <row r="414" spans="1:11" ht="14.4" customHeight="1" x14ac:dyDescent="0.3">
      <c r="A414" s="680" t="s">
        <v>534</v>
      </c>
      <c r="B414" s="671" t="s">
        <v>536</v>
      </c>
      <c r="C414" s="705" t="s">
        <v>556</v>
      </c>
      <c r="D414" s="723" t="s">
        <v>557</v>
      </c>
      <c r="E414" s="705" t="s">
        <v>2537</v>
      </c>
      <c r="F414" s="723" t="s">
        <v>2538</v>
      </c>
      <c r="G414" s="705" t="s">
        <v>3169</v>
      </c>
      <c r="H414" s="705" t="s">
        <v>3170</v>
      </c>
      <c r="I414" s="238">
        <v>7.01</v>
      </c>
      <c r="J414" s="238">
        <v>4</v>
      </c>
      <c r="K414" s="713">
        <v>28.06</v>
      </c>
    </row>
    <row r="415" spans="1:11" ht="14.4" customHeight="1" x14ac:dyDescent="0.3">
      <c r="A415" s="680" t="s">
        <v>534</v>
      </c>
      <c r="B415" s="671" t="s">
        <v>536</v>
      </c>
      <c r="C415" s="705" t="s">
        <v>556</v>
      </c>
      <c r="D415" s="723" t="s">
        <v>557</v>
      </c>
      <c r="E415" s="705" t="s">
        <v>2537</v>
      </c>
      <c r="F415" s="723" t="s">
        <v>2538</v>
      </c>
      <c r="G415" s="705" t="s">
        <v>3171</v>
      </c>
      <c r="H415" s="705" t="s">
        <v>3172</v>
      </c>
      <c r="I415" s="238">
        <v>7.01</v>
      </c>
      <c r="J415" s="238">
        <v>4</v>
      </c>
      <c r="K415" s="713">
        <v>28.06</v>
      </c>
    </row>
    <row r="416" spans="1:11" ht="14.4" customHeight="1" x14ac:dyDescent="0.3">
      <c r="A416" s="680" t="s">
        <v>534</v>
      </c>
      <c r="B416" s="671" t="s">
        <v>536</v>
      </c>
      <c r="C416" s="705" t="s">
        <v>556</v>
      </c>
      <c r="D416" s="723" t="s">
        <v>557</v>
      </c>
      <c r="E416" s="705" t="s">
        <v>2537</v>
      </c>
      <c r="F416" s="723" t="s">
        <v>2538</v>
      </c>
      <c r="G416" s="705" t="s">
        <v>3173</v>
      </c>
      <c r="H416" s="705" t="s">
        <v>3174</v>
      </c>
      <c r="I416" s="238">
        <v>1169.3</v>
      </c>
      <c r="J416" s="238">
        <v>35</v>
      </c>
      <c r="K416" s="713">
        <v>40925.339999999997</v>
      </c>
    </row>
    <row r="417" spans="1:11" ht="14.4" customHeight="1" x14ac:dyDescent="0.3">
      <c r="A417" s="680" t="s">
        <v>534</v>
      </c>
      <c r="B417" s="671" t="s">
        <v>536</v>
      </c>
      <c r="C417" s="705" t="s">
        <v>556</v>
      </c>
      <c r="D417" s="723" t="s">
        <v>557</v>
      </c>
      <c r="E417" s="705" t="s">
        <v>2537</v>
      </c>
      <c r="F417" s="723" t="s">
        <v>2538</v>
      </c>
      <c r="G417" s="705" t="s">
        <v>3175</v>
      </c>
      <c r="H417" s="705" t="s">
        <v>3176</v>
      </c>
      <c r="I417" s="238">
        <v>1186.6500000000001</v>
      </c>
      <c r="J417" s="238">
        <v>20</v>
      </c>
      <c r="K417" s="713">
        <v>23732.94</v>
      </c>
    </row>
    <row r="418" spans="1:11" ht="14.4" customHeight="1" x14ac:dyDescent="0.3">
      <c r="A418" s="680" t="s">
        <v>534</v>
      </c>
      <c r="B418" s="671" t="s">
        <v>536</v>
      </c>
      <c r="C418" s="705" t="s">
        <v>556</v>
      </c>
      <c r="D418" s="723" t="s">
        <v>557</v>
      </c>
      <c r="E418" s="705" t="s">
        <v>2537</v>
      </c>
      <c r="F418" s="723" t="s">
        <v>2538</v>
      </c>
      <c r="G418" s="705" t="s">
        <v>3177</v>
      </c>
      <c r="H418" s="705" t="s">
        <v>3178</v>
      </c>
      <c r="I418" s="238">
        <v>928.2</v>
      </c>
      <c r="J418" s="238">
        <v>10</v>
      </c>
      <c r="K418" s="713">
        <v>9282.0300000000007</v>
      </c>
    </row>
    <row r="419" spans="1:11" ht="14.4" customHeight="1" x14ac:dyDescent="0.3">
      <c r="A419" s="680" t="s">
        <v>534</v>
      </c>
      <c r="B419" s="671" t="s">
        <v>536</v>
      </c>
      <c r="C419" s="705" t="s">
        <v>556</v>
      </c>
      <c r="D419" s="723" t="s">
        <v>557</v>
      </c>
      <c r="E419" s="705" t="s">
        <v>2537</v>
      </c>
      <c r="F419" s="723" t="s">
        <v>2538</v>
      </c>
      <c r="G419" s="705" t="s">
        <v>3179</v>
      </c>
      <c r="H419" s="705" t="s">
        <v>3180</v>
      </c>
      <c r="I419" s="238">
        <v>1188</v>
      </c>
      <c r="J419" s="238">
        <v>25</v>
      </c>
      <c r="K419" s="713">
        <v>29700.05</v>
      </c>
    </row>
    <row r="420" spans="1:11" ht="14.4" customHeight="1" x14ac:dyDescent="0.3">
      <c r="A420" s="680" t="s">
        <v>534</v>
      </c>
      <c r="B420" s="671" t="s">
        <v>536</v>
      </c>
      <c r="C420" s="705" t="s">
        <v>556</v>
      </c>
      <c r="D420" s="723" t="s">
        <v>557</v>
      </c>
      <c r="E420" s="705" t="s">
        <v>2537</v>
      </c>
      <c r="F420" s="723" t="s">
        <v>2538</v>
      </c>
      <c r="G420" s="705" t="s">
        <v>3181</v>
      </c>
      <c r="H420" s="705" t="s">
        <v>3182</v>
      </c>
      <c r="I420" s="238">
        <v>532.4</v>
      </c>
      <c r="J420" s="238">
        <v>30</v>
      </c>
      <c r="K420" s="713">
        <v>15972</v>
      </c>
    </row>
    <row r="421" spans="1:11" ht="14.4" customHeight="1" x14ac:dyDescent="0.3">
      <c r="A421" s="680" t="s">
        <v>534</v>
      </c>
      <c r="B421" s="671" t="s">
        <v>536</v>
      </c>
      <c r="C421" s="705" t="s">
        <v>556</v>
      </c>
      <c r="D421" s="723" t="s">
        <v>557</v>
      </c>
      <c r="E421" s="705" t="s">
        <v>2537</v>
      </c>
      <c r="F421" s="723" t="s">
        <v>2538</v>
      </c>
      <c r="G421" s="705" t="s">
        <v>3183</v>
      </c>
      <c r="H421" s="705" t="s">
        <v>3184</v>
      </c>
      <c r="I421" s="238">
        <v>319.91000000000003</v>
      </c>
      <c r="J421" s="238">
        <v>40</v>
      </c>
      <c r="K421" s="713">
        <v>12796.48</v>
      </c>
    </row>
    <row r="422" spans="1:11" ht="14.4" customHeight="1" x14ac:dyDescent="0.3">
      <c r="A422" s="680" t="s">
        <v>534</v>
      </c>
      <c r="B422" s="671" t="s">
        <v>536</v>
      </c>
      <c r="C422" s="705" t="s">
        <v>556</v>
      </c>
      <c r="D422" s="723" t="s">
        <v>557</v>
      </c>
      <c r="E422" s="705" t="s">
        <v>2537</v>
      </c>
      <c r="F422" s="723" t="s">
        <v>2538</v>
      </c>
      <c r="G422" s="705" t="s">
        <v>3185</v>
      </c>
      <c r="H422" s="705" t="s">
        <v>3186</v>
      </c>
      <c r="I422" s="238">
        <v>18952.96</v>
      </c>
      <c r="J422" s="238">
        <v>2</v>
      </c>
      <c r="K422" s="713">
        <v>37905.910000000003</v>
      </c>
    </row>
    <row r="423" spans="1:11" ht="14.4" customHeight="1" x14ac:dyDescent="0.3">
      <c r="A423" s="680" t="s">
        <v>534</v>
      </c>
      <c r="B423" s="671" t="s">
        <v>536</v>
      </c>
      <c r="C423" s="705" t="s">
        <v>556</v>
      </c>
      <c r="D423" s="723" t="s">
        <v>557</v>
      </c>
      <c r="E423" s="705" t="s">
        <v>2537</v>
      </c>
      <c r="F423" s="723" t="s">
        <v>2538</v>
      </c>
      <c r="G423" s="705" t="s">
        <v>3187</v>
      </c>
      <c r="H423" s="705" t="s">
        <v>3188</v>
      </c>
      <c r="I423" s="238">
        <v>133400</v>
      </c>
      <c r="J423" s="238">
        <v>1</v>
      </c>
      <c r="K423" s="713">
        <v>133400</v>
      </c>
    </row>
    <row r="424" spans="1:11" ht="14.4" customHeight="1" x14ac:dyDescent="0.3">
      <c r="A424" s="680" t="s">
        <v>534</v>
      </c>
      <c r="B424" s="671" t="s">
        <v>536</v>
      </c>
      <c r="C424" s="705" t="s">
        <v>556</v>
      </c>
      <c r="D424" s="723" t="s">
        <v>557</v>
      </c>
      <c r="E424" s="705" t="s">
        <v>2537</v>
      </c>
      <c r="F424" s="723" t="s">
        <v>2538</v>
      </c>
      <c r="G424" s="705" t="s">
        <v>3189</v>
      </c>
      <c r="H424" s="705" t="s">
        <v>3190</v>
      </c>
      <c r="I424" s="238">
        <v>4600</v>
      </c>
      <c r="J424" s="238">
        <v>20</v>
      </c>
      <c r="K424" s="713">
        <v>92000</v>
      </c>
    </row>
    <row r="425" spans="1:11" ht="14.4" customHeight="1" x14ac:dyDescent="0.3">
      <c r="A425" s="680" t="s">
        <v>534</v>
      </c>
      <c r="B425" s="671" t="s">
        <v>536</v>
      </c>
      <c r="C425" s="705" t="s">
        <v>556</v>
      </c>
      <c r="D425" s="723" t="s">
        <v>557</v>
      </c>
      <c r="E425" s="705" t="s">
        <v>2537</v>
      </c>
      <c r="F425" s="723" t="s">
        <v>2538</v>
      </c>
      <c r="G425" s="705" t="s">
        <v>3191</v>
      </c>
      <c r="H425" s="705" t="s">
        <v>3192</v>
      </c>
      <c r="I425" s="238">
        <v>1169.3</v>
      </c>
      <c r="J425" s="238">
        <v>5</v>
      </c>
      <c r="K425" s="713">
        <v>5846.48</v>
      </c>
    </row>
    <row r="426" spans="1:11" ht="14.4" customHeight="1" x14ac:dyDescent="0.3">
      <c r="A426" s="680" t="s">
        <v>534</v>
      </c>
      <c r="B426" s="671" t="s">
        <v>536</v>
      </c>
      <c r="C426" s="705" t="s">
        <v>556</v>
      </c>
      <c r="D426" s="723" t="s">
        <v>557</v>
      </c>
      <c r="E426" s="705" t="s">
        <v>2537</v>
      </c>
      <c r="F426" s="723" t="s">
        <v>2538</v>
      </c>
      <c r="G426" s="705" t="s">
        <v>3193</v>
      </c>
      <c r="H426" s="705" t="s">
        <v>3194</v>
      </c>
      <c r="I426" s="238">
        <v>1849.91</v>
      </c>
      <c r="J426" s="238">
        <v>5</v>
      </c>
      <c r="K426" s="713">
        <v>9249.5499999999993</v>
      </c>
    </row>
    <row r="427" spans="1:11" ht="14.4" customHeight="1" x14ac:dyDescent="0.3">
      <c r="A427" s="680" t="s">
        <v>534</v>
      </c>
      <c r="B427" s="671" t="s">
        <v>536</v>
      </c>
      <c r="C427" s="705" t="s">
        <v>556</v>
      </c>
      <c r="D427" s="723" t="s">
        <v>557</v>
      </c>
      <c r="E427" s="705" t="s">
        <v>2537</v>
      </c>
      <c r="F427" s="723" t="s">
        <v>2538</v>
      </c>
      <c r="G427" s="705" t="s">
        <v>3195</v>
      </c>
      <c r="H427" s="705" t="s">
        <v>3196</v>
      </c>
      <c r="I427" s="238">
        <v>1169.3</v>
      </c>
      <c r="J427" s="238">
        <v>15</v>
      </c>
      <c r="K427" s="713">
        <v>17539.439999999999</v>
      </c>
    </row>
    <row r="428" spans="1:11" ht="14.4" customHeight="1" x14ac:dyDescent="0.3">
      <c r="A428" s="680" t="s">
        <v>534</v>
      </c>
      <c r="B428" s="671" t="s">
        <v>536</v>
      </c>
      <c r="C428" s="705" t="s">
        <v>556</v>
      </c>
      <c r="D428" s="723" t="s">
        <v>557</v>
      </c>
      <c r="E428" s="705" t="s">
        <v>2537</v>
      </c>
      <c r="F428" s="723" t="s">
        <v>2538</v>
      </c>
      <c r="G428" s="705" t="s">
        <v>3197</v>
      </c>
      <c r="H428" s="705" t="s">
        <v>3198</v>
      </c>
      <c r="I428" s="238">
        <v>1285.02</v>
      </c>
      <c r="J428" s="238">
        <v>15</v>
      </c>
      <c r="K428" s="713">
        <v>19275.3</v>
      </c>
    </row>
    <row r="429" spans="1:11" ht="14.4" customHeight="1" x14ac:dyDescent="0.3">
      <c r="A429" s="680" t="s">
        <v>534</v>
      </c>
      <c r="B429" s="671" t="s">
        <v>536</v>
      </c>
      <c r="C429" s="705" t="s">
        <v>556</v>
      </c>
      <c r="D429" s="723" t="s">
        <v>557</v>
      </c>
      <c r="E429" s="705" t="s">
        <v>2541</v>
      </c>
      <c r="F429" s="723" t="s">
        <v>2542</v>
      </c>
      <c r="G429" s="705" t="s">
        <v>2717</v>
      </c>
      <c r="H429" s="705" t="s">
        <v>2718</v>
      </c>
      <c r="I429" s="238">
        <v>8.17</v>
      </c>
      <c r="J429" s="238">
        <v>200</v>
      </c>
      <c r="K429" s="713">
        <v>1634</v>
      </c>
    </row>
    <row r="430" spans="1:11" ht="14.4" customHeight="1" x14ac:dyDescent="0.3">
      <c r="A430" s="680" t="s">
        <v>534</v>
      </c>
      <c r="B430" s="671" t="s">
        <v>536</v>
      </c>
      <c r="C430" s="705" t="s">
        <v>556</v>
      </c>
      <c r="D430" s="723" t="s">
        <v>557</v>
      </c>
      <c r="E430" s="705" t="s">
        <v>2541</v>
      </c>
      <c r="F430" s="723" t="s">
        <v>2542</v>
      </c>
      <c r="G430" s="705" t="s">
        <v>2719</v>
      </c>
      <c r="H430" s="705" t="s">
        <v>2720</v>
      </c>
      <c r="I430" s="238">
        <v>250.47</v>
      </c>
      <c r="J430" s="238">
        <v>100</v>
      </c>
      <c r="K430" s="713">
        <v>25046.99</v>
      </c>
    </row>
    <row r="431" spans="1:11" ht="14.4" customHeight="1" x14ac:dyDescent="0.3">
      <c r="A431" s="680" t="s">
        <v>534</v>
      </c>
      <c r="B431" s="671" t="s">
        <v>536</v>
      </c>
      <c r="C431" s="705" t="s">
        <v>556</v>
      </c>
      <c r="D431" s="723" t="s">
        <v>557</v>
      </c>
      <c r="E431" s="705" t="s">
        <v>2541</v>
      </c>
      <c r="F431" s="723" t="s">
        <v>2542</v>
      </c>
      <c r="G431" s="705" t="s">
        <v>3199</v>
      </c>
      <c r="H431" s="705" t="s">
        <v>3200</v>
      </c>
      <c r="I431" s="238">
        <v>793.93</v>
      </c>
      <c r="J431" s="238">
        <v>50</v>
      </c>
      <c r="K431" s="713">
        <v>39696.47</v>
      </c>
    </row>
    <row r="432" spans="1:11" ht="14.4" customHeight="1" x14ac:dyDescent="0.3">
      <c r="A432" s="680" t="s">
        <v>534</v>
      </c>
      <c r="B432" s="671" t="s">
        <v>536</v>
      </c>
      <c r="C432" s="705" t="s">
        <v>556</v>
      </c>
      <c r="D432" s="723" t="s">
        <v>557</v>
      </c>
      <c r="E432" s="705" t="s">
        <v>2541</v>
      </c>
      <c r="F432" s="723" t="s">
        <v>2542</v>
      </c>
      <c r="G432" s="705" t="s">
        <v>3201</v>
      </c>
      <c r="H432" s="705" t="s">
        <v>3202</v>
      </c>
      <c r="I432" s="238">
        <v>658.24</v>
      </c>
      <c r="J432" s="238">
        <v>20</v>
      </c>
      <c r="K432" s="713">
        <v>13164.85</v>
      </c>
    </row>
    <row r="433" spans="1:11" ht="14.4" customHeight="1" x14ac:dyDescent="0.3">
      <c r="A433" s="680" t="s">
        <v>534</v>
      </c>
      <c r="B433" s="671" t="s">
        <v>536</v>
      </c>
      <c r="C433" s="705" t="s">
        <v>556</v>
      </c>
      <c r="D433" s="723" t="s">
        <v>557</v>
      </c>
      <c r="E433" s="705" t="s">
        <v>2541</v>
      </c>
      <c r="F433" s="723" t="s">
        <v>2542</v>
      </c>
      <c r="G433" s="705" t="s">
        <v>3203</v>
      </c>
      <c r="H433" s="705" t="s">
        <v>3204</v>
      </c>
      <c r="I433" s="238">
        <v>1010.35</v>
      </c>
      <c r="J433" s="238">
        <v>10</v>
      </c>
      <c r="K433" s="713">
        <v>10103.5</v>
      </c>
    </row>
    <row r="434" spans="1:11" ht="14.4" customHeight="1" x14ac:dyDescent="0.3">
      <c r="A434" s="680" t="s">
        <v>534</v>
      </c>
      <c r="B434" s="671" t="s">
        <v>536</v>
      </c>
      <c r="C434" s="705" t="s">
        <v>556</v>
      </c>
      <c r="D434" s="723" t="s">
        <v>557</v>
      </c>
      <c r="E434" s="705" t="s">
        <v>2541</v>
      </c>
      <c r="F434" s="723" t="s">
        <v>2542</v>
      </c>
      <c r="G434" s="705" t="s">
        <v>3205</v>
      </c>
      <c r="H434" s="705" t="s">
        <v>3206</v>
      </c>
      <c r="I434" s="238">
        <v>1010.35</v>
      </c>
      <c r="J434" s="238">
        <v>5</v>
      </c>
      <c r="K434" s="713">
        <v>5051.75</v>
      </c>
    </row>
    <row r="435" spans="1:11" ht="14.4" customHeight="1" x14ac:dyDescent="0.3">
      <c r="A435" s="680" t="s">
        <v>534</v>
      </c>
      <c r="B435" s="671" t="s">
        <v>536</v>
      </c>
      <c r="C435" s="705" t="s">
        <v>556</v>
      </c>
      <c r="D435" s="723" t="s">
        <v>557</v>
      </c>
      <c r="E435" s="705" t="s">
        <v>2541</v>
      </c>
      <c r="F435" s="723" t="s">
        <v>2542</v>
      </c>
      <c r="G435" s="705" t="s">
        <v>3207</v>
      </c>
      <c r="H435" s="705" t="s">
        <v>3208</v>
      </c>
      <c r="I435" s="238">
        <v>5770.5</v>
      </c>
      <c r="J435" s="238">
        <v>6</v>
      </c>
      <c r="K435" s="713">
        <v>34623</v>
      </c>
    </row>
    <row r="436" spans="1:11" ht="14.4" customHeight="1" x14ac:dyDescent="0.3">
      <c r="A436" s="680" t="s">
        <v>534</v>
      </c>
      <c r="B436" s="671" t="s">
        <v>536</v>
      </c>
      <c r="C436" s="705" t="s">
        <v>556</v>
      </c>
      <c r="D436" s="723" t="s">
        <v>557</v>
      </c>
      <c r="E436" s="705" t="s">
        <v>2543</v>
      </c>
      <c r="F436" s="723" t="s">
        <v>2544</v>
      </c>
      <c r="G436" s="705" t="s">
        <v>3209</v>
      </c>
      <c r="H436" s="705" t="s">
        <v>3210</v>
      </c>
      <c r="I436" s="238">
        <v>205.39</v>
      </c>
      <c r="J436" s="238">
        <v>12</v>
      </c>
      <c r="K436" s="713">
        <v>2464.67</v>
      </c>
    </row>
    <row r="437" spans="1:11" ht="14.4" customHeight="1" x14ac:dyDescent="0.3">
      <c r="A437" s="680" t="s">
        <v>534</v>
      </c>
      <c r="B437" s="671" t="s">
        <v>536</v>
      </c>
      <c r="C437" s="705" t="s">
        <v>556</v>
      </c>
      <c r="D437" s="723" t="s">
        <v>557</v>
      </c>
      <c r="E437" s="705" t="s">
        <v>2543</v>
      </c>
      <c r="F437" s="723" t="s">
        <v>2544</v>
      </c>
      <c r="G437" s="705" t="s">
        <v>3211</v>
      </c>
      <c r="H437" s="705" t="s">
        <v>3212</v>
      </c>
      <c r="I437" s="238">
        <v>266.12</v>
      </c>
      <c r="J437" s="238">
        <v>24</v>
      </c>
      <c r="K437" s="713">
        <v>6386.79</v>
      </c>
    </row>
    <row r="438" spans="1:11" ht="14.4" customHeight="1" x14ac:dyDescent="0.3">
      <c r="A438" s="680" t="s">
        <v>534</v>
      </c>
      <c r="B438" s="671" t="s">
        <v>536</v>
      </c>
      <c r="C438" s="705" t="s">
        <v>556</v>
      </c>
      <c r="D438" s="723" t="s">
        <v>557</v>
      </c>
      <c r="E438" s="705" t="s">
        <v>2543</v>
      </c>
      <c r="F438" s="723" t="s">
        <v>2544</v>
      </c>
      <c r="G438" s="705" t="s">
        <v>3213</v>
      </c>
      <c r="H438" s="705" t="s">
        <v>3214</v>
      </c>
      <c r="I438" s="238">
        <v>58.24</v>
      </c>
      <c r="J438" s="238">
        <v>108</v>
      </c>
      <c r="K438" s="713">
        <v>6289.49</v>
      </c>
    </row>
    <row r="439" spans="1:11" ht="14.4" customHeight="1" x14ac:dyDescent="0.3">
      <c r="A439" s="680" t="s">
        <v>534</v>
      </c>
      <c r="B439" s="671" t="s">
        <v>536</v>
      </c>
      <c r="C439" s="705" t="s">
        <v>556</v>
      </c>
      <c r="D439" s="723" t="s">
        <v>557</v>
      </c>
      <c r="E439" s="705" t="s">
        <v>2543</v>
      </c>
      <c r="F439" s="723" t="s">
        <v>2544</v>
      </c>
      <c r="G439" s="705" t="s">
        <v>3215</v>
      </c>
      <c r="H439" s="705" t="s">
        <v>3216</v>
      </c>
      <c r="I439" s="238">
        <v>205.37</v>
      </c>
      <c r="J439" s="238">
        <v>120</v>
      </c>
      <c r="K439" s="713">
        <v>24644.97</v>
      </c>
    </row>
    <row r="440" spans="1:11" ht="14.4" customHeight="1" x14ac:dyDescent="0.3">
      <c r="A440" s="680" t="s">
        <v>534</v>
      </c>
      <c r="B440" s="671" t="s">
        <v>536</v>
      </c>
      <c r="C440" s="705" t="s">
        <v>556</v>
      </c>
      <c r="D440" s="723" t="s">
        <v>557</v>
      </c>
      <c r="E440" s="705" t="s">
        <v>2543</v>
      </c>
      <c r="F440" s="723" t="s">
        <v>2544</v>
      </c>
      <c r="G440" s="705" t="s">
        <v>3217</v>
      </c>
      <c r="H440" s="705" t="s">
        <v>3218</v>
      </c>
      <c r="I440" s="238">
        <v>408.99</v>
      </c>
      <c r="J440" s="238">
        <v>144</v>
      </c>
      <c r="K440" s="713">
        <v>58895</v>
      </c>
    </row>
    <row r="441" spans="1:11" ht="14.4" customHeight="1" x14ac:dyDescent="0.3">
      <c r="A441" s="680" t="s">
        <v>534</v>
      </c>
      <c r="B441" s="671" t="s">
        <v>536</v>
      </c>
      <c r="C441" s="705" t="s">
        <v>556</v>
      </c>
      <c r="D441" s="723" t="s">
        <v>557</v>
      </c>
      <c r="E441" s="705" t="s">
        <v>2543</v>
      </c>
      <c r="F441" s="723" t="s">
        <v>2544</v>
      </c>
      <c r="G441" s="705" t="s">
        <v>3219</v>
      </c>
      <c r="H441" s="705" t="s">
        <v>3220</v>
      </c>
      <c r="I441" s="238">
        <v>222.36</v>
      </c>
      <c r="J441" s="238">
        <v>36</v>
      </c>
      <c r="K441" s="713">
        <v>8004.91</v>
      </c>
    </row>
    <row r="442" spans="1:11" ht="14.4" customHeight="1" x14ac:dyDescent="0.3">
      <c r="A442" s="680" t="s">
        <v>534</v>
      </c>
      <c r="B442" s="671" t="s">
        <v>536</v>
      </c>
      <c r="C442" s="705" t="s">
        <v>556</v>
      </c>
      <c r="D442" s="723" t="s">
        <v>557</v>
      </c>
      <c r="E442" s="705" t="s">
        <v>2543</v>
      </c>
      <c r="F442" s="723" t="s">
        <v>2544</v>
      </c>
      <c r="G442" s="705" t="s">
        <v>3221</v>
      </c>
      <c r="H442" s="705" t="s">
        <v>3222</v>
      </c>
      <c r="I442" s="238">
        <v>36.729999999999997</v>
      </c>
      <c r="J442" s="238">
        <v>72</v>
      </c>
      <c r="K442" s="713">
        <v>2644.75</v>
      </c>
    </row>
    <row r="443" spans="1:11" ht="14.4" customHeight="1" x14ac:dyDescent="0.3">
      <c r="A443" s="680" t="s">
        <v>534</v>
      </c>
      <c r="B443" s="671" t="s">
        <v>536</v>
      </c>
      <c r="C443" s="705" t="s">
        <v>556</v>
      </c>
      <c r="D443" s="723" t="s">
        <v>557</v>
      </c>
      <c r="E443" s="705" t="s">
        <v>2543</v>
      </c>
      <c r="F443" s="723" t="s">
        <v>2544</v>
      </c>
      <c r="G443" s="705" t="s">
        <v>3223</v>
      </c>
      <c r="H443" s="705" t="s">
        <v>3224</v>
      </c>
      <c r="I443" s="238">
        <v>45.61</v>
      </c>
      <c r="J443" s="238">
        <v>180</v>
      </c>
      <c r="K443" s="713">
        <v>8209.2799999999988</v>
      </c>
    </row>
    <row r="444" spans="1:11" ht="14.4" customHeight="1" x14ac:dyDescent="0.3">
      <c r="A444" s="680" t="s">
        <v>534</v>
      </c>
      <c r="B444" s="671" t="s">
        <v>536</v>
      </c>
      <c r="C444" s="705" t="s">
        <v>556</v>
      </c>
      <c r="D444" s="723" t="s">
        <v>557</v>
      </c>
      <c r="E444" s="705" t="s">
        <v>2543</v>
      </c>
      <c r="F444" s="723" t="s">
        <v>2544</v>
      </c>
      <c r="G444" s="705" t="s">
        <v>3225</v>
      </c>
      <c r="H444" s="705" t="s">
        <v>3226</v>
      </c>
      <c r="I444" s="238">
        <v>48.78</v>
      </c>
      <c r="J444" s="238">
        <v>72</v>
      </c>
      <c r="K444" s="713">
        <v>3511.87</v>
      </c>
    </row>
    <row r="445" spans="1:11" ht="14.4" customHeight="1" x14ac:dyDescent="0.3">
      <c r="A445" s="680" t="s">
        <v>534</v>
      </c>
      <c r="B445" s="671" t="s">
        <v>536</v>
      </c>
      <c r="C445" s="705" t="s">
        <v>556</v>
      </c>
      <c r="D445" s="723" t="s">
        <v>557</v>
      </c>
      <c r="E445" s="705" t="s">
        <v>2543</v>
      </c>
      <c r="F445" s="723" t="s">
        <v>2544</v>
      </c>
      <c r="G445" s="705" t="s">
        <v>3227</v>
      </c>
      <c r="H445" s="705" t="s">
        <v>3228</v>
      </c>
      <c r="I445" s="238">
        <v>245.97</v>
      </c>
      <c r="J445" s="238">
        <v>24</v>
      </c>
      <c r="K445" s="713">
        <v>5903.25</v>
      </c>
    </row>
    <row r="446" spans="1:11" ht="14.4" customHeight="1" x14ac:dyDescent="0.3">
      <c r="A446" s="680" t="s">
        <v>534</v>
      </c>
      <c r="B446" s="671" t="s">
        <v>536</v>
      </c>
      <c r="C446" s="705" t="s">
        <v>556</v>
      </c>
      <c r="D446" s="723" t="s">
        <v>557</v>
      </c>
      <c r="E446" s="705" t="s">
        <v>2543</v>
      </c>
      <c r="F446" s="723" t="s">
        <v>2544</v>
      </c>
      <c r="G446" s="705" t="s">
        <v>3229</v>
      </c>
      <c r="H446" s="705" t="s">
        <v>3230</v>
      </c>
      <c r="I446" s="238">
        <v>33.35</v>
      </c>
      <c r="J446" s="238">
        <v>120</v>
      </c>
      <c r="K446" s="713">
        <v>4002</v>
      </c>
    </row>
    <row r="447" spans="1:11" ht="14.4" customHeight="1" x14ac:dyDescent="0.3">
      <c r="A447" s="680" t="s">
        <v>534</v>
      </c>
      <c r="B447" s="671" t="s">
        <v>536</v>
      </c>
      <c r="C447" s="705" t="s">
        <v>556</v>
      </c>
      <c r="D447" s="723" t="s">
        <v>557</v>
      </c>
      <c r="E447" s="705" t="s">
        <v>2543</v>
      </c>
      <c r="F447" s="723" t="s">
        <v>2544</v>
      </c>
      <c r="G447" s="705" t="s">
        <v>3231</v>
      </c>
      <c r="H447" s="705" t="s">
        <v>3232</v>
      </c>
      <c r="I447" s="238">
        <v>67.849999999999994</v>
      </c>
      <c r="J447" s="238">
        <v>108</v>
      </c>
      <c r="K447" s="713">
        <v>7327.8</v>
      </c>
    </row>
    <row r="448" spans="1:11" ht="14.4" customHeight="1" x14ac:dyDescent="0.3">
      <c r="A448" s="680" t="s">
        <v>534</v>
      </c>
      <c r="B448" s="671" t="s">
        <v>536</v>
      </c>
      <c r="C448" s="705" t="s">
        <v>556</v>
      </c>
      <c r="D448" s="723" t="s">
        <v>557</v>
      </c>
      <c r="E448" s="705" t="s">
        <v>2543</v>
      </c>
      <c r="F448" s="723" t="s">
        <v>2544</v>
      </c>
      <c r="G448" s="705" t="s">
        <v>3233</v>
      </c>
      <c r="H448" s="705" t="s">
        <v>3234</v>
      </c>
      <c r="I448" s="238">
        <v>191.6</v>
      </c>
      <c r="J448" s="238">
        <v>24</v>
      </c>
      <c r="K448" s="713">
        <v>4598.33</v>
      </c>
    </row>
    <row r="449" spans="1:11" ht="14.4" customHeight="1" x14ac:dyDescent="0.3">
      <c r="A449" s="680" t="s">
        <v>534</v>
      </c>
      <c r="B449" s="671" t="s">
        <v>536</v>
      </c>
      <c r="C449" s="705" t="s">
        <v>556</v>
      </c>
      <c r="D449" s="723" t="s">
        <v>557</v>
      </c>
      <c r="E449" s="705" t="s">
        <v>2543</v>
      </c>
      <c r="F449" s="723" t="s">
        <v>2544</v>
      </c>
      <c r="G449" s="705" t="s">
        <v>3235</v>
      </c>
      <c r="H449" s="705" t="s">
        <v>3236</v>
      </c>
      <c r="I449" s="238">
        <v>357.95</v>
      </c>
      <c r="J449" s="238">
        <v>24</v>
      </c>
      <c r="K449" s="713">
        <v>8590.7999999999993</v>
      </c>
    </row>
    <row r="450" spans="1:11" ht="14.4" customHeight="1" x14ac:dyDescent="0.3">
      <c r="A450" s="680" t="s">
        <v>534</v>
      </c>
      <c r="B450" s="671" t="s">
        <v>536</v>
      </c>
      <c r="C450" s="705" t="s">
        <v>556</v>
      </c>
      <c r="D450" s="723" t="s">
        <v>557</v>
      </c>
      <c r="E450" s="705" t="s">
        <v>2543</v>
      </c>
      <c r="F450" s="723" t="s">
        <v>2544</v>
      </c>
      <c r="G450" s="705" t="s">
        <v>3237</v>
      </c>
      <c r="H450" s="705" t="s">
        <v>3238</v>
      </c>
      <c r="I450" s="238">
        <v>39.229999999999997</v>
      </c>
      <c r="J450" s="238">
        <v>72</v>
      </c>
      <c r="K450" s="713">
        <v>2824.4</v>
      </c>
    </row>
    <row r="451" spans="1:11" ht="14.4" customHeight="1" x14ac:dyDescent="0.3">
      <c r="A451" s="680" t="s">
        <v>534</v>
      </c>
      <c r="B451" s="671" t="s">
        <v>536</v>
      </c>
      <c r="C451" s="705" t="s">
        <v>556</v>
      </c>
      <c r="D451" s="723" t="s">
        <v>557</v>
      </c>
      <c r="E451" s="705" t="s">
        <v>2543</v>
      </c>
      <c r="F451" s="723" t="s">
        <v>2544</v>
      </c>
      <c r="G451" s="705" t="s">
        <v>3239</v>
      </c>
      <c r="H451" s="705" t="s">
        <v>3240</v>
      </c>
      <c r="I451" s="238">
        <v>479.92</v>
      </c>
      <c r="J451" s="238">
        <v>48</v>
      </c>
      <c r="K451" s="713">
        <v>23036.38</v>
      </c>
    </row>
    <row r="452" spans="1:11" ht="14.4" customHeight="1" x14ac:dyDescent="0.3">
      <c r="A452" s="680" t="s">
        <v>534</v>
      </c>
      <c r="B452" s="671" t="s">
        <v>536</v>
      </c>
      <c r="C452" s="705" t="s">
        <v>556</v>
      </c>
      <c r="D452" s="723" t="s">
        <v>557</v>
      </c>
      <c r="E452" s="705" t="s">
        <v>2543</v>
      </c>
      <c r="F452" s="723" t="s">
        <v>2544</v>
      </c>
      <c r="G452" s="705" t="s">
        <v>3241</v>
      </c>
      <c r="H452" s="705" t="s">
        <v>3242</v>
      </c>
      <c r="I452" s="238">
        <v>245.97</v>
      </c>
      <c r="J452" s="238">
        <v>12</v>
      </c>
      <c r="K452" s="713">
        <v>2951.63</v>
      </c>
    </row>
    <row r="453" spans="1:11" ht="14.4" customHeight="1" x14ac:dyDescent="0.3">
      <c r="A453" s="680" t="s">
        <v>534</v>
      </c>
      <c r="B453" s="671" t="s">
        <v>536</v>
      </c>
      <c r="C453" s="705" t="s">
        <v>556</v>
      </c>
      <c r="D453" s="723" t="s">
        <v>557</v>
      </c>
      <c r="E453" s="705" t="s">
        <v>2543</v>
      </c>
      <c r="F453" s="723" t="s">
        <v>2544</v>
      </c>
      <c r="G453" s="705" t="s">
        <v>3243</v>
      </c>
      <c r="H453" s="705" t="s">
        <v>3244</v>
      </c>
      <c r="I453" s="238">
        <v>175.14</v>
      </c>
      <c r="J453" s="238">
        <v>96</v>
      </c>
      <c r="K453" s="713">
        <v>16813.189999999999</v>
      </c>
    </row>
    <row r="454" spans="1:11" ht="14.4" customHeight="1" x14ac:dyDescent="0.3">
      <c r="A454" s="680" t="s">
        <v>534</v>
      </c>
      <c r="B454" s="671" t="s">
        <v>536</v>
      </c>
      <c r="C454" s="705" t="s">
        <v>556</v>
      </c>
      <c r="D454" s="723" t="s">
        <v>557</v>
      </c>
      <c r="E454" s="705" t="s">
        <v>2543</v>
      </c>
      <c r="F454" s="723" t="s">
        <v>2544</v>
      </c>
      <c r="G454" s="705" t="s">
        <v>3245</v>
      </c>
      <c r="H454" s="705" t="s">
        <v>3246</v>
      </c>
      <c r="I454" s="238">
        <v>81.52</v>
      </c>
      <c r="J454" s="238">
        <v>144</v>
      </c>
      <c r="K454" s="713">
        <v>11739.38</v>
      </c>
    </row>
    <row r="455" spans="1:11" ht="14.4" customHeight="1" x14ac:dyDescent="0.3">
      <c r="A455" s="680" t="s">
        <v>534</v>
      </c>
      <c r="B455" s="671" t="s">
        <v>536</v>
      </c>
      <c r="C455" s="705" t="s">
        <v>556</v>
      </c>
      <c r="D455" s="723" t="s">
        <v>557</v>
      </c>
      <c r="E455" s="705" t="s">
        <v>2543</v>
      </c>
      <c r="F455" s="723" t="s">
        <v>2544</v>
      </c>
      <c r="G455" s="705" t="s">
        <v>3247</v>
      </c>
      <c r="H455" s="705" t="s">
        <v>3248</v>
      </c>
      <c r="I455" s="238">
        <v>245.97</v>
      </c>
      <c r="J455" s="238">
        <v>12</v>
      </c>
      <c r="K455" s="713">
        <v>2951.63</v>
      </c>
    </row>
    <row r="456" spans="1:11" ht="14.4" customHeight="1" x14ac:dyDescent="0.3">
      <c r="A456" s="680" t="s">
        <v>534</v>
      </c>
      <c r="B456" s="671" t="s">
        <v>536</v>
      </c>
      <c r="C456" s="705" t="s">
        <v>556</v>
      </c>
      <c r="D456" s="723" t="s">
        <v>557</v>
      </c>
      <c r="E456" s="705" t="s">
        <v>2543</v>
      </c>
      <c r="F456" s="723" t="s">
        <v>2544</v>
      </c>
      <c r="G456" s="705" t="s">
        <v>3249</v>
      </c>
      <c r="H456" s="705" t="s">
        <v>3250</v>
      </c>
      <c r="I456" s="238">
        <v>52.9</v>
      </c>
      <c r="J456" s="238">
        <v>120</v>
      </c>
      <c r="K456" s="713">
        <v>6348</v>
      </c>
    </row>
    <row r="457" spans="1:11" ht="14.4" customHeight="1" x14ac:dyDescent="0.3">
      <c r="A457" s="680" t="s">
        <v>534</v>
      </c>
      <c r="B457" s="671" t="s">
        <v>536</v>
      </c>
      <c r="C457" s="705" t="s">
        <v>556</v>
      </c>
      <c r="D457" s="723" t="s">
        <v>557</v>
      </c>
      <c r="E457" s="705" t="s">
        <v>2543</v>
      </c>
      <c r="F457" s="723" t="s">
        <v>2544</v>
      </c>
      <c r="G457" s="705" t="s">
        <v>3251</v>
      </c>
      <c r="H457" s="705" t="s">
        <v>3252</v>
      </c>
      <c r="I457" s="238">
        <v>65.55</v>
      </c>
      <c r="J457" s="238">
        <v>72</v>
      </c>
      <c r="K457" s="713">
        <v>4719.6000000000004</v>
      </c>
    </row>
    <row r="458" spans="1:11" ht="14.4" customHeight="1" x14ac:dyDescent="0.3">
      <c r="A458" s="680" t="s">
        <v>534</v>
      </c>
      <c r="B458" s="671" t="s">
        <v>536</v>
      </c>
      <c r="C458" s="705" t="s">
        <v>556</v>
      </c>
      <c r="D458" s="723" t="s">
        <v>557</v>
      </c>
      <c r="E458" s="705" t="s">
        <v>2543</v>
      </c>
      <c r="F458" s="723" t="s">
        <v>2544</v>
      </c>
      <c r="G458" s="705" t="s">
        <v>3253</v>
      </c>
      <c r="H458" s="705" t="s">
        <v>3254</v>
      </c>
      <c r="I458" s="238">
        <v>289.25</v>
      </c>
      <c r="J458" s="238">
        <v>12</v>
      </c>
      <c r="K458" s="713">
        <v>3470.95</v>
      </c>
    </row>
    <row r="459" spans="1:11" ht="14.4" customHeight="1" x14ac:dyDescent="0.3">
      <c r="A459" s="680" t="s">
        <v>534</v>
      </c>
      <c r="B459" s="671" t="s">
        <v>536</v>
      </c>
      <c r="C459" s="705" t="s">
        <v>556</v>
      </c>
      <c r="D459" s="723" t="s">
        <v>557</v>
      </c>
      <c r="E459" s="705" t="s">
        <v>2543</v>
      </c>
      <c r="F459" s="723" t="s">
        <v>2544</v>
      </c>
      <c r="G459" s="705" t="s">
        <v>3255</v>
      </c>
      <c r="H459" s="705" t="s">
        <v>3256</v>
      </c>
      <c r="I459" s="238">
        <v>79.55</v>
      </c>
      <c r="J459" s="238">
        <v>36</v>
      </c>
      <c r="K459" s="713">
        <v>2863.64</v>
      </c>
    </row>
    <row r="460" spans="1:11" ht="14.4" customHeight="1" x14ac:dyDescent="0.3">
      <c r="A460" s="680" t="s">
        <v>534</v>
      </c>
      <c r="B460" s="671" t="s">
        <v>536</v>
      </c>
      <c r="C460" s="705" t="s">
        <v>556</v>
      </c>
      <c r="D460" s="723" t="s">
        <v>557</v>
      </c>
      <c r="E460" s="705" t="s">
        <v>2543</v>
      </c>
      <c r="F460" s="723" t="s">
        <v>2544</v>
      </c>
      <c r="G460" s="705" t="s">
        <v>3257</v>
      </c>
      <c r="H460" s="705" t="s">
        <v>3258</v>
      </c>
      <c r="I460" s="238">
        <v>195.17</v>
      </c>
      <c r="J460" s="238">
        <v>36</v>
      </c>
      <c r="K460" s="713">
        <v>7026.22</v>
      </c>
    </row>
    <row r="461" spans="1:11" ht="14.4" customHeight="1" x14ac:dyDescent="0.3">
      <c r="A461" s="680" t="s">
        <v>534</v>
      </c>
      <c r="B461" s="671" t="s">
        <v>536</v>
      </c>
      <c r="C461" s="705" t="s">
        <v>556</v>
      </c>
      <c r="D461" s="723" t="s">
        <v>557</v>
      </c>
      <c r="E461" s="705" t="s">
        <v>2543</v>
      </c>
      <c r="F461" s="723" t="s">
        <v>2544</v>
      </c>
      <c r="G461" s="705" t="s">
        <v>3259</v>
      </c>
      <c r="H461" s="705" t="s">
        <v>3260</v>
      </c>
      <c r="I461" s="238">
        <v>34.85</v>
      </c>
      <c r="J461" s="238">
        <v>36</v>
      </c>
      <c r="K461" s="713">
        <v>1254.42</v>
      </c>
    </row>
    <row r="462" spans="1:11" ht="14.4" customHeight="1" x14ac:dyDescent="0.3">
      <c r="A462" s="680" t="s">
        <v>534</v>
      </c>
      <c r="B462" s="671" t="s">
        <v>536</v>
      </c>
      <c r="C462" s="705" t="s">
        <v>556</v>
      </c>
      <c r="D462" s="723" t="s">
        <v>557</v>
      </c>
      <c r="E462" s="705" t="s">
        <v>2543</v>
      </c>
      <c r="F462" s="723" t="s">
        <v>2544</v>
      </c>
      <c r="G462" s="705" t="s">
        <v>3261</v>
      </c>
      <c r="H462" s="705" t="s">
        <v>3262</v>
      </c>
      <c r="I462" s="238">
        <v>111.19</v>
      </c>
      <c r="J462" s="238">
        <v>36</v>
      </c>
      <c r="K462" s="713">
        <v>4002.9</v>
      </c>
    </row>
    <row r="463" spans="1:11" ht="14.4" customHeight="1" x14ac:dyDescent="0.3">
      <c r="A463" s="680" t="s">
        <v>534</v>
      </c>
      <c r="B463" s="671" t="s">
        <v>536</v>
      </c>
      <c r="C463" s="705" t="s">
        <v>556</v>
      </c>
      <c r="D463" s="723" t="s">
        <v>557</v>
      </c>
      <c r="E463" s="705" t="s">
        <v>2543</v>
      </c>
      <c r="F463" s="723" t="s">
        <v>2544</v>
      </c>
      <c r="G463" s="705" t="s">
        <v>3263</v>
      </c>
      <c r="H463" s="705" t="s">
        <v>3264</v>
      </c>
      <c r="I463" s="238">
        <v>52.9</v>
      </c>
      <c r="J463" s="238">
        <v>216</v>
      </c>
      <c r="K463" s="713">
        <v>11426.4</v>
      </c>
    </row>
    <row r="464" spans="1:11" ht="14.4" customHeight="1" x14ac:dyDescent="0.3">
      <c r="A464" s="680" t="s">
        <v>534</v>
      </c>
      <c r="B464" s="671" t="s">
        <v>536</v>
      </c>
      <c r="C464" s="705" t="s">
        <v>556</v>
      </c>
      <c r="D464" s="723" t="s">
        <v>557</v>
      </c>
      <c r="E464" s="705" t="s">
        <v>2545</v>
      </c>
      <c r="F464" s="723" t="s">
        <v>2546</v>
      </c>
      <c r="G464" s="705" t="s">
        <v>3265</v>
      </c>
      <c r="H464" s="705" t="s">
        <v>3266</v>
      </c>
      <c r="I464" s="238">
        <v>0.3</v>
      </c>
      <c r="J464" s="238">
        <v>100</v>
      </c>
      <c r="K464" s="713">
        <v>30</v>
      </c>
    </row>
    <row r="465" spans="1:11" ht="14.4" customHeight="1" x14ac:dyDescent="0.3">
      <c r="A465" s="680" t="s">
        <v>534</v>
      </c>
      <c r="B465" s="671" t="s">
        <v>536</v>
      </c>
      <c r="C465" s="705" t="s">
        <v>556</v>
      </c>
      <c r="D465" s="723" t="s">
        <v>557</v>
      </c>
      <c r="E465" s="705" t="s">
        <v>2545</v>
      </c>
      <c r="F465" s="723" t="s">
        <v>2546</v>
      </c>
      <c r="G465" s="705" t="s">
        <v>2727</v>
      </c>
      <c r="H465" s="705" t="s">
        <v>2728</v>
      </c>
      <c r="I465" s="238">
        <v>0.3</v>
      </c>
      <c r="J465" s="238">
        <v>2100</v>
      </c>
      <c r="K465" s="713">
        <v>630</v>
      </c>
    </row>
    <row r="466" spans="1:11" ht="14.4" customHeight="1" x14ac:dyDescent="0.3">
      <c r="A466" s="680" t="s">
        <v>534</v>
      </c>
      <c r="B466" s="671" t="s">
        <v>536</v>
      </c>
      <c r="C466" s="705" t="s">
        <v>556</v>
      </c>
      <c r="D466" s="723" t="s">
        <v>557</v>
      </c>
      <c r="E466" s="705" t="s">
        <v>2545</v>
      </c>
      <c r="F466" s="723" t="s">
        <v>2546</v>
      </c>
      <c r="G466" s="705" t="s">
        <v>3267</v>
      </c>
      <c r="H466" s="705" t="s">
        <v>3268</v>
      </c>
      <c r="I466" s="238">
        <v>372.25</v>
      </c>
      <c r="J466" s="238">
        <v>2</v>
      </c>
      <c r="K466" s="713">
        <v>744.51</v>
      </c>
    </row>
    <row r="467" spans="1:11" ht="14.4" customHeight="1" x14ac:dyDescent="0.3">
      <c r="A467" s="680" t="s">
        <v>534</v>
      </c>
      <c r="B467" s="671" t="s">
        <v>536</v>
      </c>
      <c r="C467" s="705" t="s">
        <v>556</v>
      </c>
      <c r="D467" s="723" t="s">
        <v>557</v>
      </c>
      <c r="E467" s="705" t="s">
        <v>2547</v>
      </c>
      <c r="F467" s="723" t="s">
        <v>2548</v>
      </c>
      <c r="G467" s="705" t="s">
        <v>3269</v>
      </c>
      <c r="H467" s="705" t="s">
        <v>3270</v>
      </c>
      <c r="I467" s="238">
        <v>10.55</v>
      </c>
      <c r="J467" s="238">
        <v>40</v>
      </c>
      <c r="K467" s="713">
        <v>422</v>
      </c>
    </row>
    <row r="468" spans="1:11" ht="14.4" customHeight="1" x14ac:dyDescent="0.3">
      <c r="A468" s="680" t="s">
        <v>534</v>
      </c>
      <c r="B468" s="671" t="s">
        <v>536</v>
      </c>
      <c r="C468" s="705" t="s">
        <v>556</v>
      </c>
      <c r="D468" s="723" t="s">
        <v>557</v>
      </c>
      <c r="E468" s="705" t="s">
        <v>2547</v>
      </c>
      <c r="F468" s="723" t="s">
        <v>2548</v>
      </c>
      <c r="G468" s="705" t="s">
        <v>3271</v>
      </c>
      <c r="H468" s="705" t="s">
        <v>3272</v>
      </c>
      <c r="I468" s="238">
        <v>10.55</v>
      </c>
      <c r="J468" s="238">
        <v>80</v>
      </c>
      <c r="K468" s="713">
        <v>844.24</v>
      </c>
    </row>
    <row r="469" spans="1:11" ht="14.4" customHeight="1" x14ac:dyDescent="0.3">
      <c r="A469" s="680" t="s">
        <v>534</v>
      </c>
      <c r="B469" s="671" t="s">
        <v>536</v>
      </c>
      <c r="C469" s="705" t="s">
        <v>556</v>
      </c>
      <c r="D469" s="723" t="s">
        <v>557</v>
      </c>
      <c r="E469" s="705" t="s">
        <v>2547</v>
      </c>
      <c r="F469" s="723" t="s">
        <v>2548</v>
      </c>
      <c r="G469" s="705" t="s">
        <v>3273</v>
      </c>
      <c r="H469" s="705" t="s">
        <v>3274</v>
      </c>
      <c r="I469" s="238">
        <v>16.22</v>
      </c>
      <c r="J469" s="238">
        <v>45</v>
      </c>
      <c r="K469" s="713">
        <v>729.95</v>
      </c>
    </row>
    <row r="470" spans="1:11" ht="14.4" customHeight="1" x14ac:dyDescent="0.3">
      <c r="A470" s="680" t="s">
        <v>534</v>
      </c>
      <c r="B470" s="671" t="s">
        <v>536</v>
      </c>
      <c r="C470" s="705" t="s">
        <v>556</v>
      </c>
      <c r="D470" s="723" t="s">
        <v>557</v>
      </c>
      <c r="E470" s="705" t="s">
        <v>2547</v>
      </c>
      <c r="F470" s="723" t="s">
        <v>2548</v>
      </c>
      <c r="G470" s="705" t="s">
        <v>3275</v>
      </c>
      <c r="H470" s="705" t="s">
        <v>3276</v>
      </c>
      <c r="I470" s="238">
        <v>10.55</v>
      </c>
      <c r="J470" s="238">
        <v>280</v>
      </c>
      <c r="K470" s="713">
        <v>2954.2</v>
      </c>
    </row>
    <row r="471" spans="1:11" ht="14.4" customHeight="1" x14ac:dyDescent="0.3">
      <c r="A471" s="680" t="s">
        <v>534</v>
      </c>
      <c r="B471" s="671" t="s">
        <v>536</v>
      </c>
      <c r="C471" s="705" t="s">
        <v>556</v>
      </c>
      <c r="D471" s="723" t="s">
        <v>557</v>
      </c>
      <c r="E471" s="705" t="s">
        <v>2547</v>
      </c>
      <c r="F471" s="723" t="s">
        <v>2548</v>
      </c>
      <c r="G471" s="705" t="s">
        <v>3277</v>
      </c>
      <c r="H471" s="705" t="s">
        <v>3278</v>
      </c>
      <c r="I471" s="238">
        <v>10.55</v>
      </c>
      <c r="J471" s="238">
        <v>160</v>
      </c>
      <c r="K471" s="713">
        <v>1688.43</v>
      </c>
    </row>
    <row r="472" spans="1:11" ht="14.4" customHeight="1" x14ac:dyDescent="0.3">
      <c r="A472" s="680" t="s">
        <v>534</v>
      </c>
      <c r="B472" s="671" t="s">
        <v>536</v>
      </c>
      <c r="C472" s="705" t="s">
        <v>556</v>
      </c>
      <c r="D472" s="723" t="s">
        <v>557</v>
      </c>
      <c r="E472" s="705" t="s">
        <v>2547</v>
      </c>
      <c r="F472" s="723" t="s">
        <v>2548</v>
      </c>
      <c r="G472" s="705" t="s">
        <v>3279</v>
      </c>
      <c r="H472" s="705" t="s">
        <v>3280</v>
      </c>
      <c r="I472" s="238">
        <v>16.21</v>
      </c>
      <c r="J472" s="238">
        <v>75</v>
      </c>
      <c r="K472" s="713">
        <v>1216.0500000000002</v>
      </c>
    </row>
    <row r="473" spans="1:11" ht="14.4" customHeight="1" x14ac:dyDescent="0.3">
      <c r="A473" s="680" t="s">
        <v>534</v>
      </c>
      <c r="B473" s="671" t="s">
        <v>536</v>
      </c>
      <c r="C473" s="705" t="s">
        <v>556</v>
      </c>
      <c r="D473" s="723" t="s">
        <v>557</v>
      </c>
      <c r="E473" s="705" t="s">
        <v>2547</v>
      </c>
      <c r="F473" s="723" t="s">
        <v>2548</v>
      </c>
      <c r="G473" s="705" t="s">
        <v>3281</v>
      </c>
      <c r="H473" s="705" t="s">
        <v>3282</v>
      </c>
      <c r="I473" s="238">
        <v>16.21</v>
      </c>
      <c r="J473" s="238">
        <v>25</v>
      </c>
      <c r="K473" s="713">
        <v>405.35</v>
      </c>
    </row>
    <row r="474" spans="1:11" ht="14.4" customHeight="1" x14ac:dyDescent="0.3">
      <c r="A474" s="680" t="s">
        <v>534</v>
      </c>
      <c r="B474" s="671" t="s">
        <v>536</v>
      </c>
      <c r="C474" s="705" t="s">
        <v>556</v>
      </c>
      <c r="D474" s="723" t="s">
        <v>557</v>
      </c>
      <c r="E474" s="705" t="s">
        <v>2547</v>
      </c>
      <c r="F474" s="723" t="s">
        <v>2548</v>
      </c>
      <c r="G474" s="705" t="s">
        <v>2733</v>
      </c>
      <c r="H474" s="705" t="s">
        <v>2734</v>
      </c>
      <c r="I474" s="238">
        <v>0.77333333333333343</v>
      </c>
      <c r="J474" s="238">
        <v>800</v>
      </c>
      <c r="K474" s="713">
        <v>618</v>
      </c>
    </row>
    <row r="475" spans="1:11" ht="14.4" customHeight="1" x14ac:dyDescent="0.3">
      <c r="A475" s="680" t="s">
        <v>534</v>
      </c>
      <c r="B475" s="671" t="s">
        <v>536</v>
      </c>
      <c r="C475" s="705" t="s">
        <v>556</v>
      </c>
      <c r="D475" s="723" t="s">
        <v>557</v>
      </c>
      <c r="E475" s="705" t="s">
        <v>2547</v>
      </c>
      <c r="F475" s="723" t="s">
        <v>2548</v>
      </c>
      <c r="G475" s="705" t="s">
        <v>2735</v>
      </c>
      <c r="H475" s="705" t="s">
        <v>2736</v>
      </c>
      <c r="I475" s="238">
        <v>0.77333333333333343</v>
      </c>
      <c r="J475" s="238">
        <v>1800</v>
      </c>
      <c r="K475" s="713">
        <v>1388</v>
      </c>
    </row>
    <row r="476" spans="1:11" ht="14.4" customHeight="1" x14ac:dyDescent="0.3">
      <c r="A476" s="680" t="s">
        <v>534</v>
      </c>
      <c r="B476" s="671" t="s">
        <v>536</v>
      </c>
      <c r="C476" s="705" t="s">
        <v>556</v>
      </c>
      <c r="D476" s="723" t="s">
        <v>557</v>
      </c>
      <c r="E476" s="705" t="s">
        <v>2547</v>
      </c>
      <c r="F476" s="723" t="s">
        <v>2548</v>
      </c>
      <c r="G476" s="705" t="s">
        <v>2737</v>
      </c>
      <c r="H476" s="705" t="s">
        <v>2738</v>
      </c>
      <c r="I476" s="238">
        <v>0.77</v>
      </c>
      <c r="J476" s="238">
        <v>1000</v>
      </c>
      <c r="K476" s="713">
        <v>770</v>
      </c>
    </row>
    <row r="477" spans="1:11" ht="14.4" customHeight="1" x14ac:dyDescent="0.3">
      <c r="A477" s="680" t="s">
        <v>534</v>
      </c>
      <c r="B477" s="671" t="s">
        <v>536</v>
      </c>
      <c r="C477" s="705" t="s">
        <v>556</v>
      </c>
      <c r="D477" s="723" t="s">
        <v>557</v>
      </c>
      <c r="E477" s="705" t="s">
        <v>2527</v>
      </c>
      <c r="F477" s="723" t="s">
        <v>2528</v>
      </c>
      <c r="G477" s="705" t="s">
        <v>2935</v>
      </c>
      <c r="H477" s="705" t="s">
        <v>2936</v>
      </c>
      <c r="I477" s="238">
        <v>152.46</v>
      </c>
      <c r="J477" s="238">
        <v>6</v>
      </c>
      <c r="K477" s="713">
        <v>914.76</v>
      </c>
    </row>
    <row r="478" spans="1:11" ht="14.4" customHeight="1" x14ac:dyDescent="0.3">
      <c r="A478" s="680" t="s">
        <v>534</v>
      </c>
      <c r="B478" s="671" t="s">
        <v>536</v>
      </c>
      <c r="C478" s="705" t="s">
        <v>556</v>
      </c>
      <c r="D478" s="723" t="s">
        <v>557</v>
      </c>
      <c r="E478" s="705" t="s">
        <v>2539</v>
      </c>
      <c r="F478" s="723" t="s">
        <v>2540</v>
      </c>
      <c r="G478" s="705" t="s">
        <v>3283</v>
      </c>
      <c r="H478" s="705" t="s">
        <v>3284</v>
      </c>
      <c r="I478" s="238">
        <v>64.8</v>
      </c>
      <c r="J478" s="238">
        <v>72</v>
      </c>
      <c r="K478" s="713">
        <v>4665.78</v>
      </c>
    </row>
    <row r="479" spans="1:11" ht="14.4" customHeight="1" x14ac:dyDescent="0.3">
      <c r="A479" s="680" t="s">
        <v>534</v>
      </c>
      <c r="B479" s="671" t="s">
        <v>536</v>
      </c>
      <c r="C479" s="705" t="s">
        <v>556</v>
      </c>
      <c r="D479" s="723" t="s">
        <v>557</v>
      </c>
      <c r="E479" s="705" t="s">
        <v>2539</v>
      </c>
      <c r="F479" s="723" t="s">
        <v>2540</v>
      </c>
      <c r="G479" s="705" t="s">
        <v>3285</v>
      </c>
      <c r="H479" s="705" t="s">
        <v>3286</v>
      </c>
      <c r="I479" s="238">
        <v>9423</v>
      </c>
      <c r="J479" s="238">
        <v>2</v>
      </c>
      <c r="K479" s="713">
        <v>18846</v>
      </c>
    </row>
    <row r="480" spans="1:11" ht="14.4" customHeight="1" x14ac:dyDescent="0.3">
      <c r="A480" s="680" t="s">
        <v>534</v>
      </c>
      <c r="B480" s="671" t="s">
        <v>536</v>
      </c>
      <c r="C480" s="705" t="s">
        <v>556</v>
      </c>
      <c r="D480" s="723" t="s">
        <v>557</v>
      </c>
      <c r="E480" s="705" t="s">
        <v>2539</v>
      </c>
      <c r="F480" s="723" t="s">
        <v>2540</v>
      </c>
      <c r="G480" s="705" t="s">
        <v>3287</v>
      </c>
      <c r="H480" s="705" t="s">
        <v>3288</v>
      </c>
      <c r="I480" s="238">
        <v>6989.94</v>
      </c>
      <c r="J480" s="238">
        <v>1</v>
      </c>
      <c r="K480" s="713">
        <v>6989.94</v>
      </c>
    </row>
    <row r="481" spans="1:11" ht="14.4" customHeight="1" x14ac:dyDescent="0.3">
      <c r="A481" s="680" t="s">
        <v>534</v>
      </c>
      <c r="B481" s="671" t="s">
        <v>536</v>
      </c>
      <c r="C481" s="705" t="s">
        <v>556</v>
      </c>
      <c r="D481" s="723" t="s">
        <v>557</v>
      </c>
      <c r="E481" s="705" t="s">
        <v>2539</v>
      </c>
      <c r="F481" s="723" t="s">
        <v>2540</v>
      </c>
      <c r="G481" s="705" t="s">
        <v>3289</v>
      </c>
      <c r="H481" s="705" t="s">
        <v>3290</v>
      </c>
      <c r="I481" s="238">
        <v>9851.3799999999992</v>
      </c>
      <c r="J481" s="238">
        <v>1</v>
      </c>
      <c r="K481" s="713">
        <v>9851.3799999999992</v>
      </c>
    </row>
    <row r="482" spans="1:11" ht="14.4" customHeight="1" x14ac:dyDescent="0.3">
      <c r="A482" s="680" t="s">
        <v>534</v>
      </c>
      <c r="B482" s="671" t="s">
        <v>536</v>
      </c>
      <c r="C482" s="705" t="s">
        <v>556</v>
      </c>
      <c r="D482" s="723" t="s">
        <v>557</v>
      </c>
      <c r="E482" s="705" t="s">
        <v>2539</v>
      </c>
      <c r="F482" s="723" t="s">
        <v>2540</v>
      </c>
      <c r="G482" s="705" t="s">
        <v>3291</v>
      </c>
      <c r="H482" s="705" t="s">
        <v>3292</v>
      </c>
      <c r="I482" s="238">
        <v>9851.39</v>
      </c>
      <c r="J482" s="238">
        <v>2</v>
      </c>
      <c r="K482" s="713">
        <v>19702.78</v>
      </c>
    </row>
    <row r="483" spans="1:11" ht="14.4" customHeight="1" thickBot="1" x14ac:dyDescent="0.35">
      <c r="A483" s="637" t="s">
        <v>534</v>
      </c>
      <c r="B483" s="673" t="s">
        <v>536</v>
      </c>
      <c r="C483" s="709" t="s">
        <v>556</v>
      </c>
      <c r="D483" s="724" t="s">
        <v>557</v>
      </c>
      <c r="E483" s="709" t="s">
        <v>2539</v>
      </c>
      <c r="F483" s="724" t="s">
        <v>2540</v>
      </c>
      <c r="G483" s="709" t="s">
        <v>3293</v>
      </c>
      <c r="H483" s="709" t="s">
        <v>3294</v>
      </c>
      <c r="I483" s="674">
        <v>9851.39</v>
      </c>
      <c r="J483" s="674">
        <v>1</v>
      </c>
      <c r="K483" s="714">
        <v>9851.39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M31"/>
  <sheetViews>
    <sheetView showGridLines="0" showRowColHeader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L1"/>
    </sheetView>
  </sheetViews>
  <sheetFormatPr defaultRowHeight="14.4" outlineLevelRow="1" x14ac:dyDescent="0.3"/>
  <cols>
    <col min="1" max="1" width="37.21875" customWidth="1"/>
    <col min="2" max="2" width="12.21875" customWidth="1"/>
    <col min="3" max="3" width="12.21875" hidden="1" customWidth="1"/>
    <col min="4" max="4" width="12.21875" customWidth="1"/>
    <col min="5" max="5" width="12.21875" hidden="1" customWidth="1"/>
    <col min="6" max="6" width="12.21875" customWidth="1"/>
    <col min="7" max="8" width="12.21875" hidden="1" customWidth="1"/>
    <col min="9" max="11" width="12.21875" customWidth="1"/>
    <col min="12" max="12" width="12.21875" hidden="1" customWidth="1"/>
  </cols>
  <sheetData>
    <row r="1" spans="1:12" ht="18.600000000000001" thickBot="1" x14ac:dyDescent="0.4">
      <c r="A1" s="520" t="s">
        <v>134</v>
      </c>
      <c r="B1" s="521"/>
      <c r="C1" s="521"/>
      <c r="D1" s="521"/>
      <c r="E1" s="521"/>
      <c r="F1" s="521"/>
      <c r="G1" s="521"/>
      <c r="H1" s="521"/>
      <c r="I1" s="521"/>
      <c r="J1" s="521"/>
      <c r="K1" s="521"/>
      <c r="L1" s="521"/>
    </row>
    <row r="2" spans="1:12" ht="15" thickBot="1" x14ac:dyDescent="0.35">
      <c r="A2" s="389" t="s">
        <v>298</v>
      </c>
      <c r="B2" s="390"/>
      <c r="C2" s="390"/>
      <c r="D2" s="390"/>
      <c r="E2" s="390"/>
      <c r="F2" s="390"/>
      <c r="G2" s="390"/>
      <c r="H2" s="390"/>
      <c r="I2" s="390"/>
      <c r="J2" s="390"/>
      <c r="K2" s="390"/>
      <c r="L2" s="390"/>
    </row>
    <row r="3" spans="1:12" x14ac:dyDescent="0.3">
      <c r="A3" s="410" t="s">
        <v>292</v>
      </c>
      <c r="B3" s="522" t="s">
        <v>270</v>
      </c>
      <c r="C3" s="391">
        <v>0</v>
      </c>
      <c r="D3" s="392">
        <v>101</v>
      </c>
      <c r="E3" s="413">
        <v>203</v>
      </c>
      <c r="F3" s="392" t="s">
        <v>250</v>
      </c>
      <c r="G3" s="392" t="s">
        <v>251</v>
      </c>
      <c r="H3" s="392" t="s">
        <v>252</v>
      </c>
      <c r="I3" s="392" t="s">
        <v>253</v>
      </c>
      <c r="J3" s="392" t="s">
        <v>254</v>
      </c>
      <c r="K3" s="392">
        <v>930</v>
      </c>
      <c r="L3" s="393">
        <v>940</v>
      </c>
    </row>
    <row r="4" spans="1:12" ht="60.6" outlineLevel="1" thickBot="1" x14ac:dyDescent="0.35">
      <c r="A4" s="411">
        <v>2014</v>
      </c>
      <c r="B4" s="523"/>
      <c r="C4" s="394" t="s">
        <v>271</v>
      </c>
      <c r="D4" s="395" t="s">
        <v>272</v>
      </c>
      <c r="E4" s="414" t="s">
        <v>273</v>
      </c>
      <c r="F4" s="395" t="s">
        <v>274</v>
      </c>
      <c r="G4" s="395" t="s">
        <v>275</v>
      </c>
      <c r="H4" s="395" t="s">
        <v>276</v>
      </c>
      <c r="I4" s="395" t="s">
        <v>277</v>
      </c>
      <c r="J4" s="395" t="s">
        <v>278</v>
      </c>
      <c r="K4" s="395" t="s">
        <v>279</v>
      </c>
      <c r="L4" s="396" t="s">
        <v>280</v>
      </c>
    </row>
    <row r="5" spans="1:12" x14ac:dyDescent="0.3">
      <c r="A5" s="397" t="s">
        <v>281</v>
      </c>
      <c r="B5" s="441"/>
      <c r="C5" s="442"/>
      <c r="D5" s="443"/>
      <c r="E5" s="443"/>
      <c r="F5" s="443"/>
      <c r="G5" s="443"/>
      <c r="H5" s="443"/>
      <c r="I5" s="443"/>
      <c r="J5" s="443"/>
      <c r="K5" s="443"/>
      <c r="L5" s="444"/>
    </row>
    <row r="6" spans="1:12" ht="15" collapsed="1" thickBot="1" x14ac:dyDescent="0.35">
      <c r="A6" s="398" t="s">
        <v>97</v>
      </c>
      <c r="B6" s="445">
        <f xml:space="preserve">
TRUNC(IF($A$4&lt;=12,SUMIFS('ON Data'!D:D,'ON Data'!$B:$B,$A$4,'ON Data'!$C:$C,1),SUMIFS('ON Data'!D:D,'ON Data'!$C:$C,1)/'ON Data'!$B$3),1)</f>
        <v>95.6</v>
      </c>
      <c r="C6" s="446">
        <f xml:space="preserve">
TRUNC(IF($A$4&lt;=12,SUMIFS('ON Data'!E:E,'ON Data'!$B:$B,$A$4,'ON Data'!$C:$C,1),SUMIFS('ON Data'!E:E,'ON Data'!$C:$C,1)/'ON Data'!$B$3),1)</f>
        <v>0</v>
      </c>
      <c r="D6" s="447">
        <f xml:space="preserve">
TRUNC(IF($A$4&lt;=12,SUMIFS('ON Data'!F:F,'ON Data'!$B:$B,$A$4,'ON Data'!$C:$C,1),SUMIFS('ON Data'!F:F,'ON Data'!$C:$C,1)/'ON Data'!$B$3),1)</f>
        <v>19</v>
      </c>
      <c r="E6" s="447">
        <f xml:space="preserve">
TRUNC(IF($A$4&lt;=12,SUMIFS('ON Data'!H:H,'ON Data'!$B:$B,$A$4,'ON Data'!$C:$C,1),SUMIFS('ON Data'!H:H,'ON Data'!$C:$C,1)/'ON Data'!$B$3),1)</f>
        <v>0</v>
      </c>
      <c r="F6" s="447">
        <f xml:space="preserve">
TRUNC(IF($A$4&lt;=12,SUMIFS('ON Data'!I:I,'ON Data'!$B:$B,$A$4,'ON Data'!$C:$C,1),SUMIFS('ON Data'!I:I,'ON Data'!$C:$C,1)/'ON Data'!$B$3),1)</f>
        <v>61.8</v>
      </c>
      <c r="G6" s="447">
        <f xml:space="preserve">
TRUNC(IF($A$4&lt;=12,SUMIFS('ON Data'!J:J,'ON Data'!$B:$B,$A$4,'ON Data'!$C:$C,1),SUMIFS('ON Data'!J:J,'ON Data'!$C:$C,1)/'ON Data'!$B$3),1)</f>
        <v>0</v>
      </c>
      <c r="H6" s="447">
        <f xml:space="preserve">
TRUNC(IF($A$4&lt;=12,SUMIFS('ON Data'!K:K,'ON Data'!$B:$B,$A$4,'ON Data'!$C:$C,1),SUMIFS('ON Data'!K:K,'ON Data'!$C:$C,1)/'ON Data'!$B$3),1)</f>
        <v>0</v>
      </c>
      <c r="I6" s="447">
        <f xml:space="preserve">
TRUNC(IF($A$4&lt;=12,SUMIFS('ON Data'!L:L,'ON Data'!$B:$B,$A$4,'ON Data'!$C:$C,1),SUMIFS('ON Data'!L:L,'ON Data'!$C:$C,1)/'ON Data'!$B$3),1)</f>
        <v>11.7</v>
      </c>
      <c r="J6" s="447">
        <f xml:space="preserve">
TRUNC(IF($A$4&lt;=12,SUMIFS('ON Data'!M:M,'ON Data'!$B:$B,$A$4,'ON Data'!$C:$C,1),SUMIFS('ON Data'!M:M,'ON Data'!$C:$C,1)/'ON Data'!$B$3),1)</f>
        <v>1</v>
      </c>
      <c r="K6" s="447">
        <f xml:space="preserve">
TRUNC(IF($A$4&lt;=12,SUMIFS('ON Data'!N:N,'ON Data'!$B:$B,$A$4,'ON Data'!$C:$C,1),SUMIFS('ON Data'!N:N,'ON Data'!$C:$C,1)/'ON Data'!$B$3),1)</f>
        <v>2</v>
      </c>
      <c r="L6" s="448">
        <f xml:space="preserve">
TRUNC(IF($A$4&lt;=12,SUMIFS('ON Data'!O:O,'ON Data'!$B:$B,$A$4,'ON Data'!$C:$C,1),SUMIFS('ON Data'!O:O,'ON Data'!$C:$C,1)/'ON Data'!$B$3),1)</f>
        <v>0</v>
      </c>
    </row>
    <row r="7" spans="1:12" ht="15" hidden="1" outlineLevel="1" thickBot="1" x14ac:dyDescent="0.35">
      <c r="A7" s="398" t="s">
        <v>135</v>
      </c>
      <c r="B7" s="445"/>
      <c r="C7" s="449"/>
      <c r="D7" s="447"/>
      <c r="E7" s="447"/>
      <c r="F7" s="447"/>
      <c r="G7" s="447"/>
      <c r="H7" s="447"/>
      <c r="I7" s="447"/>
      <c r="J7" s="447"/>
      <c r="K7" s="447"/>
      <c r="L7" s="448"/>
    </row>
    <row r="8" spans="1:12" ht="15" hidden="1" outlineLevel="1" thickBot="1" x14ac:dyDescent="0.35">
      <c r="A8" s="398" t="s">
        <v>99</v>
      </c>
      <c r="B8" s="445"/>
      <c r="C8" s="449"/>
      <c r="D8" s="447"/>
      <c r="E8" s="447"/>
      <c r="F8" s="447"/>
      <c r="G8" s="447"/>
      <c r="H8" s="447"/>
      <c r="I8" s="447"/>
      <c r="J8" s="447"/>
      <c r="K8" s="447"/>
      <c r="L8" s="448"/>
    </row>
    <row r="9" spans="1:12" ht="15" hidden="1" outlineLevel="1" thickBot="1" x14ac:dyDescent="0.35">
      <c r="A9" s="399" t="s">
        <v>72</v>
      </c>
      <c r="B9" s="450"/>
      <c r="C9" s="451"/>
      <c r="D9" s="452"/>
      <c r="E9" s="452"/>
      <c r="F9" s="452"/>
      <c r="G9" s="452"/>
      <c r="H9" s="452"/>
      <c r="I9" s="452"/>
      <c r="J9" s="452"/>
      <c r="K9" s="452"/>
      <c r="L9" s="453"/>
    </row>
    <row r="10" spans="1:12" x14ac:dyDescent="0.3">
      <c r="A10" s="400" t="s">
        <v>282</v>
      </c>
      <c r="B10" s="415"/>
      <c r="C10" s="416"/>
      <c r="D10" s="417"/>
      <c r="E10" s="417"/>
      <c r="F10" s="417"/>
      <c r="G10" s="417"/>
      <c r="H10" s="417"/>
      <c r="I10" s="417"/>
      <c r="J10" s="417"/>
      <c r="K10" s="417"/>
      <c r="L10" s="418"/>
    </row>
    <row r="11" spans="1:12" x14ac:dyDescent="0.3">
      <c r="A11" s="401" t="s">
        <v>283</v>
      </c>
      <c r="B11" s="419">
        <f xml:space="preserve">
IF($A$4&lt;=12,SUMIFS('ON Data'!D:D,'ON Data'!$B:$B,$A$4,'ON Data'!$C:$C,2),SUMIFS('ON Data'!D:D,'ON Data'!$C:$C,2))</f>
        <v>28137.309999999998</v>
      </c>
      <c r="C11" s="420">
        <f xml:space="preserve">
IF($A$4&lt;=12,SUMIFS('ON Data'!E:E,'ON Data'!$B:$B,$A$4,'ON Data'!$C:$C,2),SUMIFS('ON Data'!E:E,'ON Data'!$C:$C,2))</f>
        <v>0</v>
      </c>
      <c r="D11" s="421">
        <f xml:space="preserve">
IF($A$4&lt;=12,SUMIFS('ON Data'!F:F,'ON Data'!$B:$B,$A$4,'ON Data'!$C:$C,2),SUMIFS('ON Data'!F:F,'ON Data'!$C:$C,2))</f>
        <v>6120</v>
      </c>
      <c r="E11" s="421">
        <f xml:space="preserve">
IF($A$4&lt;=12,SUMIFS('ON Data'!H:H,'ON Data'!$B:$B,$A$4,'ON Data'!$C:$C,2),SUMIFS('ON Data'!H:H,'ON Data'!$C:$C,2))</f>
        <v>0</v>
      </c>
      <c r="F11" s="421">
        <f xml:space="preserve">
IF($A$4&lt;=12,SUMIFS('ON Data'!I:I,'ON Data'!$B:$B,$A$4,'ON Data'!$C:$C,2),SUMIFS('ON Data'!I:I,'ON Data'!$C:$C,2))</f>
        <v>17639.25</v>
      </c>
      <c r="G11" s="421">
        <f xml:space="preserve">
IF($A$4&lt;=12,SUMIFS('ON Data'!J:J,'ON Data'!$B:$B,$A$4,'ON Data'!$C:$C,2),SUMIFS('ON Data'!J:J,'ON Data'!$C:$C,2))</f>
        <v>0</v>
      </c>
      <c r="H11" s="421">
        <f xml:space="preserve">
IF($A$4&lt;=12,SUMIFS('ON Data'!K:K,'ON Data'!$B:$B,$A$4,'ON Data'!$C:$C,2),SUMIFS('ON Data'!K:K,'ON Data'!$C:$C,2))</f>
        <v>0</v>
      </c>
      <c r="I11" s="421">
        <f xml:space="preserve">
IF($A$4&lt;=12,SUMIFS('ON Data'!L:L,'ON Data'!$B:$B,$A$4,'ON Data'!$C:$C,2),SUMIFS('ON Data'!L:L,'ON Data'!$C:$C,2))</f>
        <v>3396.06</v>
      </c>
      <c r="J11" s="421">
        <f xml:space="preserve">
IF($A$4&lt;=12,SUMIFS('ON Data'!M:M,'ON Data'!$B:$B,$A$4,'ON Data'!$C:$C,2),SUMIFS('ON Data'!M:M,'ON Data'!$C:$C,2))</f>
        <v>310</v>
      </c>
      <c r="K11" s="421">
        <f xml:space="preserve">
IF($A$4&lt;=12,SUMIFS('ON Data'!N:N,'ON Data'!$B:$B,$A$4,'ON Data'!$C:$C,2),SUMIFS('ON Data'!N:N,'ON Data'!$C:$C,2))</f>
        <v>672</v>
      </c>
      <c r="L11" s="422">
        <f xml:space="preserve">
IF($A$4&lt;=12,SUMIFS('ON Data'!O:O,'ON Data'!$B:$B,$A$4,'ON Data'!$C:$C,2),SUMIFS('ON Data'!O:O,'ON Data'!$C:$C,2))</f>
        <v>0</v>
      </c>
    </row>
    <row r="12" spans="1:12" x14ac:dyDescent="0.3">
      <c r="A12" s="401" t="s">
        <v>284</v>
      </c>
      <c r="B12" s="419">
        <f xml:space="preserve">
IF($A$4&lt;=12,SUMIFS('ON Data'!D:D,'ON Data'!$B:$B,$A$4,'ON Data'!$C:$C,3),SUMIFS('ON Data'!D:D,'ON Data'!$C:$C,3))</f>
        <v>32</v>
      </c>
      <c r="C12" s="420">
        <f xml:space="preserve">
IF($A$4&lt;=12,SUMIFS('ON Data'!E:E,'ON Data'!$B:$B,$A$4,'ON Data'!$C:$C,3),SUMIFS('ON Data'!E:E,'ON Data'!$C:$C,3))</f>
        <v>0</v>
      </c>
      <c r="D12" s="421">
        <f xml:space="preserve">
IF($A$4&lt;=12,SUMIFS('ON Data'!F:F,'ON Data'!$B:$B,$A$4,'ON Data'!$C:$C,3),SUMIFS('ON Data'!F:F,'ON Data'!$C:$C,3))</f>
        <v>0</v>
      </c>
      <c r="E12" s="421">
        <f xml:space="preserve">
IF($A$4&lt;=12,SUMIFS('ON Data'!H:H,'ON Data'!$B:$B,$A$4,'ON Data'!$C:$C,3),SUMIFS('ON Data'!H:H,'ON Data'!$C:$C,3))</f>
        <v>0</v>
      </c>
      <c r="F12" s="421">
        <f xml:space="preserve">
IF($A$4&lt;=12,SUMIFS('ON Data'!I:I,'ON Data'!$B:$B,$A$4,'ON Data'!$C:$C,3),SUMIFS('ON Data'!I:I,'ON Data'!$C:$C,3))</f>
        <v>27</v>
      </c>
      <c r="G12" s="421">
        <f xml:space="preserve">
IF($A$4&lt;=12,SUMIFS('ON Data'!J:J,'ON Data'!$B:$B,$A$4,'ON Data'!$C:$C,3),SUMIFS('ON Data'!J:J,'ON Data'!$C:$C,3))</f>
        <v>0</v>
      </c>
      <c r="H12" s="421">
        <f xml:space="preserve">
IF($A$4&lt;=12,SUMIFS('ON Data'!K:K,'ON Data'!$B:$B,$A$4,'ON Data'!$C:$C,3),SUMIFS('ON Data'!K:K,'ON Data'!$C:$C,3))</f>
        <v>0</v>
      </c>
      <c r="I12" s="421">
        <f xml:space="preserve">
IF($A$4&lt;=12,SUMIFS('ON Data'!L:L,'ON Data'!$B:$B,$A$4,'ON Data'!$C:$C,3),SUMIFS('ON Data'!L:L,'ON Data'!$C:$C,3))</f>
        <v>5</v>
      </c>
      <c r="J12" s="421">
        <f xml:space="preserve">
IF($A$4&lt;=12,SUMIFS('ON Data'!M:M,'ON Data'!$B:$B,$A$4,'ON Data'!$C:$C,3),SUMIFS('ON Data'!M:M,'ON Data'!$C:$C,3))</f>
        <v>0</v>
      </c>
      <c r="K12" s="421">
        <f xml:space="preserve">
IF($A$4&lt;=12,SUMIFS('ON Data'!N:N,'ON Data'!$B:$B,$A$4,'ON Data'!$C:$C,3),SUMIFS('ON Data'!N:N,'ON Data'!$C:$C,3))</f>
        <v>0</v>
      </c>
      <c r="L12" s="422">
        <f xml:space="preserve">
IF($A$4&lt;=12,SUMIFS('ON Data'!O:O,'ON Data'!$B:$B,$A$4,'ON Data'!$C:$C,3),SUMIFS('ON Data'!O:O,'ON Data'!$C:$C,3))</f>
        <v>0</v>
      </c>
    </row>
    <row r="13" spans="1:12" x14ac:dyDescent="0.3">
      <c r="A13" s="401" t="s">
        <v>293</v>
      </c>
      <c r="B13" s="419">
        <f xml:space="preserve">
IF($A$4&lt;=12,SUMIFS('ON Data'!D:D,'ON Data'!$B:$B,$A$4,'ON Data'!$C:$C,4),SUMIFS('ON Data'!D:D,'ON Data'!$C:$C,4))</f>
        <v>708</v>
      </c>
      <c r="C13" s="420">
        <f xml:space="preserve">
IF($A$4&lt;=12,SUMIFS('ON Data'!E:E,'ON Data'!$B:$B,$A$4,'ON Data'!$C:$C,4),SUMIFS('ON Data'!E:E,'ON Data'!$C:$C,4))</f>
        <v>0</v>
      </c>
      <c r="D13" s="421">
        <f xml:space="preserve">
IF($A$4&lt;=12,SUMIFS('ON Data'!F:F,'ON Data'!$B:$B,$A$4,'ON Data'!$C:$C,4),SUMIFS('ON Data'!F:F,'ON Data'!$C:$C,4))</f>
        <v>86</v>
      </c>
      <c r="E13" s="421">
        <f xml:space="preserve">
IF($A$4&lt;=12,SUMIFS('ON Data'!H:H,'ON Data'!$B:$B,$A$4,'ON Data'!$C:$C,4),SUMIFS('ON Data'!H:H,'ON Data'!$C:$C,4))</f>
        <v>0</v>
      </c>
      <c r="F13" s="421">
        <f xml:space="preserve">
IF($A$4&lt;=12,SUMIFS('ON Data'!I:I,'ON Data'!$B:$B,$A$4,'ON Data'!$C:$C,4),SUMIFS('ON Data'!I:I,'ON Data'!$C:$C,4))</f>
        <v>559</v>
      </c>
      <c r="G13" s="421">
        <f xml:space="preserve">
IF($A$4&lt;=12,SUMIFS('ON Data'!J:J,'ON Data'!$B:$B,$A$4,'ON Data'!$C:$C,4),SUMIFS('ON Data'!J:J,'ON Data'!$C:$C,4))</f>
        <v>0</v>
      </c>
      <c r="H13" s="421">
        <f xml:space="preserve">
IF($A$4&lt;=12,SUMIFS('ON Data'!K:K,'ON Data'!$B:$B,$A$4,'ON Data'!$C:$C,4),SUMIFS('ON Data'!K:K,'ON Data'!$C:$C,4))</f>
        <v>0</v>
      </c>
      <c r="I13" s="421">
        <f xml:space="preserve">
IF($A$4&lt;=12,SUMIFS('ON Data'!L:L,'ON Data'!$B:$B,$A$4,'ON Data'!$C:$C,4),SUMIFS('ON Data'!L:L,'ON Data'!$C:$C,4))</f>
        <v>10</v>
      </c>
      <c r="J13" s="421">
        <f xml:space="preserve">
IF($A$4&lt;=12,SUMIFS('ON Data'!M:M,'ON Data'!$B:$B,$A$4,'ON Data'!$C:$C,4),SUMIFS('ON Data'!M:M,'ON Data'!$C:$C,4))</f>
        <v>53</v>
      </c>
      <c r="K13" s="421">
        <f xml:space="preserve">
IF($A$4&lt;=12,SUMIFS('ON Data'!N:N,'ON Data'!$B:$B,$A$4,'ON Data'!$C:$C,4),SUMIFS('ON Data'!N:N,'ON Data'!$C:$C,4))</f>
        <v>0</v>
      </c>
      <c r="L13" s="422">
        <f xml:space="preserve">
IF($A$4&lt;=12,SUMIFS('ON Data'!O:O,'ON Data'!$B:$B,$A$4,'ON Data'!$C:$C,4),SUMIFS('ON Data'!O:O,'ON Data'!$C:$C,4))</f>
        <v>0</v>
      </c>
    </row>
    <row r="14" spans="1:12" ht="15" thickBot="1" x14ac:dyDescent="0.35">
      <c r="A14" s="402" t="s">
        <v>285</v>
      </c>
      <c r="B14" s="423">
        <f xml:space="preserve">
IF($A$4&lt;=12,SUMIFS('ON Data'!D:D,'ON Data'!$B:$B,$A$4,'ON Data'!$C:$C,5),SUMIFS('ON Data'!D:D,'ON Data'!$C:$C,5))</f>
        <v>0</v>
      </c>
      <c r="C14" s="424">
        <f xml:space="preserve">
IF($A$4&lt;=12,SUMIFS('ON Data'!E:E,'ON Data'!$B:$B,$A$4,'ON Data'!$C:$C,5),SUMIFS('ON Data'!E:E,'ON Data'!$C:$C,5))</f>
        <v>0</v>
      </c>
      <c r="D14" s="425">
        <f xml:space="preserve">
IF($A$4&lt;=12,SUMIFS('ON Data'!F:F,'ON Data'!$B:$B,$A$4,'ON Data'!$C:$C,5),SUMIFS('ON Data'!F:F,'ON Data'!$C:$C,5))</f>
        <v>0</v>
      </c>
      <c r="E14" s="425">
        <f xml:space="preserve">
IF($A$4&lt;=12,SUMIFS('ON Data'!H:H,'ON Data'!$B:$B,$A$4,'ON Data'!$C:$C,5),SUMIFS('ON Data'!H:H,'ON Data'!$C:$C,5))</f>
        <v>0</v>
      </c>
      <c r="F14" s="425">
        <f xml:space="preserve">
IF($A$4&lt;=12,SUMIFS('ON Data'!I:I,'ON Data'!$B:$B,$A$4,'ON Data'!$C:$C,5),SUMIFS('ON Data'!I:I,'ON Data'!$C:$C,5))</f>
        <v>0</v>
      </c>
      <c r="G14" s="425">
        <f xml:space="preserve">
IF($A$4&lt;=12,SUMIFS('ON Data'!J:J,'ON Data'!$B:$B,$A$4,'ON Data'!$C:$C,5),SUMIFS('ON Data'!J:J,'ON Data'!$C:$C,5))</f>
        <v>0</v>
      </c>
      <c r="H14" s="425">
        <f xml:space="preserve">
IF($A$4&lt;=12,SUMIFS('ON Data'!K:K,'ON Data'!$B:$B,$A$4,'ON Data'!$C:$C,5),SUMIFS('ON Data'!K:K,'ON Data'!$C:$C,5))</f>
        <v>0</v>
      </c>
      <c r="I14" s="425">
        <f xml:space="preserve">
IF($A$4&lt;=12,SUMIFS('ON Data'!L:L,'ON Data'!$B:$B,$A$4,'ON Data'!$C:$C,5),SUMIFS('ON Data'!L:L,'ON Data'!$C:$C,5))</f>
        <v>0</v>
      </c>
      <c r="J14" s="425">
        <f xml:space="preserve">
IF($A$4&lt;=12,SUMIFS('ON Data'!M:M,'ON Data'!$B:$B,$A$4,'ON Data'!$C:$C,5),SUMIFS('ON Data'!M:M,'ON Data'!$C:$C,5))</f>
        <v>0</v>
      </c>
      <c r="K14" s="425">
        <f xml:space="preserve">
IF($A$4&lt;=12,SUMIFS('ON Data'!N:N,'ON Data'!$B:$B,$A$4,'ON Data'!$C:$C,5),SUMIFS('ON Data'!N:N,'ON Data'!$C:$C,5))</f>
        <v>0</v>
      </c>
      <c r="L14" s="426">
        <f xml:space="preserve">
IF($A$4&lt;=12,SUMIFS('ON Data'!O:O,'ON Data'!$B:$B,$A$4,'ON Data'!$C:$C,5),SUMIFS('ON Data'!O:O,'ON Data'!$C:$C,5))</f>
        <v>0</v>
      </c>
    </row>
    <row r="15" spans="1:12" x14ac:dyDescent="0.3">
      <c r="A15" s="295" t="s">
        <v>297</v>
      </c>
      <c r="B15" s="427"/>
      <c r="C15" s="428"/>
      <c r="D15" s="429"/>
      <c r="E15" s="429"/>
      <c r="F15" s="429"/>
      <c r="G15" s="429"/>
      <c r="H15" s="429"/>
      <c r="I15" s="429"/>
      <c r="J15" s="429"/>
      <c r="K15" s="429"/>
      <c r="L15" s="430"/>
    </row>
    <row r="16" spans="1:12" x14ac:dyDescent="0.3">
      <c r="A16" s="403" t="s">
        <v>286</v>
      </c>
      <c r="B16" s="419">
        <f xml:space="preserve">
IF($A$4&lt;=12,SUMIFS('ON Data'!D:D,'ON Data'!$B:$B,$A$4,'ON Data'!$C:$C,7),SUMIFS('ON Data'!D:D,'ON Data'!$C:$C,7))</f>
        <v>0</v>
      </c>
      <c r="C16" s="420">
        <f xml:space="preserve">
IF($A$4&lt;=12,SUMIFS('ON Data'!E:E,'ON Data'!$B:$B,$A$4,'ON Data'!$C:$C,7),SUMIFS('ON Data'!E:E,'ON Data'!$C:$C,7))</f>
        <v>0</v>
      </c>
      <c r="D16" s="421">
        <f xml:space="preserve">
IF($A$4&lt;=12,SUMIFS('ON Data'!F:F,'ON Data'!$B:$B,$A$4,'ON Data'!$C:$C,7),SUMIFS('ON Data'!F:F,'ON Data'!$C:$C,7))</f>
        <v>0</v>
      </c>
      <c r="E16" s="421">
        <f xml:space="preserve">
IF($A$4&lt;=12,SUMIFS('ON Data'!H:H,'ON Data'!$B:$B,$A$4,'ON Data'!$C:$C,7),SUMIFS('ON Data'!H:H,'ON Data'!$C:$C,7))</f>
        <v>0</v>
      </c>
      <c r="F16" s="421">
        <f xml:space="preserve">
IF($A$4&lt;=12,SUMIFS('ON Data'!I:I,'ON Data'!$B:$B,$A$4,'ON Data'!$C:$C,7),SUMIFS('ON Data'!I:I,'ON Data'!$C:$C,7))</f>
        <v>0</v>
      </c>
      <c r="G16" s="421">
        <f xml:space="preserve">
IF($A$4&lt;=12,SUMIFS('ON Data'!J:J,'ON Data'!$B:$B,$A$4,'ON Data'!$C:$C,7),SUMIFS('ON Data'!J:J,'ON Data'!$C:$C,7))</f>
        <v>0</v>
      </c>
      <c r="H16" s="421">
        <f xml:space="preserve">
IF($A$4&lt;=12,SUMIFS('ON Data'!K:K,'ON Data'!$B:$B,$A$4,'ON Data'!$C:$C,7),SUMIFS('ON Data'!K:K,'ON Data'!$C:$C,7))</f>
        <v>0</v>
      </c>
      <c r="I16" s="421">
        <f xml:space="preserve">
IF($A$4&lt;=12,SUMIFS('ON Data'!L:L,'ON Data'!$B:$B,$A$4,'ON Data'!$C:$C,7),SUMIFS('ON Data'!L:L,'ON Data'!$C:$C,7))</f>
        <v>0</v>
      </c>
      <c r="J16" s="421">
        <f xml:space="preserve">
IF($A$4&lt;=12,SUMIFS('ON Data'!M:M,'ON Data'!$B:$B,$A$4,'ON Data'!$C:$C,7),SUMIFS('ON Data'!M:M,'ON Data'!$C:$C,7))</f>
        <v>0</v>
      </c>
      <c r="K16" s="421">
        <f xml:space="preserve">
IF($A$4&lt;=12,SUMIFS('ON Data'!N:N,'ON Data'!$B:$B,$A$4,'ON Data'!$C:$C,7),SUMIFS('ON Data'!N:N,'ON Data'!$C:$C,7))</f>
        <v>0</v>
      </c>
      <c r="L16" s="422">
        <f xml:space="preserve">
IF($A$4&lt;=12,SUMIFS('ON Data'!O:O,'ON Data'!$B:$B,$A$4,'ON Data'!$C:$C,7),SUMIFS('ON Data'!O:O,'ON Data'!$C:$C,7))</f>
        <v>0</v>
      </c>
    </row>
    <row r="17" spans="1:12" x14ac:dyDescent="0.3">
      <c r="A17" s="403" t="s">
        <v>287</v>
      </c>
      <c r="B17" s="419">
        <f xml:space="preserve">
IF($A$4&lt;=12,SUMIFS('ON Data'!D:D,'ON Data'!$B:$B,$A$4,'ON Data'!$C:$C,8),SUMIFS('ON Data'!D:D,'ON Data'!$C:$C,8))</f>
        <v>0</v>
      </c>
      <c r="C17" s="420">
        <f xml:space="preserve">
IF($A$4&lt;=12,SUMIFS('ON Data'!E:E,'ON Data'!$B:$B,$A$4,'ON Data'!$C:$C,8),SUMIFS('ON Data'!E:E,'ON Data'!$C:$C,8))</f>
        <v>0</v>
      </c>
      <c r="D17" s="421">
        <f xml:space="preserve">
IF($A$4&lt;=12,SUMIFS('ON Data'!F:F,'ON Data'!$B:$B,$A$4,'ON Data'!$C:$C,8),SUMIFS('ON Data'!F:F,'ON Data'!$C:$C,8))</f>
        <v>0</v>
      </c>
      <c r="E17" s="421">
        <f xml:space="preserve">
IF($A$4&lt;=12,SUMIFS('ON Data'!H:H,'ON Data'!$B:$B,$A$4,'ON Data'!$C:$C,8),SUMIFS('ON Data'!H:H,'ON Data'!$C:$C,8))</f>
        <v>0</v>
      </c>
      <c r="F17" s="421">
        <f xml:space="preserve">
IF($A$4&lt;=12,SUMIFS('ON Data'!I:I,'ON Data'!$B:$B,$A$4,'ON Data'!$C:$C,8),SUMIFS('ON Data'!I:I,'ON Data'!$C:$C,8))</f>
        <v>0</v>
      </c>
      <c r="G17" s="421">
        <f xml:space="preserve">
IF($A$4&lt;=12,SUMIFS('ON Data'!J:J,'ON Data'!$B:$B,$A$4,'ON Data'!$C:$C,8),SUMIFS('ON Data'!J:J,'ON Data'!$C:$C,8))</f>
        <v>0</v>
      </c>
      <c r="H17" s="421">
        <f xml:space="preserve">
IF($A$4&lt;=12,SUMIFS('ON Data'!K:K,'ON Data'!$B:$B,$A$4,'ON Data'!$C:$C,8),SUMIFS('ON Data'!K:K,'ON Data'!$C:$C,8))</f>
        <v>0</v>
      </c>
      <c r="I17" s="421">
        <f xml:space="preserve">
IF($A$4&lt;=12,SUMIFS('ON Data'!L:L,'ON Data'!$B:$B,$A$4,'ON Data'!$C:$C,8),SUMIFS('ON Data'!L:L,'ON Data'!$C:$C,8))</f>
        <v>0</v>
      </c>
      <c r="J17" s="421">
        <f xml:space="preserve">
IF($A$4&lt;=12,SUMIFS('ON Data'!M:M,'ON Data'!$B:$B,$A$4,'ON Data'!$C:$C,8),SUMIFS('ON Data'!M:M,'ON Data'!$C:$C,8))</f>
        <v>0</v>
      </c>
      <c r="K17" s="421">
        <f xml:space="preserve">
IF($A$4&lt;=12,SUMIFS('ON Data'!N:N,'ON Data'!$B:$B,$A$4,'ON Data'!$C:$C,8),SUMIFS('ON Data'!N:N,'ON Data'!$C:$C,8))</f>
        <v>0</v>
      </c>
      <c r="L17" s="422">
        <f xml:space="preserve">
IF($A$4&lt;=12,SUMIFS('ON Data'!O:O,'ON Data'!$B:$B,$A$4,'ON Data'!$C:$C,8),SUMIFS('ON Data'!O:O,'ON Data'!$C:$C,8))</f>
        <v>0</v>
      </c>
    </row>
    <row r="18" spans="1:12" x14ac:dyDescent="0.3">
      <c r="A18" s="403" t="s">
        <v>288</v>
      </c>
      <c r="B18" s="419">
        <f xml:space="preserve">
B19-B16-B17</f>
        <v>229916</v>
      </c>
      <c r="C18" s="420">
        <f t="shared" ref="C18:L18" si="0" xml:space="preserve">
C19-C16-C17</f>
        <v>0</v>
      </c>
      <c r="D18" s="421">
        <f t="shared" si="0"/>
        <v>200000</v>
      </c>
      <c r="E18" s="421">
        <f t="shared" si="0"/>
        <v>0</v>
      </c>
      <c r="F18" s="421">
        <f t="shared" si="0"/>
        <v>22216</v>
      </c>
      <c r="G18" s="421">
        <f t="shared" si="0"/>
        <v>0</v>
      </c>
      <c r="H18" s="421">
        <f t="shared" si="0"/>
        <v>0</v>
      </c>
      <c r="I18" s="421">
        <f t="shared" si="0"/>
        <v>7700</v>
      </c>
      <c r="J18" s="421">
        <f t="shared" si="0"/>
        <v>0</v>
      </c>
      <c r="K18" s="421">
        <f t="shared" si="0"/>
        <v>0</v>
      </c>
      <c r="L18" s="422">
        <f t="shared" si="0"/>
        <v>0</v>
      </c>
    </row>
    <row r="19" spans="1:12" ht="15" thickBot="1" x14ac:dyDescent="0.35">
      <c r="A19" s="404" t="s">
        <v>289</v>
      </c>
      <c r="B19" s="431">
        <f xml:space="preserve">
IF($A$4&lt;=12,SUMIFS('ON Data'!D:D,'ON Data'!$B:$B,$A$4,'ON Data'!$C:$C,9),SUMIFS('ON Data'!D:D,'ON Data'!$C:$C,9))</f>
        <v>229916</v>
      </c>
      <c r="C19" s="432">
        <f xml:space="preserve">
IF($A$4&lt;=12,SUMIFS('ON Data'!E:E,'ON Data'!$B:$B,$A$4,'ON Data'!$C:$C,9),SUMIFS('ON Data'!E:E,'ON Data'!$C:$C,9))</f>
        <v>0</v>
      </c>
      <c r="D19" s="433">
        <f xml:space="preserve">
IF($A$4&lt;=12,SUMIFS('ON Data'!F:F,'ON Data'!$B:$B,$A$4,'ON Data'!$C:$C,9),SUMIFS('ON Data'!F:F,'ON Data'!$C:$C,9))</f>
        <v>200000</v>
      </c>
      <c r="E19" s="433">
        <f xml:space="preserve">
IF($A$4&lt;=12,SUMIFS('ON Data'!H:H,'ON Data'!$B:$B,$A$4,'ON Data'!$C:$C,9),SUMIFS('ON Data'!H:H,'ON Data'!$C:$C,9))</f>
        <v>0</v>
      </c>
      <c r="F19" s="433">
        <f xml:space="preserve">
IF($A$4&lt;=12,SUMIFS('ON Data'!I:I,'ON Data'!$B:$B,$A$4,'ON Data'!$C:$C,9),SUMIFS('ON Data'!I:I,'ON Data'!$C:$C,9))</f>
        <v>22216</v>
      </c>
      <c r="G19" s="433">
        <f xml:space="preserve">
IF($A$4&lt;=12,SUMIFS('ON Data'!J:J,'ON Data'!$B:$B,$A$4,'ON Data'!$C:$C,9),SUMIFS('ON Data'!J:J,'ON Data'!$C:$C,9))</f>
        <v>0</v>
      </c>
      <c r="H19" s="433">
        <f xml:space="preserve">
IF($A$4&lt;=12,SUMIFS('ON Data'!K:K,'ON Data'!$B:$B,$A$4,'ON Data'!$C:$C,9),SUMIFS('ON Data'!K:K,'ON Data'!$C:$C,9))</f>
        <v>0</v>
      </c>
      <c r="I19" s="433">
        <f xml:space="preserve">
IF($A$4&lt;=12,SUMIFS('ON Data'!L:L,'ON Data'!$B:$B,$A$4,'ON Data'!$C:$C,9),SUMIFS('ON Data'!L:L,'ON Data'!$C:$C,9))</f>
        <v>7700</v>
      </c>
      <c r="J19" s="433">
        <f xml:space="preserve">
IF($A$4&lt;=12,SUMIFS('ON Data'!M:M,'ON Data'!$B:$B,$A$4,'ON Data'!$C:$C,9),SUMIFS('ON Data'!M:M,'ON Data'!$C:$C,9))</f>
        <v>0</v>
      </c>
      <c r="K19" s="433">
        <f xml:space="preserve">
IF($A$4&lt;=12,SUMIFS('ON Data'!N:N,'ON Data'!$B:$B,$A$4,'ON Data'!$C:$C,9),SUMIFS('ON Data'!N:N,'ON Data'!$C:$C,9))</f>
        <v>0</v>
      </c>
      <c r="L19" s="434">
        <f xml:space="preserve">
IF($A$4&lt;=12,SUMIFS('ON Data'!O:O,'ON Data'!$B:$B,$A$4,'ON Data'!$C:$C,9),SUMIFS('ON Data'!O:O,'ON Data'!$C:$C,9))</f>
        <v>0</v>
      </c>
    </row>
    <row r="20" spans="1:12" ht="15" collapsed="1" thickBot="1" x14ac:dyDescent="0.35">
      <c r="A20" s="405" t="s">
        <v>97</v>
      </c>
      <c r="B20" s="435">
        <f xml:space="preserve">
IF($A$4&lt;=12,SUMIFS('ON Data'!D:D,'ON Data'!$B:$B,$A$4,'ON Data'!$C:$C,6),SUMIFS('ON Data'!D:D,'ON Data'!$C:$C,6))</f>
        <v>7813016</v>
      </c>
      <c r="C20" s="436">
        <f xml:space="preserve">
IF($A$4&lt;=12,SUMIFS('ON Data'!E:E,'ON Data'!$B:$B,$A$4,'ON Data'!$C:$C,6),SUMIFS('ON Data'!E:E,'ON Data'!$C:$C,6))</f>
        <v>0</v>
      </c>
      <c r="D20" s="437">
        <f xml:space="preserve">
IF($A$4&lt;=12,SUMIFS('ON Data'!F:F,'ON Data'!$B:$B,$A$4,'ON Data'!$C:$C,6),SUMIFS('ON Data'!F:F,'ON Data'!$C:$C,6))</f>
        <v>3712291</v>
      </c>
      <c r="E20" s="437">
        <f xml:space="preserve">
IF($A$4&lt;=12,SUMIFS('ON Data'!H:H,'ON Data'!$B:$B,$A$4,'ON Data'!$C:$C,6),SUMIFS('ON Data'!H:H,'ON Data'!$C:$C,6))</f>
        <v>0</v>
      </c>
      <c r="F20" s="437">
        <f xml:space="preserve">
IF($A$4&lt;=12,SUMIFS('ON Data'!I:I,'ON Data'!$B:$B,$A$4,'ON Data'!$C:$C,6),SUMIFS('ON Data'!I:I,'ON Data'!$C:$C,6))</f>
        <v>3516888</v>
      </c>
      <c r="G20" s="437">
        <f xml:space="preserve">
IF($A$4&lt;=12,SUMIFS('ON Data'!J:J,'ON Data'!$B:$B,$A$4,'ON Data'!$C:$C,6),SUMIFS('ON Data'!J:J,'ON Data'!$C:$C,6))</f>
        <v>0</v>
      </c>
      <c r="H20" s="437">
        <f xml:space="preserve">
IF($A$4&lt;=12,SUMIFS('ON Data'!K:K,'ON Data'!$B:$B,$A$4,'ON Data'!$C:$C,6),SUMIFS('ON Data'!K:K,'ON Data'!$C:$C,6))</f>
        <v>0</v>
      </c>
      <c r="I20" s="437">
        <f xml:space="preserve">
IF($A$4&lt;=12,SUMIFS('ON Data'!L:L,'ON Data'!$B:$B,$A$4,'ON Data'!$C:$C,6),SUMIFS('ON Data'!L:L,'ON Data'!$C:$C,6))</f>
        <v>404354</v>
      </c>
      <c r="J20" s="437">
        <f xml:space="preserve">
IF($A$4&lt;=12,SUMIFS('ON Data'!M:M,'ON Data'!$B:$B,$A$4,'ON Data'!$C:$C,6),SUMIFS('ON Data'!M:M,'ON Data'!$C:$C,6))</f>
        <v>90944</v>
      </c>
      <c r="K20" s="437">
        <f xml:space="preserve">
IF($A$4&lt;=12,SUMIFS('ON Data'!N:N,'ON Data'!$B:$B,$A$4,'ON Data'!$C:$C,6),SUMIFS('ON Data'!N:N,'ON Data'!$C:$C,6))</f>
        <v>88539</v>
      </c>
      <c r="L20" s="438">
        <f xml:space="preserve">
IF($A$4&lt;=12,SUMIFS('ON Data'!O:O,'ON Data'!$B:$B,$A$4,'ON Data'!$C:$C,6),SUMIFS('ON Data'!O:O,'ON Data'!$C:$C,6))</f>
        <v>0</v>
      </c>
    </row>
    <row r="21" spans="1:12" ht="15" hidden="1" outlineLevel="1" thickBot="1" x14ac:dyDescent="0.35">
      <c r="A21" s="398" t="s">
        <v>135</v>
      </c>
      <c r="B21" s="419"/>
      <c r="C21" s="420"/>
      <c r="D21" s="421"/>
      <c r="E21" s="421"/>
      <c r="F21" s="421"/>
      <c r="G21" s="421"/>
      <c r="H21" s="421"/>
      <c r="I21" s="421"/>
      <c r="J21" s="421"/>
      <c r="K21" s="421"/>
      <c r="L21" s="422"/>
    </row>
    <row r="22" spans="1:12" ht="15" hidden="1" outlineLevel="1" thickBot="1" x14ac:dyDescent="0.35">
      <c r="A22" s="398" t="s">
        <v>99</v>
      </c>
      <c r="B22" s="419"/>
      <c r="C22" s="420"/>
      <c r="D22" s="421"/>
      <c r="E22" s="421"/>
      <c r="F22" s="421"/>
      <c r="G22" s="421"/>
      <c r="H22" s="421"/>
      <c r="I22" s="421"/>
      <c r="J22" s="421"/>
      <c r="K22" s="421"/>
      <c r="L22" s="422"/>
    </row>
    <row r="23" spans="1:12" ht="15" hidden="1" outlineLevel="1" thickBot="1" x14ac:dyDescent="0.35">
      <c r="A23" s="406" t="s">
        <v>72</v>
      </c>
      <c r="B23" s="423"/>
      <c r="C23" s="424"/>
      <c r="D23" s="425"/>
      <c r="E23" s="425"/>
      <c r="F23" s="425"/>
      <c r="G23" s="425"/>
      <c r="H23" s="425"/>
      <c r="I23" s="425"/>
      <c r="J23" s="425"/>
      <c r="K23" s="425"/>
      <c r="L23" s="426"/>
    </row>
    <row r="24" spans="1:12" x14ac:dyDescent="0.3">
      <c r="A24" s="400" t="s">
        <v>290</v>
      </c>
      <c r="B24" s="415"/>
      <c r="C24" s="416"/>
      <c r="D24" s="725" t="s">
        <v>272</v>
      </c>
      <c r="E24" s="525" t="s">
        <v>291</v>
      </c>
      <c r="F24" s="525"/>
      <c r="G24" s="525"/>
      <c r="H24" s="525"/>
      <c r="I24" s="417"/>
      <c r="J24" s="417"/>
      <c r="K24" s="417"/>
      <c r="L24" s="418"/>
    </row>
    <row r="25" spans="1:12" ht="15" collapsed="1" thickBot="1" x14ac:dyDescent="0.35">
      <c r="A25" s="401" t="s">
        <v>97</v>
      </c>
      <c r="B25" s="419">
        <f>SUM(D25:H25)</f>
        <v>0</v>
      </c>
      <c r="C25" s="439">
        <v>0</v>
      </c>
      <c r="D25" s="726">
        <v>0</v>
      </c>
      <c r="E25" s="524">
        <v>0</v>
      </c>
      <c r="F25" s="524"/>
      <c r="G25" s="524"/>
      <c r="H25" s="524"/>
      <c r="I25" s="421">
        <v>0</v>
      </c>
      <c r="J25" s="421">
        <v>0</v>
      </c>
      <c r="K25" s="421">
        <v>0</v>
      </c>
      <c r="L25" s="422">
        <v>0</v>
      </c>
    </row>
    <row r="26" spans="1:12" ht="14.4" hidden="1" customHeight="1" outlineLevel="1" x14ac:dyDescent="0.35">
      <c r="A26" s="407" t="s">
        <v>135</v>
      </c>
      <c r="B26" s="431">
        <f t="shared" ref="B26:B28" si="1">SUM(D26:H26)</f>
        <v>0</v>
      </c>
      <c r="C26" s="439">
        <v>0</v>
      </c>
      <c r="D26" s="726">
        <v>0</v>
      </c>
      <c r="E26" s="524">
        <v>0</v>
      </c>
      <c r="F26" s="524"/>
      <c r="G26" s="524"/>
      <c r="H26" s="524"/>
      <c r="I26" s="421">
        <v>0</v>
      </c>
      <c r="J26" s="421">
        <v>0</v>
      </c>
      <c r="K26" s="421">
        <v>0</v>
      </c>
      <c r="L26" s="422">
        <v>0</v>
      </c>
    </row>
    <row r="27" spans="1:12" ht="14.4" hidden="1" customHeight="1" outlineLevel="1" x14ac:dyDescent="0.35">
      <c r="A27" s="407" t="s">
        <v>99</v>
      </c>
      <c r="B27" s="431">
        <f t="shared" si="1"/>
        <v>0</v>
      </c>
      <c r="C27" s="439">
        <v>0</v>
      </c>
      <c r="D27" s="726">
        <v>0</v>
      </c>
      <c r="E27" s="524">
        <v>0</v>
      </c>
      <c r="F27" s="524"/>
      <c r="G27" s="524"/>
      <c r="H27" s="524"/>
      <c r="I27" s="421">
        <v>0</v>
      </c>
      <c r="J27" s="421">
        <v>0</v>
      </c>
      <c r="K27" s="421">
        <v>0</v>
      </c>
      <c r="L27" s="422">
        <v>0</v>
      </c>
    </row>
    <row r="28" spans="1:12" ht="15" hidden="1" customHeight="1" outlineLevel="1" thickBot="1" x14ac:dyDescent="0.35">
      <c r="A28" s="407" t="s">
        <v>72</v>
      </c>
      <c r="B28" s="431">
        <f t="shared" si="1"/>
        <v>0</v>
      </c>
      <c r="C28" s="440">
        <v>0</v>
      </c>
      <c r="D28" s="727">
        <v>0</v>
      </c>
      <c r="E28" s="519">
        <v>0</v>
      </c>
      <c r="F28" s="519"/>
      <c r="G28" s="519"/>
      <c r="H28" s="519"/>
      <c r="I28" s="425">
        <v>0</v>
      </c>
      <c r="J28" s="425">
        <v>0</v>
      </c>
      <c r="K28" s="425">
        <v>0</v>
      </c>
      <c r="L28" s="426">
        <v>0</v>
      </c>
    </row>
    <row r="29" spans="1:12" x14ac:dyDescent="0.3">
      <c r="A29" s="408"/>
      <c r="B29" s="408"/>
      <c r="C29" s="409"/>
      <c r="D29" s="408"/>
      <c r="E29" s="409"/>
      <c r="F29" s="408"/>
      <c r="G29" s="408"/>
      <c r="H29" s="408"/>
      <c r="I29" s="408"/>
      <c r="J29" s="408"/>
      <c r="K29" s="408"/>
      <c r="L29" s="408"/>
    </row>
    <row r="30" spans="1:12" x14ac:dyDescent="0.3">
      <c r="A30" s="232" t="s">
        <v>207</v>
      </c>
      <c r="B30" s="260"/>
      <c r="C30" s="260"/>
      <c r="D30" s="260"/>
      <c r="E30" s="260"/>
      <c r="F30" s="260"/>
      <c r="G30" s="260"/>
      <c r="H30" s="283"/>
      <c r="I30" s="283"/>
      <c r="J30" s="283"/>
      <c r="K30" s="283"/>
      <c r="L30" s="283"/>
    </row>
    <row r="31" spans="1:12" ht="14.4" customHeight="1" x14ac:dyDescent="0.3">
      <c r="A31" s="456" t="s">
        <v>296</v>
      </c>
      <c r="B31" s="457"/>
      <c r="C31" s="457"/>
      <c r="D31" s="457"/>
      <c r="E31" s="457"/>
      <c r="F31" s="457"/>
      <c r="G31" s="457"/>
    </row>
  </sheetData>
  <mergeCells count="7">
    <mergeCell ref="E28:H28"/>
    <mergeCell ref="A1:L1"/>
    <mergeCell ref="B3:B4"/>
    <mergeCell ref="E25:H25"/>
    <mergeCell ref="E24:H24"/>
    <mergeCell ref="E26:H26"/>
    <mergeCell ref="E27:H27"/>
  </mergeCells>
  <hyperlinks>
    <hyperlink ref="A2" location="Obsah!A1" display="Zpět na Obsah  KL 01  1.-4.měsíc"/>
  </hyperlinks>
  <pageMargins left="0.25" right="0.25" top="0.75" bottom="0.75" header="0.3" footer="0.3"/>
  <pageSetup paperSize="9" scale="77" orientation="landscape" r:id="rId1"/>
  <ignoredErrors>
    <ignoredError sqref="B27:B28 B25:B26" formulaRange="1"/>
    <ignoredError sqref="B6:D6 E6:L6" evalError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Data'!$R$3:$R$16</xm:f>
          </x14:formula1>
          <xm:sqref>A4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R16"/>
  <sheetViews>
    <sheetView showGridLines="0" showRowColHeaders="0" workbookViewId="0"/>
  </sheetViews>
  <sheetFormatPr defaultRowHeight="14.4" x14ac:dyDescent="0.3"/>
  <cols>
    <col min="1" max="16384" width="8.88671875" style="385"/>
  </cols>
  <sheetData>
    <row r="1" spans="1:18" x14ac:dyDescent="0.3">
      <c r="A1" s="385" t="s">
        <v>3296</v>
      </c>
    </row>
    <row r="2" spans="1:18" x14ac:dyDescent="0.3">
      <c r="A2" s="389" t="s">
        <v>298</v>
      </c>
    </row>
    <row r="3" spans="1:18" x14ac:dyDescent="0.3">
      <c r="B3" s="386">
        <f>MAX(B5:B1048576)</f>
        <v>2</v>
      </c>
      <c r="D3" s="386">
        <f t="shared" ref="D3:G3" si="0">SUM(D5:D1048576)</f>
        <v>8072000.5600000005</v>
      </c>
      <c r="E3" s="386">
        <f t="shared" si="0"/>
        <v>0</v>
      </c>
      <c r="F3" s="386">
        <f t="shared" si="0"/>
        <v>3918535</v>
      </c>
      <c r="G3" s="386">
        <f t="shared" si="0"/>
        <v>0</v>
      </c>
      <c r="H3" s="386">
        <f t="shared" ref="H3:O3" si="1">SUM(H5:H1048576)</f>
        <v>0</v>
      </c>
      <c r="I3" s="386">
        <f t="shared" si="1"/>
        <v>3557453</v>
      </c>
      <c r="J3" s="386">
        <f t="shared" si="1"/>
        <v>0</v>
      </c>
      <c r="K3" s="386">
        <f t="shared" si="1"/>
        <v>0</v>
      </c>
      <c r="L3" s="386">
        <f t="shared" si="1"/>
        <v>415488.56</v>
      </c>
      <c r="M3" s="386">
        <f t="shared" si="1"/>
        <v>91309</v>
      </c>
      <c r="N3" s="386">
        <f t="shared" si="1"/>
        <v>89215</v>
      </c>
      <c r="O3" s="386">
        <f t="shared" si="1"/>
        <v>0</v>
      </c>
      <c r="Q3" s="385" t="s">
        <v>257</v>
      </c>
      <c r="R3" s="412">
        <v>2014</v>
      </c>
    </row>
    <row r="4" spans="1:18" x14ac:dyDescent="0.3">
      <c r="A4" s="387" t="s">
        <v>8</v>
      </c>
      <c r="B4" s="388" t="s">
        <v>71</v>
      </c>
      <c r="C4" s="388" t="s">
        <v>245</v>
      </c>
      <c r="D4" s="388" t="s">
        <v>6</v>
      </c>
      <c r="E4" s="388" t="s">
        <v>246</v>
      </c>
      <c r="F4" s="388" t="s">
        <v>247</v>
      </c>
      <c r="G4" s="388" t="s">
        <v>248</v>
      </c>
      <c r="H4" s="388" t="s">
        <v>249</v>
      </c>
      <c r="I4" s="388" t="s">
        <v>250</v>
      </c>
      <c r="J4" s="388" t="s">
        <v>251</v>
      </c>
      <c r="K4" s="388" t="s">
        <v>252</v>
      </c>
      <c r="L4" s="388" t="s">
        <v>253</v>
      </c>
      <c r="M4" s="388" t="s">
        <v>254</v>
      </c>
      <c r="N4" s="388" t="s">
        <v>255</v>
      </c>
      <c r="O4" s="388" t="s">
        <v>256</v>
      </c>
      <c r="Q4" s="385" t="s">
        <v>258</v>
      </c>
      <c r="R4" s="412">
        <v>1</v>
      </c>
    </row>
    <row r="5" spans="1:18" x14ac:dyDescent="0.3">
      <c r="A5" s="385">
        <v>50</v>
      </c>
      <c r="B5" s="385">
        <v>1</v>
      </c>
      <c r="C5" s="385">
        <v>1</v>
      </c>
      <c r="D5" s="385">
        <v>96</v>
      </c>
      <c r="E5" s="385">
        <v>0</v>
      </c>
      <c r="F5" s="385">
        <v>19</v>
      </c>
      <c r="G5" s="385">
        <v>0</v>
      </c>
      <c r="H5" s="385">
        <v>0</v>
      </c>
      <c r="I5" s="385">
        <v>62.25</v>
      </c>
      <c r="J5" s="385">
        <v>0</v>
      </c>
      <c r="K5" s="385">
        <v>0</v>
      </c>
      <c r="L5" s="385">
        <v>11.75</v>
      </c>
      <c r="M5" s="385">
        <v>1</v>
      </c>
      <c r="N5" s="385">
        <v>2</v>
      </c>
      <c r="O5" s="385">
        <v>0</v>
      </c>
      <c r="Q5" s="385" t="s">
        <v>259</v>
      </c>
      <c r="R5" s="412">
        <v>2</v>
      </c>
    </row>
    <row r="6" spans="1:18" x14ac:dyDescent="0.3">
      <c r="A6" s="385">
        <v>50</v>
      </c>
      <c r="B6" s="385">
        <v>1</v>
      </c>
      <c r="C6" s="385">
        <v>2</v>
      </c>
      <c r="D6" s="385">
        <v>15502.06</v>
      </c>
      <c r="E6" s="385">
        <v>0</v>
      </c>
      <c r="F6" s="385">
        <v>3312</v>
      </c>
      <c r="G6" s="385">
        <v>0</v>
      </c>
      <c r="H6" s="385">
        <v>0</v>
      </c>
      <c r="I6" s="385">
        <v>9723.75</v>
      </c>
      <c r="J6" s="385">
        <v>0</v>
      </c>
      <c r="K6" s="385">
        <v>0</v>
      </c>
      <c r="L6" s="385">
        <v>1951.31</v>
      </c>
      <c r="M6" s="385">
        <v>155</v>
      </c>
      <c r="N6" s="385">
        <v>360</v>
      </c>
      <c r="O6" s="385">
        <v>0</v>
      </c>
      <c r="Q6" s="385" t="s">
        <v>260</v>
      </c>
      <c r="R6" s="412">
        <v>3</v>
      </c>
    </row>
    <row r="7" spans="1:18" x14ac:dyDescent="0.3">
      <c r="A7" s="385">
        <v>50</v>
      </c>
      <c r="B7" s="385">
        <v>1</v>
      </c>
      <c r="C7" s="385">
        <v>3</v>
      </c>
      <c r="D7" s="385">
        <v>7</v>
      </c>
      <c r="E7" s="385">
        <v>0</v>
      </c>
      <c r="F7" s="385">
        <v>0</v>
      </c>
      <c r="G7" s="385">
        <v>0</v>
      </c>
      <c r="H7" s="385">
        <v>0</v>
      </c>
      <c r="I7" s="385">
        <v>2</v>
      </c>
      <c r="J7" s="385">
        <v>0</v>
      </c>
      <c r="K7" s="385">
        <v>0</v>
      </c>
      <c r="L7" s="385">
        <v>5</v>
      </c>
      <c r="M7" s="385">
        <v>0</v>
      </c>
      <c r="N7" s="385">
        <v>0</v>
      </c>
      <c r="O7" s="385">
        <v>0</v>
      </c>
      <c r="Q7" s="385" t="s">
        <v>261</v>
      </c>
      <c r="R7" s="412">
        <v>4</v>
      </c>
    </row>
    <row r="8" spans="1:18" x14ac:dyDescent="0.3">
      <c r="A8" s="385">
        <v>50</v>
      </c>
      <c r="B8" s="385">
        <v>1</v>
      </c>
      <c r="C8" s="385">
        <v>4</v>
      </c>
      <c r="D8" s="385">
        <v>366</v>
      </c>
      <c r="E8" s="385">
        <v>0</v>
      </c>
      <c r="F8" s="385">
        <v>48</v>
      </c>
      <c r="G8" s="385">
        <v>0</v>
      </c>
      <c r="H8" s="385">
        <v>0</v>
      </c>
      <c r="I8" s="385">
        <v>271</v>
      </c>
      <c r="J8" s="385">
        <v>0</v>
      </c>
      <c r="K8" s="385">
        <v>0</v>
      </c>
      <c r="L8" s="385">
        <v>0</v>
      </c>
      <c r="M8" s="385">
        <v>47</v>
      </c>
      <c r="N8" s="385">
        <v>0</v>
      </c>
      <c r="O8" s="385">
        <v>0</v>
      </c>
      <c r="Q8" s="385" t="s">
        <v>262</v>
      </c>
      <c r="R8" s="412">
        <v>5</v>
      </c>
    </row>
    <row r="9" spans="1:18" x14ac:dyDescent="0.3">
      <c r="A9" s="385">
        <v>50</v>
      </c>
      <c r="B9" s="385">
        <v>1</v>
      </c>
      <c r="C9" s="385">
        <v>6</v>
      </c>
      <c r="D9" s="385">
        <v>4042691</v>
      </c>
      <c r="E9" s="385">
        <v>0</v>
      </c>
      <c r="F9" s="385">
        <v>1962896</v>
      </c>
      <c r="G9" s="385">
        <v>0</v>
      </c>
      <c r="H9" s="385">
        <v>0</v>
      </c>
      <c r="I9" s="385">
        <v>1776636</v>
      </c>
      <c r="J9" s="385">
        <v>0</v>
      </c>
      <c r="K9" s="385">
        <v>0</v>
      </c>
      <c r="L9" s="385">
        <v>207505</v>
      </c>
      <c r="M9" s="385">
        <v>51316</v>
      </c>
      <c r="N9" s="385">
        <v>44338</v>
      </c>
      <c r="O9" s="385">
        <v>0</v>
      </c>
      <c r="Q9" s="385" t="s">
        <v>263</v>
      </c>
      <c r="R9" s="412">
        <v>6</v>
      </c>
    </row>
    <row r="10" spans="1:18" x14ac:dyDescent="0.3">
      <c r="A10" s="385">
        <v>50</v>
      </c>
      <c r="B10" s="385">
        <v>1</v>
      </c>
      <c r="C10" s="385">
        <v>9</v>
      </c>
      <c r="D10" s="385">
        <v>215300</v>
      </c>
      <c r="E10" s="385">
        <v>0</v>
      </c>
      <c r="F10" s="385">
        <v>200000</v>
      </c>
      <c r="G10" s="385">
        <v>0</v>
      </c>
      <c r="H10" s="385">
        <v>0</v>
      </c>
      <c r="I10" s="385">
        <v>13500</v>
      </c>
      <c r="J10" s="385">
        <v>0</v>
      </c>
      <c r="K10" s="385">
        <v>0</v>
      </c>
      <c r="L10" s="385">
        <v>1800</v>
      </c>
      <c r="M10" s="385">
        <v>0</v>
      </c>
      <c r="N10" s="385">
        <v>0</v>
      </c>
      <c r="O10" s="385">
        <v>0</v>
      </c>
      <c r="Q10" s="385" t="s">
        <v>264</v>
      </c>
      <c r="R10" s="412">
        <v>7</v>
      </c>
    </row>
    <row r="11" spans="1:18" x14ac:dyDescent="0.3">
      <c r="A11" s="385">
        <v>50</v>
      </c>
      <c r="B11" s="385">
        <v>2</v>
      </c>
      <c r="C11" s="385">
        <v>1</v>
      </c>
      <c r="D11" s="385">
        <v>95.25</v>
      </c>
      <c r="E11" s="385">
        <v>0</v>
      </c>
      <c r="F11" s="385">
        <v>19</v>
      </c>
      <c r="G11" s="385">
        <v>0</v>
      </c>
      <c r="H11" s="385">
        <v>0</v>
      </c>
      <c r="I11" s="385">
        <v>61.5</v>
      </c>
      <c r="J11" s="385">
        <v>0</v>
      </c>
      <c r="K11" s="385">
        <v>0</v>
      </c>
      <c r="L11" s="385">
        <v>11.75</v>
      </c>
      <c r="M11" s="385">
        <v>1</v>
      </c>
      <c r="N11" s="385">
        <v>2</v>
      </c>
      <c r="O11" s="385">
        <v>0</v>
      </c>
      <c r="Q11" s="385" t="s">
        <v>265</v>
      </c>
      <c r="R11" s="412">
        <v>8</v>
      </c>
    </row>
    <row r="12" spans="1:18" x14ac:dyDescent="0.3">
      <c r="A12" s="385">
        <v>50</v>
      </c>
      <c r="B12" s="385">
        <v>2</v>
      </c>
      <c r="C12" s="385">
        <v>2</v>
      </c>
      <c r="D12" s="385">
        <v>12635.25</v>
      </c>
      <c r="E12" s="385">
        <v>0</v>
      </c>
      <c r="F12" s="385">
        <v>2808</v>
      </c>
      <c r="G12" s="385">
        <v>0</v>
      </c>
      <c r="H12" s="385">
        <v>0</v>
      </c>
      <c r="I12" s="385">
        <v>7915.5</v>
      </c>
      <c r="J12" s="385">
        <v>0</v>
      </c>
      <c r="K12" s="385">
        <v>0</v>
      </c>
      <c r="L12" s="385">
        <v>1444.75</v>
      </c>
      <c r="M12" s="385">
        <v>155</v>
      </c>
      <c r="N12" s="385">
        <v>312</v>
      </c>
      <c r="O12" s="385">
        <v>0</v>
      </c>
      <c r="Q12" s="385" t="s">
        <v>266</v>
      </c>
      <c r="R12" s="412">
        <v>9</v>
      </c>
    </row>
    <row r="13" spans="1:18" x14ac:dyDescent="0.3">
      <c r="A13" s="385">
        <v>50</v>
      </c>
      <c r="B13" s="385">
        <v>2</v>
      </c>
      <c r="C13" s="385">
        <v>3</v>
      </c>
      <c r="D13" s="385">
        <v>25</v>
      </c>
      <c r="E13" s="385">
        <v>0</v>
      </c>
      <c r="F13" s="385">
        <v>0</v>
      </c>
      <c r="G13" s="385">
        <v>0</v>
      </c>
      <c r="H13" s="385">
        <v>0</v>
      </c>
      <c r="I13" s="385">
        <v>25</v>
      </c>
      <c r="J13" s="385">
        <v>0</v>
      </c>
      <c r="K13" s="385">
        <v>0</v>
      </c>
      <c r="L13" s="385">
        <v>0</v>
      </c>
      <c r="M13" s="385">
        <v>0</v>
      </c>
      <c r="N13" s="385">
        <v>0</v>
      </c>
      <c r="O13" s="385">
        <v>0</v>
      </c>
      <c r="Q13" s="385" t="s">
        <v>267</v>
      </c>
      <c r="R13" s="412">
        <v>10</v>
      </c>
    </row>
    <row r="14" spans="1:18" x14ac:dyDescent="0.3">
      <c r="A14" s="385">
        <v>50</v>
      </c>
      <c r="B14" s="385">
        <v>2</v>
      </c>
      <c r="C14" s="385">
        <v>4</v>
      </c>
      <c r="D14" s="385">
        <v>342</v>
      </c>
      <c r="E14" s="385">
        <v>0</v>
      </c>
      <c r="F14" s="385">
        <v>38</v>
      </c>
      <c r="G14" s="385">
        <v>0</v>
      </c>
      <c r="H14" s="385">
        <v>0</v>
      </c>
      <c r="I14" s="385">
        <v>288</v>
      </c>
      <c r="J14" s="385">
        <v>0</v>
      </c>
      <c r="K14" s="385">
        <v>0</v>
      </c>
      <c r="L14" s="385">
        <v>10</v>
      </c>
      <c r="M14" s="385">
        <v>6</v>
      </c>
      <c r="N14" s="385">
        <v>0</v>
      </c>
      <c r="O14" s="385">
        <v>0</v>
      </c>
      <c r="Q14" s="385" t="s">
        <v>268</v>
      </c>
      <c r="R14" s="412">
        <v>11</v>
      </c>
    </row>
    <row r="15" spans="1:18" x14ac:dyDescent="0.3">
      <c r="A15" s="385">
        <v>50</v>
      </c>
      <c r="B15" s="385">
        <v>2</v>
      </c>
      <c r="C15" s="385">
        <v>6</v>
      </c>
      <c r="D15" s="385">
        <v>3770325</v>
      </c>
      <c r="E15" s="385">
        <v>0</v>
      </c>
      <c r="F15" s="385">
        <v>1749395</v>
      </c>
      <c r="G15" s="385">
        <v>0</v>
      </c>
      <c r="H15" s="385">
        <v>0</v>
      </c>
      <c r="I15" s="385">
        <v>1740252</v>
      </c>
      <c r="J15" s="385">
        <v>0</v>
      </c>
      <c r="K15" s="385">
        <v>0</v>
      </c>
      <c r="L15" s="385">
        <v>196849</v>
      </c>
      <c r="M15" s="385">
        <v>39628</v>
      </c>
      <c r="N15" s="385">
        <v>44201</v>
      </c>
      <c r="O15" s="385">
        <v>0</v>
      </c>
      <c r="Q15" s="385" t="s">
        <v>269</v>
      </c>
      <c r="R15" s="412">
        <v>12</v>
      </c>
    </row>
    <row r="16" spans="1:18" x14ac:dyDescent="0.3">
      <c r="A16" s="385">
        <v>50</v>
      </c>
      <c r="B16" s="385">
        <v>2</v>
      </c>
      <c r="C16" s="385">
        <v>9</v>
      </c>
      <c r="D16" s="385">
        <v>14616</v>
      </c>
      <c r="E16" s="385">
        <v>0</v>
      </c>
      <c r="F16" s="385">
        <v>0</v>
      </c>
      <c r="G16" s="385">
        <v>0</v>
      </c>
      <c r="H16" s="385">
        <v>0</v>
      </c>
      <c r="I16" s="385">
        <v>8716</v>
      </c>
      <c r="J16" s="385">
        <v>0</v>
      </c>
      <c r="K16" s="385">
        <v>0</v>
      </c>
      <c r="L16" s="385">
        <v>5900</v>
      </c>
      <c r="M16" s="385">
        <v>0</v>
      </c>
      <c r="N16" s="385">
        <v>0</v>
      </c>
      <c r="O16" s="385">
        <v>0</v>
      </c>
      <c r="Q16" s="385" t="s">
        <v>257</v>
      </c>
      <c r="R16" s="412">
        <v>2014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3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283" bestFit="1" customWidth="1"/>
    <col min="2" max="2" width="11.6640625" style="283" hidden="1" customWidth="1"/>
    <col min="3" max="4" width="11" style="285" customWidth="1"/>
    <col min="5" max="5" width="11" style="286" customWidth="1"/>
    <col min="6" max="16384" width="8.88671875" style="283"/>
  </cols>
  <sheetData>
    <row r="1" spans="1:5" ht="18.600000000000001" thickBot="1" x14ac:dyDescent="0.4">
      <c r="A1" s="462" t="s">
        <v>155</v>
      </c>
      <c r="B1" s="462"/>
      <c r="C1" s="463"/>
      <c r="D1" s="463"/>
      <c r="E1" s="463"/>
    </row>
    <row r="2" spans="1:5" ht="14.4" customHeight="1" thickBot="1" x14ac:dyDescent="0.35">
      <c r="A2" s="389" t="s">
        <v>298</v>
      </c>
      <c r="B2" s="284"/>
    </row>
    <row r="3" spans="1:5" ht="14.4" customHeight="1" thickBot="1" x14ac:dyDescent="0.35">
      <c r="A3" s="287"/>
      <c r="C3" s="288" t="s">
        <v>135</v>
      </c>
      <c r="D3" s="289" t="s">
        <v>97</v>
      </c>
      <c r="E3" s="290" t="s">
        <v>99</v>
      </c>
    </row>
    <row r="4" spans="1:5" ht="14.4" customHeight="1" thickBot="1" x14ac:dyDescent="0.35">
      <c r="A4" s="291" t="str">
        <f>HYPERLINK("#HI!A1","NÁKLADY CELKEM (v tisících Kč)")</f>
        <v>NÁKLADY CELKEM (v tisících Kč)</v>
      </c>
      <c r="B4" s="292"/>
      <c r="C4" s="293">
        <f ca="1">IF(ISERROR(VLOOKUP("Náklady celkem",INDIRECT("HI!$A:$G"),6,0)),0,VLOOKUP("Náklady celkem",INDIRECT("HI!$A:$G"),6,0))</f>
        <v>24850</v>
      </c>
      <c r="D4" s="293">
        <f ca="1">IF(ISERROR(VLOOKUP("Náklady celkem",INDIRECT("HI!$A:$G"),5,0)),0,VLOOKUP("Náklady celkem",INDIRECT("HI!$A:$G"),5,0))</f>
        <v>22377.089130000099</v>
      </c>
      <c r="E4" s="294">
        <f ca="1">IF(C4=0,0,D4/C4)</f>
        <v>0.90048648410463172</v>
      </c>
    </row>
    <row r="5" spans="1:5" ht="14.4" customHeight="1" x14ac:dyDescent="0.3">
      <c r="A5" s="295" t="s">
        <v>199</v>
      </c>
      <c r="B5" s="296"/>
      <c r="C5" s="297"/>
      <c r="D5" s="297"/>
      <c r="E5" s="298"/>
    </row>
    <row r="6" spans="1:5" ht="14.4" customHeight="1" x14ac:dyDescent="0.3">
      <c r="A6" s="299" t="s">
        <v>204</v>
      </c>
      <c r="B6" s="300"/>
      <c r="C6" s="301"/>
      <c r="D6" s="301"/>
      <c r="E6" s="298"/>
    </row>
    <row r="7" spans="1:5" ht="14.4" customHeight="1" x14ac:dyDescent="0.3">
      <c r="A7" s="30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300" t="s">
        <v>140</v>
      </c>
      <c r="C7" s="301">
        <f>IF(ISERROR(HI!F5),"",HI!F5)</f>
        <v>1443</v>
      </c>
      <c r="D7" s="301">
        <f>IF(ISERROR(HI!E5),"",HI!E5)</f>
        <v>1253.74722</v>
      </c>
      <c r="E7" s="298">
        <f t="shared" ref="E7:E14" si="0">IF(C7=0,0,D7/C7)</f>
        <v>0.86884769230769232</v>
      </c>
    </row>
    <row r="8" spans="1:5" ht="14.4" customHeight="1" x14ac:dyDescent="0.3">
      <c r="A8" s="302" t="str">
        <f>HYPERLINK("#'LŽ PL'!A1","% plnění pozitivního listu")</f>
        <v>% plnění pozitivního listu</v>
      </c>
      <c r="B8" s="300" t="s">
        <v>191</v>
      </c>
      <c r="C8" s="303">
        <v>0.9</v>
      </c>
      <c r="D8" s="303">
        <f>IF(ISERROR(VLOOKUP("celkem",'LŽ PL'!$A:$F,5,0)),0,VLOOKUP("celkem",'LŽ PL'!$A:$F,5,0))</f>
        <v>0.94837211681393918</v>
      </c>
      <c r="E8" s="298">
        <f t="shared" si="0"/>
        <v>1.0537467964599323</v>
      </c>
    </row>
    <row r="9" spans="1:5" ht="14.4" customHeight="1" x14ac:dyDescent="0.3">
      <c r="A9" s="304" t="s">
        <v>200</v>
      </c>
      <c r="B9" s="300"/>
      <c r="C9" s="301"/>
      <c r="D9" s="301"/>
      <c r="E9" s="298"/>
    </row>
    <row r="10" spans="1:5" ht="14.4" customHeight="1" x14ac:dyDescent="0.3">
      <c r="A10" s="302" t="str">
        <f>HYPERLINK("#'Léky Recepty'!A1","% záchytu v lékárně (Úhrada Kč)")</f>
        <v>% záchytu v lékárně (Úhrada Kč)</v>
      </c>
      <c r="B10" s="300" t="s">
        <v>145</v>
      </c>
      <c r="C10" s="303">
        <v>0.6</v>
      </c>
      <c r="D10" s="303">
        <f>IF(ISERROR(VLOOKUP("Celkem",'Léky Recepty'!B:H,5,0)),0,VLOOKUP("Celkem",'Léky Recepty'!B:H,5,0))</f>
        <v>0.49741660829228285</v>
      </c>
      <c r="E10" s="298">
        <f t="shared" si="0"/>
        <v>0.82902768048713815</v>
      </c>
    </row>
    <row r="11" spans="1:5" ht="14.4" customHeight="1" x14ac:dyDescent="0.3">
      <c r="A11" s="302" t="str">
        <f>HYPERLINK("#'LRp PL'!A1","% plnění pozitivního listu")</f>
        <v>% plnění pozitivního listu</v>
      </c>
      <c r="B11" s="300" t="s">
        <v>192</v>
      </c>
      <c r="C11" s="303">
        <v>0.8</v>
      </c>
      <c r="D11" s="303">
        <f>IF(ISERROR(VLOOKUP("Celkem",'LRp PL'!A:F,5,0)),0,VLOOKUP("Celkem",'LRp PL'!A:F,5,0))</f>
        <v>0.93344695972306224</v>
      </c>
      <c r="E11" s="298">
        <f t="shared" si="0"/>
        <v>1.1668086996538278</v>
      </c>
    </row>
    <row r="12" spans="1:5" ht="14.4" customHeight="1" x14ac:dyDescent="0.3">
      <c r="A12" s="304" t="s">
        <v>201</v>
      </c>
      <c r="B12" s="300"/>
      <c r="C12" s="301"/>
      <c r="D12" s="301"/>
      <c r="E12" s="298"/>
    </row>
    <row r="13" spans="1:5" ht="14.4" customHeight="1" x14ac:dyDescent="0.3">
      <c r="A13" s="305" t="s">
        <v>205</v>
      </c>
      <c r="B13" s="300"/>
      <c r="C13" s="297"/>
      <c r="D13" s="297"/>
      <c r="E13" s="298"/>
    </row>
    <row r="14" spans="1:5" ht="14.4" customHeight="1" x14ac:dyDescent="0.3">
      <c r="A14" s="30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4" s="300" t="s">
        <v>140</v>
      </c>
      <c r="C14" s="301">
        <f>IF(ISERROR(HI!F6),"",HI!F6)</f>
        <v>6538</v>
      </c>
      <c r="D14" s="301">
        <f>IF(ISERROR(HI!E6),"",HI!E6)</f>
        <v>5484.3644000000104</v>
      </c>
      <c r="E14" s="298">
        <f t="shared" si="0"/>
        <v>0.83884435607219487</v>
      </c>
    </row>
    <row r="15" spans="1:5" ht="14.4" customHeight="1" thickBot="1" x14ac:dyDescent="0.35">
      <c r="A15" s="307" t="str">
        <f>HYPERLINK("#HI!A1","Osobní náklady")</f>
        <v>Osobní náklady</v>
      </c>
      <c r="B15" s="300"/>
      <c r="C15" s="297">
        <f ca="1">IF(ISERROR(VLOOKUP("Osobní náklady (Kč)",INDIRECT("HI!$A:$G"),6,0)),0,VLOOKUP("Osobní náklady (Kč)",INDIRECT("HI!$A:$G"),6,0))</f>
        <v>0</v>
      </c>
      <c r="D15" s="297">
        <f ca="1">IF(ISERROR(VLOOKUP("Osobní náklady (Kč)",INDIRECT("HI!$A:$G"),5,0)),0,VLOOKUP("Osobní náklady (Kč)",INDIRECT("HI!$A:$G"),5,0))</f>
        <v>0</v>
      </c>
      <c r="E15" s="298">
        <f ca="1">IF(C15=0,0,D15/C15)</f>
        <v>0</v>
      </c>
    </row>
    <row r="16" spans="1:5" ht="14.4" customHeight="1" thickBot="1" x14ac:dyDescent="0.35">
      <c r="A16" s="311"/>
      <c r="B16" s="312"/>
      <c r="C16" s="313"/>
      <c r="D16" s="313"/>
      <c r="E16" s="314"/>
    </row>
    <row r="17" spans="1:5" ht="14.4" customHeight="1" thickBot="1" x14ac:dyDescent="0.35">
      <c r="A17" s="315" t="str">
        <f>HYPERLINK("#HI!A1","VÝNOSY CELKEM (v tisících)")</f>
        <v>VÝNOSY CELKEM (v tisících)</v>
      </c>
      <c r="B17" s="316"/>
      <c r="C17" s="317">
        <f ca="1">IF(ISERROR(VLOOKUP("Výnosy celkem",INDIRECT("HI!$A:$G"),6,0)),0,VLOOKUP("Výnosy celkem",INDIRECT("HI!$A:$G"),6,0))</f>
        <v>60772.609999999993</v>
      </c>
      <c r="D17" s="317">
        <f ca="1">IF(ISERROR(VLOOKUP("Výnosy celkem",INDIRECT("HI!$A:$G"),5,0)),0,VLOOKUP("Výnosy celkem",INDIRECT("HI!$A:$G"),5,0))</f>
        <v>54568.923000000003</v>
      </c>
      <c r="E17" s="318">
        <f t="shared" ref="E17:E27" ca="1" si="1">IF(C17=0,0,D17/C17)</f>
        <v>0.8979196878330552</v>
      </c>
    </row>
    <row r="18" spans="1:5" ht="14.4" customHeight="1" x14ac:dyDescent="0.3">
      <c r="A18" s="319" t="str">
        <f>HYPERLINK("#HI!A1","Ambulance (body za výkony + Kč za ZUM a ZULP)")</f>
        <v>Ambulance (body za výkony + Kč za ZUM a ZULP)</v>
      </c>
      <c r="B18" s="296"/>
      <c r="C18" s="297">
        <f ca="1">IF(ISERROR(VLOOKUP("Ambulance *",INDIRECT("HI!$A:$G"),6,0)),0,VLOOKUP("Ambulance *",INDIRECT("HI!$A:$G"),6,0))</f>
        <v>183.44</v>
      </c>
      <c r="D18" s="297">
        <f ca="1">IF(ISERROR(VLOOKUP("Ambulance *",INDIRECT("HI!$A:$G"),5,0)),0,VLOOKUP("Ambulance *",INDIRECT("HI!$A:$G"),5,0))</f>
        <v>191.43299999999999</v>
      </c>
      <c r="E18" s="298">
        <f t="shared" ca="1" si="1"/>
        <v>1.043572830353249</v>
      </c>
    </row>
    <row r="19" spans="1:5" ht="14.4" customHeight="1" x14ac:dyDescent="0.3">
      <c r="A19" s="320" t="str">
        <f>HYPERLINK("#'ZV Vykáz.-A'!A1","Zdravotní výkony vykázané u ambulantních pacientů (min. 100 %)")</f>
        <v>Zdravotní výkony vykázané u ambulantních pacientů (min. 100 %)</v>
      </c>
      <c r="B19" s="283" t="s">
        <v>157</v>
      </c>
      <c r="C19" s="303">
        <v>1</v>
      </c>
      <c r="D19" s="303">
        <f>IF(ISERROR(VLOOKUP("Celkem:",'ZV Vykáz.-A'!$A:$S,7,0)),"",VLOOKUP("Celkem:",'ZV Vykáz.-A'!$A:$S,7,0))</f>
        <v>1.043572830353249</v>
      </c>
      <c r="E19" s="298">
        <f t="shared" si="1"/>
        <v>1.043572830353249</v>
      </c>
    </row>
    <row r="20" spans="1:5" ht="14.4" customHeight="1" x14ac:dyDescent="0.3">
      <c r="A20" s="320" t="str">
        <f>HYPERLINK("#'ZV Vykáz.-H'!A1","Zdravotní výkony vykázané u hospitalizovaných pacientů (max. 85 %)")</f>
        <v>Zdravotní výkony vykázané u hospitalizovaných pacientů (max. 85 %)</v>
      </c>
      <c r="B20" s="283" t="s">
        <v>159</v>
      </c>
      <c r="C20" s="303">
        <v>0.85</v>
      </c>
      <c r="D20" s="303">
        <f>IF(ISERROR(VLOOKUP("Celkem:",'ZV Vykáz.-H'!$A:$S,7,0)),"",VLOOKUP("Celkem:",'ZV Vykáz.-H'!$A:$S,7,0))</f>
        <v>0.95924977420438351</v>
      </c>
      <c r="E20" s="298">
        <f t="shared" si="1"/>
        <v>1.1285291461228042</v>
      </c>
    </row>
    <row r="21" spans="1:5" ht="14.4" customHeight="1" x14ac:dyDescent="0.3">
      <c r="A21" s="321" t="str">
        <f>HYPERLINK("#HI!A1","Hospitalizace (casemix * 30000)")</f>
        <v>Hospitalizace (casemix * 30000)</v>
      </c>
      <c r="B21" s="300"/>
      <c r="C21" s="297">
        <f ca="1">IF(ISERROR(VLOOKUP("Hospitalizace *",INDIRECT("HI!$A:$G"),6,0)),0,VLOOKUP("Hospitalizace *",INDIRECT("HI!$A:$G"),6,0))</f>
        <v>60589.169999999991</v>
      </c>
      <c r="D21" s="297">
        <f ca="1">IF(ISERROR(VLOOKUP("Hospitalizace *",INDIRECT("HI!$A:$G"),5,0)),0,VLOOKUP("Hospitalizace *",INDIRECT("HI!$A:$G"),5,0))</f>
        <v>54377.490000000005</v>
      </c>
      <c r="E21" s="298">
        <f ca="1">IF(C21=0,0,D21/C21)</f>
        <v>0.89747870782847849</v>
      </c>
    </row>
    <row r="22" spans="1:5" ht="14.4" customHeight="1" x14ac:dyDescent="0.3">
      <c r="A22" s="320" t="str">
        <f>HYPERLINK("#'CaseMix'!A1","Casemix (min. 100 %)")</f>
        <v>Casemix (min. 100 %)</v>
      </c>
      <c r="B22" s="300" t="s">
        <v>74</v>
      </c>
      <c r="C22" s="303">
        <v>1</v>
      </c>
      <c r="D22" s="303">
        <f>IF(ISERROR(VLOOKUP("Celkem",CaseMix!A:M,5,0)),0,VLOOKUP("Celkem",CaseMix!A:M,5,0))</f>
        <v>0.89747870782847849</v>
      </c>
      <c r="E22" s="298">
        <f t="shared" si="1"/>
        <v>0.89747870782847849</v>
      </c>
    </row>
    <row r="23" spans="1:5" ht="14.4" customHeight="1" x14ac:dyDescent="0.3">
      <c r="A23" s="322" t="str">
        <f>HYPERLINK("#'CaseMix'!A1","DRG mimo vyjmenované baze")</f>
        <v>DRG mimo vyjmenované baze</v>
      </c>
      <c r="B23" s="300" t="s">
        <v>74</v>
      </c>
      <c r="C23" s="303">
        <v>1</v>
      </c>
      <c r="D23" s="303">
        <f>IF(ISERROR(CaseMix!E26),"",CaseMix!E26)</f>
        <v>0.88639108276281064</v>
      </c>
      <c r="E23" s="298">
        <f t="shared" si="1"/>
        <v>0.88639108276281064</v>
      </c>
    </row>
    <row r="24" spans="1:5" ht="14.4" customHeight="1" x14ac:dyDescent="0.3">
      <c r="A24" s="322" t="str">
        <f>HYPERLINK("#'CaseMix'!A1","Vyjmenované baze DRG")</f>
        <v>Vyjmenované baze DRG</v>
      </c>
      <c r="B24" s="300" t="s">
        <v>74</v>
      </c>
      <c r="C24" s="303">
        <v>1</v>
      </c>
      <c r="D24" s="303">
        <f>IF(ISERROR(CaseMix!E39),"",CaseMix!E39)</f>
        <v>0</v>
      </c>
      <c r="E24" s="298">
        <f t="shared" si="1"/>
        <v>0</v>
      </c>
    </row>
    <row r="25" spans="1:5" ht="14.4" customHeight="1" x14ac:dyDescent="0.3">
      <c r="A25" s="320" t="str">
        <f>HYPERLINK("#'CaseMix'!A1","Počet hospitalizací ukončených na pracovišti (min. 95 %)")</f>
        <v>Počet hospitalizací ukončených na pracovišti (min. 95 %)</v>
      </c>
      <c r="B25" s="300" t="s">
        <v>74</v>
      </c>
      <c r="C25" s="303">
        <v>0.95</v>
      </c>
      <c r="D25" s="303">
        <f>IF(ISERROR(CaseMix!I13),"",CaseMix!I13)</f>
        <v>0.88596491228070173</v>
      </c>
      <c r="E25" s="298">
        <f t="shared" si="1"/>
        <v>0.93259464450600182</v>
      </c>
    </row>
    <row r="26" spans="1:5" ht="14.4" customHeight="1" x14ac:dyDescent="0.3">
      <c r="A26" s="320" t="str">
        <f>HYPERLINK("#'ALOS'!A1","Průměrná délka hospitalizace (max. 100 % republikového průměru)")</f>
        <v>Průměrná délka hospitalizace (max. 100 % republikového průměru)</v>
      </c>
      <c r="B26" s="300" t="s">
        <v>89</v>
      </c>
      <c r="C26" s="303">
        <v>1</v>
      </c>
      <c r="D26" s="323">
        <f>IF(ISERROR(INDEX(ALOS!$E:$E,COUNT(ALOS!$E:$E)+32)),0,INDEX(ALOS!$E:$E,COUNT(ALOS!$E:$E)+32))</f>
        <v>0.96865485056025535</v>
      </c>
      <c r="E26" s="298">
        <f t="shared" si="1"/>
        <v>0.96865485056025535</v>
      </c>
    </row>
    <row r="27" spans="1:5" ht="27.6" x14ac:dyDescent="0.3">
      <c r="A27" s="324" t="str">
        <f>HYPERLINK("#'ZV Vyžád.'!A1","Zdravotní výkony (vybraných odborností) vyžádané v rámci hospitalizace (95 % při splnění casemixu 100 %, při nesplnění casemixu 100 % snížení limitu o dvojnásobek procentních bodů, o který nebylo dosaženo casemixu 100 %)")</f>
        <v>Zdravotní výkony (vybraných odborností) vyžádané v rámci hospitalizace (95 % při splnění casemixu 100 %, při nesplnění casemixu 100 % snížení limitu o dvojnásobek procentních bodů, o který nebylo dosaženo casemixu 100 %)</v>
      </c>
      <c r="B27" s="300" t="s">
        <v>154</v>
      </c>
      <c r="C27" s="303">
        <f>IF(E22&gt;1,95%,95%-2*ABS(C22-D22))</f>
        <v>0.74495741565695694</v>
      </c>
      <c r="D27" s="303">
        <f>IF(ISERROR(VLOOKUP("Celkem:",'ZV Vyžád.'!$A:$M,7,0)),"",VLOOKUP("Celkem:",'ZV Vyžád.'!$A:$M,7,0))</f>
        <v>0.69296292955363958</v>
      </c>
      <c r="E27" s="298">
        <f t="shared" si="1"/>
        <v>0.93020475397581637</v>
      </c>
    </row>
    <row r="28" spans="1:5" ht="14.4" customHeight="1" thickBot="1" x14ac:dyDescent="0.35">
      <c r="A28" s="325" t="s">
        <v>202</v>
      </c>
      <c r="B28" s="308"/>
      <c r="C28" s="309"/>
      <c r="D28" s="309"/>
      <c r="E28" s="310"/>
    </row>
    <row r="29" spans="1:5" ht="14.4" customHeight="1" thickBot="1" x14ac:dyDescent="0.35">
      <c r="A29" s="326"/>
      <c r="B29" s="327"/>
      <c r="C29" s="328"/>
      <c r="D29" s="328"/>
      <c r="E29" s="329"/>
    </row>
    <row r="30" spans="1:5" ht="14.4" customHeight="1" thickBot="1" x14ac:dyDescent="0.35">
      <c r="A30" s="330" t="s">
        <v>203</v>
      </c>
      <c r="B30" s="331"/>
      <c r="C30" s="332"/>
      <c r="D30" s="332"/>
      <c r="E30" s="333"/>
    </row>
  </sheetData>
  <mergeCells count="1">
    <mergeCell ref="A1:E1"/>
  </mergeCells>
  <conditionalFormatting sqref="E22:E25 E17 E19 E8 E10:E11">
    <cfRule type="iconSet" priority="17">
      <iconSet iconSet="3Symbols2">
        <cfvo type="percent" val="0"/>
        <cfvo type="num" val="1"/>
        <cfvo type="num" val="1"/>
      </iconSet>
    </cfRule>
  </conditionalFormatting>
  <conditionalFormatting sqref="E5">
    <cfRule type="cellIs" dxfId="77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76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75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8">
    <cfRule type="cellIs" dxfId="74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21">
    <cfRule type="cellIs" dxfId="73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72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7 E19 E22:E25 E8 E10:E11">
    <cfRule type="cellIs" dxfId="71" priority="16" operator="lessThan">
      <formula>1</formula>
    </cfRule>
  </conditionalFormatting>
  <conditionalFormatting sqref="E26:E27 E4 E7 E14 E20">
    <cfRule type="cellIs" dxfId="70" priority="19" operator="greaterThan">
      <formula>1</formula>
    </cfRule>
    <cfRule type="iconSet" priority="20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3">
    <tabColor theme="5" tint="0.39997558519241921"/>
    <pageSetUpPr fitToPage="1"/>
  </sheetPr>
  <dimension ref="A1:S10"/>
  <sheetViews>
    <sheetView showGridLines="0" showRowColHeaders="0" workbookViewId="0">
      <pane ySplit="5" topLeftCell="A6" activePane="bottomLeft" state="frozen"/>
      <selection activeCell="A2" sqref="A2:M2"/>
      <selection pane="bottomLeft" sqref="A1:S1"/>
    </sheetView>
  </sheetViews>
  <sheetFormatPr defaultRowHeight="14.4" customHeight="1" x14ac:dyDescent="0.3"/>
  <cols>
    <col min="1" max="1" width="46.6640625" style="260" bestFit="1" customWidth="1"/>
    <col min="2" max="2" width="7.77734375" style="225" customWidth="1"/>
    <col min="3" max="3" width="5.44140625" style="260" hidden="1" customWidth="1"/>
    <col min="4" max="4" width="7.77734375" style="225" customWidth="1"/>
    <col min="5" max="5" width="5.4414062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5.44140625" style="260" hidden="1" customWidth="1"/>
    <col min="10" max="10" width="7.77734375" style="225" customWidth="1"/>
    <col min="11" max="11" width="5.44140625" style="260" hidden="1" customWidth="1"/>
    <col min="12" max="12" width="7.77734375" style="225" customWidth="1"/>
    <col min="13" max="13" width="7.77734375" style="346" customWidth="1"/>
    <col min="14" max="14" width="7.77734375" style="225" customWidth="1"/>
    <col min="15" max="15" width="5" style="260" hidden="1" customWidth="1"/>
    <col min="16" max="16" width="7.77734375" style="225" customWidth="1"/>
    <col min="17" max="17" width="5" style="260" hidden="1" customWidth="1"/>
    <col min="18" max="18" width="7.77734375" style="225" customWidth="1"/>
    <col min="19" max="19" width="7.77734375" style="346" customWidth="1"/>
    <col min="20" max="16384" width="8.88671875" style="260"/>
  </cols>
  <sheetData>
    <row r="1" spans="1:19" ht="18.600000000000001" customHeight="1" thickBot="1" x14ac:dyDescent="0.4">
      <c r="A1" s="527" t="s">
        <v>3301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</row>
    <row r="2" spans="1:19" ht="14.4" customHeight="1" thickBot="1" x14ac:dyDescent="0.35">
      <c r="A2" s="389" t="s">
        <v>298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</row>
    <row r="3" spans="1:19" ht="14.4" customHeight="1" thickBot="1" x14ac:dyDescent="0.35">
      <c r="A3" s="356" t="s">
        <v>163</v>
      </c>
      <c r="B3" s="357">
        <f>SUBTOTAL(9,B6:B1048576)</f>
        <v>183440</v>
      </c>
      <c r="C3" s="358">
        <f t="shared" ref="C3:R3" si="0">SUBTOTAL(9,C6:C1048576)</f>
        <v>1</v>
      </c>
      <c r="D3" s="358">
        <f t="shared" si="0"/>
        <v>172774</v>
      </c>
      <c r="E3" s="358">
        <f t="shared" si="0"/>
        <v>0.48779437418229393</v>
      </c>
      <c r="F3" s="358">
        <f t="shared" si="0"/>
        <v>191433</v>
      </c>
      <c r="G3" s="359">
        <f>IF(B3&lt;&gt;0,F3/B3,"")</f>
        <v>1.043572830353249</v>
      </c>
      <c r="H3" s="360">
        <f t="shared" si="0"/>
        <v>0</v>
      </c>
      <c r="I3" s="358">
        <f t="shared" si="0"/>
        <v>0</v>
      </c>
      <c r="J3" s="358">
        <f t="shared" si="0"/>
        <v>0</v>
      </c>
      <c r="K3" s="358">
        <f t="shared" si="0"/>
        <v>0</v>
      </c>
      <c r="L3" s="358">
        <f t="shared" si="0"/>
        <v>0</v>
      </c>
      <c r="M3" s="361" t="str">
        <f>IF(H3&lt;&gt;0,L3/H3,"")</f>
        <v/>
      </c>
      <c r="N3" s="357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9" t="str">
        <f>IF(N3&lt;&gt;0,R3/N3,"")</f>
        <v/>
      </c>
    </row>
    <row r="4" spans="1:19" ht="14.4" customHeight="1" x14ac:dyDescent="0.3">
      <c r="A4" s="528" t="s">
        <v>126</v>
      </c>
      <c r="B4" s="529" t="s">
        <v>127</v>
      </c>
      <c r="C4" s="530"/>
      <c r="D4" s="530"/>
      <c r="E4" s="530"/>
      <c r="F4" s="530"/>
      <c r="G4" s="531"/>
      <c r="H4" s="529" t="s">
        <v>128</v>
      </c>
      <c r="I4" s="530"/>
      <c r="J4" s="530"/>
      <c r="K4" s="530"/>
      <c r="L4" s="530"/>
      <c r="M4" s="531"/>
      <c r="N4" s="529" t="s">
        <v>129</v>
      </c>
      <c r="O4" s="530"/>
      <c r="P4" s="530"/>
      <c r="Q4" s="530"/>
      <c r="R4" s="530"/>
      <c r="S4" s="531"/>
    </row>
    <row r="5" spans="1:19" ht="14.4" customHeight="1" thickBot="1" x14ac:dyDescent="0.35">
      <c r="A5" s="728"/>
      <c r="B5" s="729">
        <v>2012</v>
      </c>
      <c r="C5" s="730"/>
      <c r="D5" s="730">
        <v>2013</v>
      </c>
      <c r="E5" s="730"/>
      <c r="F5" s="730">
        <v>2014</v>
      </c>
      <c r="G5" s="731" t="s">
        <v>5</v>
      </c>
      <c r="H5" s="729">
        <v>2012</v>
      </c>
      <c r="I5" s="730"/>
      <c r="J5" s="730">
        <v>2013</v>
      </c>
      <c r="K5" s="730"/>
      <c r="L5" s="730">
        <v>2014</v>
      </c>
      <c r="M5" s="731" t="s">
        <v>5</v>
      </c>
      <c r="N5" s="729">
        <v>2012</v>
      </c>
      <c r="O5" s="730"/>
      <c r="P5" s="730">
        <v>2013</v>
      </c>
      <c r="Q5" s="730"/>
      <c r="R5" s="730">
        <v>2014</v>
      </c>
      <c r="S5" s="731" t="s">
        <v>5</v>
      </c>
    </row>
    <row r="6" spans="1:19" ht="14.4" customHeight="1" x14ac:dyDescent="0.3">
      <c r="A6" s="716" t="s">
        <v>3297</v>
      </c>
      <c r="B6" s="732"/>
      <c r="C6" s="697"/>
      <c r="D6" s="732">
        <v>83293</v>
      </c>
      <c r="E6" s="697"/>
      <c r="F6" s="732">
        <v>173467</v>
      </c>
      <c r="G6" s="702"/>
      <c r="H6" s="732"/>
      <c r="I6" s="697"/>
      <c r="J6" s="732"/>
      <c r="K6" s="697"/>
      <c r="L6" s="732"/>
      <c r="M6" s="702"/>
      <c r="N6" s="732"/>
      <c r="O6" s="697"/>
      <c r="P6" s="732"/>
      <c r="Q6" s="697"/>
      <c r="R6" s="732"/>
      <c r="S6" s="241"/>
    </row>
    <row r="7" spans="1:19" ht="14.4" customHeight="1" thickBot="1" x14ac:dyDescent="0.35">
      <c r="A7" s="734" t="s">
        <v>3298</v>
      </c>
      <c r="B7" s="733">
        <v>183440</v>
      </c>
      <c r="C7" s="673">
        <v>1</v>
      </c>
      <c r="D7" s="733">
        <v>89481</v>
      </c>
      <c r="E7" s="673">
        <v>0.48779437418229393</v>
      </c>
      <c r="F7" s="733">
        <v>17966</v>
      </c>
      <c r="G7" s="683">
        <v>9.793938072394244E-2</v>
      </c>
      <c r="H7" s="733"/>
      <c r="I7" s="673"/>
      <c r="J7" s="733"/>
      <c r="K7" s="673"/>
      <c r="L7" s="733"/>
      <c r="M7" s="683"/>
      <c r="N7" s="733"/>
      <c r="O7" s="673"/>
      <c r="P7" s="733"/>
      <c r="Q7" s="673"/>
      <c r="R7" s="733"/>
      <c r="S7" s="684"/>
    </row>
    <row r="8" spans="1:19" ht="14.4" customHeight="1" x14ac:dyDescent="0.3">
      <c r="A8" s="735" t="s">
        <v>3299</v>
      </c>
    </row>
    <row r="9" spans="1:19" ht="14.4" customHeight="1" x14ac:dyDescent="0.3">
      <c r="A9" s="736" t="s">
        <v>239</v>
      </c>
    </row>
    <row r="10" spans="1:19" ht="14.4" customHeight="1" x14ac:dyDescent="0.3">
      <c r="A10" s="735" t="s">
        <v>3300</v>
      </c>
    </row>
  </sheetData>
  <mergeCells count="5">
    <mergeCell ref="A1:S1"/>
    <mergeCell ref="A4:A5"/>
    <mergeCell ref="B4:G4"/>
    <mergeCell ref="H4:M4"/>
    <mergeCell ref="N4:S4"/>
  </mergeCells>
  <conditionalFormatting sqref="G4:G1048576">
    <cfRule type="cellIs" dxfId="18" priority="4" stopIfTrue="1" operator="lessThan">
      <formula>0.95</formula>
    </cfRule>
  </conditionalFormatting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{791987AB-EB4E-4323-988C-2CC9543F5F95}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{3D1704E4-2CF0-40FE-8B51-535F514AA804}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{DA7CE90D-FADD-456D-9A84-45478435DA52}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1987AB-EB4E-4323-988C-2CC9543F5F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3D1704E4-2CF0-40FE-8B51-535F514AA80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DA7CE90D-FADD-456D-9A84-45478435DA5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>
    <tabColor theme="0" tint="-0.249977111117893"/>
    <pageSetUpPr fitToPage="1"/>
  </sheetPr>
  <dimension ref="A1:P51"/>
  <sheetViews>
    <sheetView showGridLines="0" showRowColHeaders="0" workbookViewId="0">
      <pane ySplit="5" topLeftCell="A6" activePane="bottomLeft" state="frozen"/>
      <selection activeCell="U26" sqref="U26"/>
      <selection pane="bottomLeft" sqref="A1:P1"/>
    </sheetView>
  </sheetViews>
  <sheetFormatPr defaultRowHeight="14.4" customHeight="1" x14ac:dyDescent="0.3"/>
  <cols>
    <col min="1" max="1" width="8.6640625" style="260" bestFit="1" customWidth="1"/>
    <col min="2" max="2" width="2.109375" style="260" bestFit="1" customWidth="1"/>
    <col min="3" max="3" width="8" style="260" bestFit="1" customWidth="1"/>
    <col min="4" max="4" width="50.88671875" style="260" bestFit="1" customWidth="1"/>
    <col min="5" max="6" width="11.109375" style="343" customWidth="1"/>
    <col min="7" max="8" width="9.33203125" style="260" hidden="1" customWidth="1"/>
    <col min="9" max="10" width="11.109375" style="343" customWidth="1"/>
    <col min="11" max="12" width="9.33203125" style="260" hidden="1" customWidth="1"/>
    <col min="13" max="14" width="11.109375" style="343" customWidth="1"/>
    <col min="15" max="15" width="11.109375" style="346" customWidth="1"/>
    <col min="16" max="16" width="11.109375" style="343" customWidth="1"/>
    <col min="17" max="16384" width="8.88671875" style="260"/>
  </cols>
  <sheetData>
    <row r="1" spans="1:16" ht="18.600000000000001" customHeight="1" thickBot="1" x14ac:dyDescent="0.4">
      <c r="A1" s="462" t="s">
        <v>3367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</row>
    <row r="2" spans="1:16" ht="14.4" customHeight="1" thickBot="1" x14ac:dyDescent="0.35">
      <c r="A2" s="389" t="s">
        <v>298</v>
      </c>
      <c r="B2" s="261"/>
      <c r="C2" s="261"/>
      <c r="D2" s="261"/>
      <c r="E2" s="364"/>
      <c r="F2" s="364"/>
      <c r="G2" s="261"/>
      <c r="H2" s="261"/>
      <c r="I2" s="364"/>
      <c r="J2" s="364"/>
      <c r="K2" s="261"/>
      <c r="L2" s="261"/>
      <c r="M2" s="364"/>
      <c r="N2" s="364"/>
      <c r="O2" s="365"/>
      <c r="P2" s="364"/>
    </row>
    <row r="3" spans="1:16" ht="14.4" customHeight="1" thickBot="1" x14ac:dyDescent="0.35">
      <c r="D3" s="112" t="s">
        <v>163</v>
      </c>
      <c r="E3" s="217">
        <f t="shared" ref="E3:N3" si="0">SUBTOTAL(9,E6:E1048576)</f>
        <v>492</v>
      </c>
      <c r="F3" s="218">
        <f t="shared" si="0"/>
        <v>183440</v>
      </c>
      <c r="G3" s="78"/>
      <c r="H3" s="78"/>
      <c r="I3" s="218">
        <f t="shared" si="0"/>
        <v>489</v>
      </c>
      <c r="J3" s="218">
        <f t="shared" si="0"/>
        <v>172774</v>
      </c>
      <c r="K3" s="78"/>
      <c r="L3" s="78"/>
      <c r="M3" s="218">
        <f t="shared" si="0"/>
        <v>509</v>
      </c>
      <c r="N3" s="218">
        <f t="shared" si="0"/>
        <v>191433</v>
      </c>
      <c r="O3" s="79">
        <f>IF(F3=0,0,N3/F3)</f>
        <v>1.043572830353249</v>
      </c>
      <c r="P3" s="219">
        <f>IF(M3=0,0,N3/M3)</f>
        <v>376.09626719056973</v>
      </c>
    </row>
    <row r="4" spans="1:16" ht="14.4" customHeight="1" x14ac:dyDescent="0.3">
      <c r="A4" s="533" t="s">
        <v>122</v>
      </c>
      <c r="B4" s="534" t="s">
        <v>123</v>
      </c>
      <c r="C4" s="535" t="s">
        <v>124</v>
      </c>
      <c r="D4" s="536" t="s">
        <v>84</v>
      </c>
      <c r="E4" s="537">
        <v>2012</v>
      </c>
      <c r="F4" s="538"/>
      <c r="G4" s="216"/>
      <c r="H4" s="216"/>
      <c r="I4" s="537">
        <v>2013</v>
      </c>
      <c r="J4" s="538"/>
      <c r="K4" s="216"/>
      <c r="L4" s="216"/>
      <c r="M4" s="537">
        <v>2014</v>
      </c>
      <c r="N4" s="538"/>
      <c r="O4" s="539" t="s">
        <v>5</v>
      </c>
      <c r="P4" s="532" t="s">
        <v>125</v>
      </c>
    </row>
    <row r="5" spans="1:16" ht="14.4" customHeight="1" thickBot="1" x14ac:dyDescent="0.35">
      <c r="A5" s="737"/>
      <c r="B5" s="738"/>
      <c r="C5" s="739"/>
      <c r="D5" s="740"/>
      <c r="E5" s="741" t="s">
        <v>94</v>
      </c>
      <c r="F5" s="742" t="s">
        <v>17</v>
      </c>
      <c r="G5" s="743"/>
      <c r="H5" s="743"/>
      <c r="I5" s="741" t="s">
        <v>94</v>
      </c>
      <c r="J5" s="742" t="s">
        <v>17</v>
      </c>
      <c r="K5" s="743"/>
      <c r="L5" s="743"/>
      <c r="M5" s="741" t="s">
        <v>94</v>
      </c>
      <c r="N5" s="742" t="s">
        <v>17</v>
      </c>
      <c r="O5" s="744"/>
      <c r="P5" s="745"/>
    </row>
    <row r="6" spans="1:16" ht="14.4" customHeight="1" x14ac:dyDescent="0.3">
      <c r="A6" s="696" t="s">
        <v>3302</v>
      </c>
      <c r="B6" s="697" t="s">
        <v>3303</v>
      </c>
      <c r="C6" s="697" t="s">
        <v>3304</v>
      </c>
      <c r="D6" s="697" t="s">
        <v>3305</v>
      </c>
      <c r="E6" s="235"/>
      <c r="F6" s="235"/>
      <c r="G6" s="697"/>
      <c r="H6" s="697"/>
      <c r="I6" s="235">
        <v>4</v>
      </c>
      <c r="J6" s="235">
        <v>136</v>
      </c>
      <c r="K6" s="697"/>
      <c r="L6" s="697">
        <v>34</v>
      </c>
      <c r="M6" s="235">
        <v>57</v>
      </c>
      <c r="N6" s="235">
        <v>1938</v>
      </c>
      <c r="O6" s="702"/>
      <c r="P6" s="712">
        <v>34</v>
      </c>
    </row>
    <row r="7" spans="1:16" ht="14.4" customHeight="1" x14ac:dyDescent="0.3">
      <c r="A7" s="680" t="s">
        <v>3302</v>
      </c>
      <c r="B7" s="671" t="s">
        <v>3303</v>
      </c>
      <c r="C7" s="671" t="s">
        <v>3306</v>
      </c>
      <c r="D7" s="671" t="s">
        <v>3307</v>
      </c>
      <c r="E7" s="238"/>
      <c r="F7" s="238"/>
      <c r="G7" s="671"/>
      <c r="H7" s="671"/>
      <c r="I7" s="238"/>
      <c r="J7" s="238"/>
      <c r="K7" s="671"/>
      <c r="L7" s="671"/>
      <c r="M7" s="238">
        <v>1</v>
      </c>
      <c r="N7" s="238">
        <v>645</v>
      </c>
      <c r="O7" s="682"/>
      <c r="P7" s="713">
        <v>645</v>
      </c>
    </row>
    <row r="8" spans="1:16" ht="14.4" customHeight="1" x14ac:dyDescent="0.3">
      <c r="A8" s="680" t="s">
        <v>3302</v>
      </c>
      <c r="B8" s="671" t="s">
        <v>3303</v>
      </c>
      <c r="C8" s="671" t="s">
        <v>3308</v>
      </c>
      <c r="D8" s="671" t="s">
        <v>3309</v>
      </c>
      <c r="E8" s="238"/>
      <c r="F8" s="238"/>
      <c r="G8" s="671"/>
      <c r="H8" s="671"/>
      <c r="I8" s="238"/>
      <c r="J8" s="238"/>
      <c r="K8" s="671"/>
      <c r="L8" s="671"/>
      <c r="M8" s="238">
        <v>22</v>
      </c>
      <c r="N8" s="238">
        <v>2178</v>
      </c>
      <c r="O8" s="682"/>
      <c r="P8" s="713">
        <v>99</v>
      </c>
    </row>
    <row r="9" spans="1:16" ht="14.4" customHeight="1" x14ac:dyDescent="0.3">
      <c r="A9" s="680" t="s">
        <v>3302</v>
      </c>
      <c r="B9" s="671" t="s">
        <v>3303</v>
      </c>
      <c r="C9" s="671" t="s">
        <v>3310</v>
      </c>
      <c r="D9" s="671" t="s">
        <v>3311</v>
      </c>
      <c r="E9" s="238"/>
      <c r="F9" s="238"/>
      <c r="G9" s="671"/>
      <c r="H9" s="671"/>
      <c r="I9" s="238">
        <v>4</v>
      </c>
      <c r="J9" s="238">
        <v>3760</v>
      </c>
      <c r="K9" s="671"/>
      <c r="L9" s="671">
        <v>940</v>
      </c>
      <c r="M9" s="238">
        <v>7</v>
      </c>
      <c r="N9" s="238">
        <v>6580</v>
      </c>
      <c r="O9" s="682"/>
      <c r="P9" s="713">
        <v>940</v>
      </c>
    </row>
    <row r="10" spans="1:16" ht="14.4" customHeight="1" x14ac:dyDescent="0.3">
      <c r="A10" s="680" t="s">
        <v>3302</v>
      </c>
      <c r="B10" s="671" t="s">
        <v>3303</v>
      </c>
      <c r="C10" s="671" t="s">
        <v>3312</v>
      </c>
      <c r="D10" s="671" t="s">
        <v>3313</v>
      </c>
      <c r="E10" s="238"/>
      <c r="F10" s="238"/>
      <c r="G10" s="671"/>
      <c r="H10" s="671"/>
      <c r="I10" s="238">
        <v>4</v>
      </c>
      <c r="J10" s="238">
        <v>1644</v>
      </c>
      <c r="K10" s="671"/>
      <c r="L10" s="671">
        <v>411</v>
      </c>
      <c r="M10" s="238">
        <v>2</v>
      </c>
      <c r="N10" s="238">
        <v>822</v>
      </c>
      <c r="O10" s="682"/>
      <c r="P10" s="713">
        <v>411</v>
      </c>
    </row>
    <row r="11" spans="1:16" ht="14.4" customHeight="1" x14ac:dyDescent="0.3">
      <c r="A11" s="680" t="s">
        <v>3302</v>
      </c>
      <c r="B11" s="671" t="s">
        <v>3303</v>
      </c>
      <c r="C11" s="671" t="s">
        <v>3314</v>
      </c>
      <c r="D11" s="671" t="s">
        <v>3315</v>
      </c>
      <c r="E11" s="238"/>
      <c r="F11" s="238"/>
      <c r="G11" s="671"/>
      <c r="H11" s="671"/>
      <c r="I11" s="238">
        <v>54</v>
      </c>
      <c r="J11" s="238">
        <v>52920</v>
      </c>
      <c r="K11" s="671"/>
      <c r="L11" s="671">
        <v>980</v>
      </c>
      <c r="M11" s="238">
        <v>96</v>
      </c>
      <c r="N11" s="238">
        <v>94080</v>
      </c>
      <c r="O11" s="682"/>
      <c r="P11" s="713">
        <v>980</v>
      </c>
    </row>
    <row r="12" spans="1:16" ht="14.4" customHeight="1" x14ac:dyDescent="0.3">
      <c r="A12" s="680" t="s">
        <v>3302</v>
      </c>
      <c r="B12" s="671" t="s">
        <v>3303</v>
      </c>
      <c r="C12" s="671" t="s">
        <v>3316</v>
      </c>
      <c r="D12" s="671" t="s">
        <v>3317</v>
      </c>
      <c r="E12" s="238"/>
      <c r="F12" s="238"/>
      <c r="G12" s="671"/>
      <c r="H12" s="671"/>
      <c r="I12" s="238">
        <v>1</v>
      </c>
      <c r="J12" s="238">
        <v>2077</v>
      </c>
      <c r="K12" s="671"/>
      <c r="L12" s="671">
        <v>2077</v>
      </c>
      <c r="M12" s="238">
        <v>9</v>
      </c>
      <c r="N12" s="238">
        <v>18693</v>
      </c>
      <c r="O12" s="682"/>
      <c r="P12" s="713">
        <v>2077</v>
      </c>
    </row>
    <row r="13" spans="1:16" ht="14.4" customHeight="1" x14ac:dyDescent="0.3">
      <c r="A13" s="680" t="s">
        <v>3302</v>
      </c>
      <c r="B13" s="671" t="s">
        <v>3303</v>
      </c>
      <c r="C13" s="671" t="s">
        <v>3318</v>
      </c>
      <c r="D13" s="671" t="s">
        <v>3319</v>
      </c>
      <c r="E13" s="238"/>
      <c r="F13" s="238"/>
      <c r="G13" s="671"/>
      <c r="H13" s="671"/>
      <c r="I13" s="238"/>
      <c r="J13" s="238"/>
      <c r="K13" s="671"/>
      <c r="L13" s="671"/>
      <c r="M13" s="238">
        <v>1</v>
      </c>
      <c r="N13" s="238">
        <v>831</v>
      </c>
      <c r="O13" s="682"/>
      <c r="P13" s="713">
        <v>831</v>
      </c>
    </row>
    <row r="14" spans="1:16" ht="14.4" customHeight="1" x14ac:dyDescent="0.3">
      <c r="A14" s="680" t="s">
        <v>3302</v>
      </c>
      <c r="B14" s="671" t="s">
        <v>3303</v>
      </c>
      <c r="C14" s="671" t="s">
        <v>3320</v>
      </c>
      <c r="D14" s="671" t="s">
        <v>3321</v>
      </c>
      <c r="E14" s="238"/>
      <c r="F14" s="238"/>
      <c r="G14" s="671"/>
      <c r="H14" s="671"/>
      <c r="I14" s="238">
        <v>32</v>
      </c>
      <c r="J14" s="238">
        <v>0</v>
      </c>
      <c r="K14" s="671"/>
      <c r="L14" s="671">
        <v>0</v>
      </c>
      <c r="M14" s="238">
        <v>86</v>
      </c>
      <c r="N14" s="238">
        <v>0</v>
      </c>
      <c r="O14" s="682"/>
      <c r="P14" s="713">
        <v>0</v>
      </c>
    </row>
    <row r="15" spans="1:16" ht="14.4" customHeight="1" x14ac:dyDescent="0.3">
      <c r="A15" s="680" t="s">
        <v>3302</v>
      </c>
      <c r="B15" s="671" t="s">
        <v>3303</v>
      </c>
      <c r="C15" s="671" t="s">
        <v>3322</v>
      </c>
      <c r="D15" s="671" t="s">
        <v>3323</v>
      </c>
      <c r="E15" s="238"/>
      <c r="F15" s="238"/>
      <c r="G15" s="671"/>
      <c r="H15" s="671"/>
      <c r="I15" s="238"/>
      <c r="J15" s="238"/>
      <c r="K15" s="671"/>
      <c r="L15" s="671"/>
      <c r="M15" s="238">
        <v>39</v>
      </c>
      <c r="N15" s="238">
        <v>1365</v>
      </c>
      <c r="O15" s="682"/>
      <c r="P15" s="713">
        <v>35</v>
      </c>
    </row>
    <row r="16" spans="1:16" ht="14.4" customHeight="1" x14ac:dyDescent="0.3">
      <c r="A16" s="680" t="s">
        <v>3302</v>
      </c>
      <c r="B16" s="671" t="s">
        <v>3303</v>
      </c>
      <c r="C16" s="671" t="s">
        <v>3324</v>
      </c>
      <c r="D16" s="671" t="s">
        <v>3325</v>
      </c>
      <c r="E16" s="238"/>
      <c r="F16" s="238"/>
      <c r="G16" s="671"/>
      <c r="H16" s="671"/>
      <c r="I16" s="238">
        <v>3</v>
      </c>
      <c r="J16" s="238">
        <v>5718</v>
      </c>
      <c r="K16" s="671"/>
      <c r="L16" s="671">
        <v>1906</v>
      </c>
      <c r="M16" s="238">
        <v>7</v>
      </c>
      <c r="N16" s="238">
        <v>13342</v>
      </c>
      <c r="O16" s="682"/>
      <c r="P16" s="713">
        <v>1906</v>
      </c>
    </row>
    <row r="17" spans="1:16" ht="14.4" customHeight="1" x14ac:dyDescent="0.3">
      <c r="A17" s="680" t="s">
        <v>3302</v>
      </c>
      <c r="B17" s="671" t="s">
        <v>3303</v>
      </c>
      <c r="C17" s="671" t="s">
        <v>3326</v>
      </c>
      <c r="D17" s="671" t="s">
        <v>3327</v>
      </c>
      <c r="E17" s="238"/>
      <c r="F17" s="238"/>
      <c r="G17" s="671"/>
      <c r="H17" s="671"/>
      <c r="I17" s="238">
        <v>46</v>
      </c>
      <c r="J17" s="238">
        <v>15042</v>
      </c>
      <c r="K17" s="671"/>
      <c r="L17" s="671">
        <v>327</v>
      </c>
      <c r="M17" s="238">
        <v>80</v>
      </c>
      <c r="N17" s="238">
        <v>26160</v>
      </c>
      <c r="O17" s="682"/>
      <c r="P17" s="713">
        <v>327</v>
      </c>
    </row>
    <row r="18" spans="1:16" ht="14.4" customHeight="1" x14ac:dyDescent="0.3">
      <c r="A18" s="680" t="s">
        <v>3302</v>
      </c>
      <c r="B18" s="671" t="s">
        <v>3303</v>
      </c>
      <c r="C18" s="671" t="s">
        <v>3328</v>
      </c>
      <c r="D18" s="671" t="s">
        <v>3329</v>
      </c>
      <c r="E18" s="238"/>
      <c r="F18" s="238"/>
      <c r="G18" s="671"/>
      <c r="H18" s="671"/>
      <c r="I18" s="238"/>
      <c r="J18" s="238"/>
      <c r="K18" s="671"/>
      <c r="L18" s="671"/>
      <c r="M18" s="238">
        <v>2</v>
      </c>
      <c r="N18" s="238">
        <v>412</v>
      </c>
      <c r="O18" s="682"/>
      <c r="P18" s="713">
        <v>206</v>
      </c>
    </row>
    <row r="19" spans="1:16" ht="14.4" customHeight="1" x14ac:dyDescent="0.3">
      <c r="A19" s="680" t="s">
        <v>3302</v>
      </c>
      <c r="B19" s="671" t="s">
        <v>3303</v>
      </c>
      <c r="C19" s="671" t="s">
        <v>3330</v>
      </c>
      <c r="D19" s="671" t="s">
        <v>3331</v>
      </c>
      <c r="E19" s="238"/>
      <c r="F19" s="238"/>
      <c r="G19" s="671"/>
      <c r="H19" s="671"/>
      <c r="I19" s="238">
        <v>9</v>
      </c>
      <c r="J19" s="238">
        <v>1467</v>
      </c>
      <c r="K19" s="671"/>
      <c r="L19" s="671">
        <v>163</v>
      </c>
      <c r="M19" s="238">
        <v>13</v>
      </c>
      <c r="N19" s="238">
        <v>2119</v>
      </c>
      <c r="O19" s="682"/>
      <c r="P19" s="713">
        <v>163</v>
      </c>
    </row>
    <row r="20" spans="1:16" ht="14.4" customHeight="1" x14ac:dyDescent="0.3">
      <c r="A20" s="680" t="s">
        <v>3302</v>
      </c>
      <c r="B20" s="671" t="s">
        <v>3303</v>
      </c>
      <c r="C20" s="671" t="s">
        <v>3332</v>
      </c>
      <c r="D20" s="671" t="s">
        <v>3333</v>
      </c>
      <c r="E20" s="238"/>
      <c r="F20" s="238"/>
      <c r="G20" s="671"/>
      <c r="H20" s="671"/>
      <c r="I20" s="238"/>
      <c r="J20" s="238"/>
      <c r="K20" s="671"/>
      <c r="L20" s="671"/>
      <c r="M20" s="238">
        <v>2</v>
      </c>
      <c r="N20" s="238">
        <v>112</v>
      </c>
      <c r="O20" s="682"/>
      <c r="P20" s="713">
        <v>56</v>
      </c>
    </row>
    <row r="21" spans="1:16" ht="14.4" customHeight="1" x14ac:dyDescent="0.3">
      <c r="A21" s="680" t="s">
        <v>3302</v>
      </c>
      <c r="B21" s="671" t="s">
        <v>3303</v>
      </c>
      <c r="C21" s="671" t="s">
        <v>3334</v>
      </c>
      <c r="D21" s="671" t="s">
        <v>3335</v>
      </c>
      <c r="E21" s="238"/>
      <c r="F21" s="238"/>
      <c r="G21" s="671"/>
      <c r="H21" s="671"/>
      <c r="I21" s="238"/>
      <c r="J21" s="238"/>
      <c r="K21" s="671"/>
      <c r="L21" s="671"/>
      <c r="M21" s="238">
        <v>1</v>
      </c>
      <c r="N21" s="238">
        <v>487</v>
      </c>
      <c r="O21" s="682"/>
      <c r="P21" s="713">
        <v>487</v>
      </c>
    </row>
    <row r="22" spans="1:16" ht="14.4" customHeight="1" x14ac:dyDescent="0.3">
      <c r="A22" s="680" t="s">
        <v>3302</v>
      </c>
      <c r="B22" s="671" t="s">
        <v>3303</v>
      </c>
      <c r="C22" s="671" t="s">
        <v>3336</v>
      </c>
      <c r="D22" s="671" t="s">
        <v>3337</v>
      </c>
      <c r="E22" s="238"/>
      <c r="F22" s="238"/>
      <c r="G22" s="671"/>
      <c r="H22" s="671"/>
      <c r="I22" s="238">
        <v>1</v>
      </c>
      <c r="J22" s="238">
        <v>529</v>
      </c>
      <c r="K22" s="671"/>
      <c r="L22" s="671">
        <v>529</v>
      </c>
      <c r="M22" s="238">
        <v>7</v>
      </c>
      <c r="N22" s="238">
        <v>3703</v>
      </c>
      <c r="O22" s="682"/>
      <c r="P22" s="713">
        <v>529</v>
      </c>
    </row>
    <row r="23" spans="1:16" ht="14.4" customHeight="1" x14ac:dyDescent="0.3">
      <c r="A23" s="680" t="s">
        <v>3338</v>
      </c>
      <c r="B23" s="671" t="s">
        <v>3303</v>
      </c>
      <c r="C23" s="671" t="s">
        <v>3339</v>
      </c>
      <c r="D23" s="671" t="s">
        <v>3340</v>
      </c>
      <c r="E23" s="238">
        <v>3</v>
      </c>
      <c r="F23" s="238">
        <v>270</v>
      </c>
      <c r="G23" s="671">
        <v>1</v>
      </c>
      <c r="H23" s="671">
        <v>90</v>
      </c>
      <c r="I23" s="238"/>
      <c r="J23" s="238"/>
      <c r="K23" s="671"/>
      <c r="L23" s="671"/>
      <c r="M23" s="238">
        <v>4</v>
      </c>
      <c r="N23" s="238">
        <v>320</v>
      </c>
      <c r="O23" s="682">
        <v>1.1851851851851851</v>
      </c>
      <c r="P23" s="713">
        <v>80</v>
      </c>
    </row>
    <row r="24" spans="1:16" ht="14.4" customHeight="1" x14ac:dyDescent="0.3">
      <c r="A24" s="680" t="s">
        <v>3338</v>
      </c>
      <c r="B24" s="671" t="s">
        <v>3303</v>
      </c>
      <c r="C24" s="671" t="s">
        <v>3341</v>
      </c>
      <c r="D24" s="671" t="s">
        <v>3342</v>
      </c>
      <c r="E24" s="238">
        <v>1</v>
      </c>
      <c r="F24" s="238">
        <v>131</v>
      </c>
      <c r="G24" s="671">
        <v>1</v>
      </c>
      <c r="H24" s="671">
        <v>131</v>
      </c>
      <c r="I24" s="238">
        <v>3</v>
      </c>
      <c r="J24" s="238">
        <v>309</v>
      </c>
      <c r="K24" s="671">
        <v>2.3587786259541983</v>
      </c>
      <c r="L24" s="671">
        <v>103</v>
      </c>
      <c r="M24" s="238"/>
      <c r="N24" s="238"/>
      <c r="O24" s="682"/>
      <c r="P24" s="713"/>
    </row>
    <row r="25" spans="1:16" ht="14.4" customHeight="1" x14ac:dyDescent="0.3">
      <c r="A25" s="680" t="s">
        <v>3338</v>
      </c>
      <c r="B25" s="671" t="s">
        <v>3303</v>
      </c>
      <c r="C25" s="671" t="s">
        <v>3304</v>
      </c>
      <c r="D25" s="671" t="s">
        <v>3305</v>
      </c>
      <c r="E25" s="238">
        <v>91</v>
      </c>
      <c r="F25" s="238">
        <v>3094</v>
      </c>
      <c r="G25" s="671">
        <v>1</v>
      </c>
      <c r="H25" s="671">
        <v>34</v>
      </c>
      <c r="I25" s="238">
        <v>63</v>
      </c>
      <c r="J25" s="238">
        <v>2142</v>
      </c>
      <c r="K25" s="671">
        <v>0.69230769230769229</v>
      </c>
      <c r="L25" s="671">
        <v>34</v>
      </c>
      <c r="M25" s="238">
        <v>14</v>
      </c>
      <c r="N25" s="238">
        <v>476</v>
      </c>
      <c r="O25" s="682">
        <v>0.15384615384615385</v>
      </c>
      <c r="P25" s="713">
        <v>34</v>
      </c>
    </row>
    <row r="26" spans="1:16" ht="14.4" customHeight="1" x14ac:dyDescent="0.3">
      <c r="A26" s="680" t="s">
        <v>3338</v>
      </c>
      <c r="B26" s="671" t="s">
        <v>3303</v>
      </c>
      <c r="C26" s="671" t="s">
        <v>3306</v>
      </c>
      <c r="D26" s="671" t="s">
        <v>3307</v>
      </c>
      <c r="E26" s="238">
        <v>1</v>
      </c>
      <c r="F26" s="238">
        <v>671</v>
      </c>
      <c r="G26" s="671">
        <v>1</v>
      </c>
      <c r="H26" s="671">
        <v>671</v>
      </c>
      <c r="I26" s="238"/>
      <c r="J26" s="238"/>
      <c r="K26" s="671"/>
      <c r="L26" s="671"/>
      <c r="M26" s="238"/>
      <c r="N26" s="238"/>
      <c r="O26" s="682"/>
      <c r="P26" s="713"/>
    </row>
    <row r="27" spans="1:16" ht="14.4" customHeight="1" x14ac:dyDescent="0.3">
      <c r="A27" s="680" t="s">
        <v>3338</v>
      </c>
      <c r="B27" s="671" t="s">
        <v>3303</v>
      </c>
      <c r="C27" s="671" t="s">
        <v>3310</v>
      </c>
      <c r="D27" s="671" t="s">
        <v>3311</v>
      </c>
      <c r="E27" s="238">
        <v>9</v>
      </c>
      <c r="F27" s="238">
        <v>8433</v>
      </c>
      <c r="G27" s="671">
        <v>1</v>
      </c>
      <c r="H27" s="671">
        <v>937</v>
      </c>
      <c r="I27" s="238">
        <v>7</v>
      </c>
      <c r="J27" s="238">
        <v>6580</v>
      </c>
      <c r="K27" s="671">
        <v>0.7802679947824025</v>
      </c>
      <c r="L27" s="671">
        <v>940</v>
      </c>
      <c r="M27" s="238"/>
      <c r="N27" s="238"/>
      <c r="O27" s="682"/>
      <c r="P27" s="713"/>
    </row>
    <row r="28" spans="1:16" ht="14.4" customHeight="1" x14ac:dyDescent="0.3">
      <c r="A28" s="680" t="s">
        <v>3338</v>
      </c>
      <c r="B28" s="671" t="s">
        <v>3303</v>
      </c>
      <c r="C28" s="671" t="s">
        <v>3312</v>
      </c>
      <c r="D28" s="671" t="s">
        <v>3313</v>
      </c>
      <c r="E28" s="238">
        <v>5</v>
      </c>
      <c r="F28" s="238">
        <v>2050</v>
      </c>
      <c r="G28" s="671">
        <v>1</v>
      </c>
      <c r="H28" s="671">
        <v>410</v>
      </c>
      <c r="I28" s="238"/>
      <c r="J28" s="238"/>
      <c r="K28" s="671"/>
      <c r="L28" s="671"/>
      <c r="M28" s="238"/>
      <c r="N28" s="238"/>
      <c r="O28" s="682"/>
      <c r="P28" s="713"/>
    </row>
    <row r="29" spans="1:16" ht="14.4" customHeight="1" x14ac:dyDescent="0.3">
      <c r="A29" s="680" t="s">
        <v>3338</v>
      </c>
      <c r="B29" s="671" t="s">
        <v>3303</v>
      </c>
      <c r="C29" s="671" t="s">
        <v>3314</v>
      </c>
      <c r="D29" s="671" t="s">
        <v>3315</v>
      </c>
      <c r="E29" s="238">
        <v>109</v>
      </c>
      <c r="F29" s="238">
        <v>106602</v>
      </c>
      <c r="G29" s="671">
        <v>1</v>
      </c>
      <c r="H29" s="671">
        <v>978</v>
      </c>
      <c r="I29" s="238">
        <v>47</v>
      </c>
      <c r="J29" s="238">
        <v>46060</v>
      </c>
      <c r="K29" s="671">
        <v>0.43207444513236148</v>
      </c>
      <c r="L29" s="671">
        <v>980</v>
      </c>
      <c r="M29" s="238">
        <v>6</v>
      </c>
      <c r="N29" s="238">
        <v>5880</v>
      </c>
      <c r="O29" s="682">
        <v>5.5158439804131251E-2</v>
      </c>
      <c r="P29" s="713">
        <v>980</v>
      </c>
    </row>
    <row r="30" spans="1:16" ht="14.4" customHeight="1" x14ac:dyDescent="0.3">
      <c r="A30" s="680" t="s">
        <v>3338</v>
      </c>
      <c r="B30" s="671" t="s">
        <v>3303</v>
      </c>
      <c r="C30" s="671" t="s">
        <v>3316</v>
      </c>
      <c r="D30" s="671" t="s">
        <v>3317</v>
      </c>
      <c r="E30" s="238">
        <v>3</v>
      </c>
      <c r="F30" s="238">
        <v>6219</v>
      </c>
      <c r="G30" s="671">
        <v>1</v>
      </c>
      <c r="H30" s="671">
        <v>2073</v>
      </c>
      <c r="I30" s="238">
        <v>5</v>
      </c>
      <c r="J30" s="238">
        <v>10385</v>
      </c>
      <c r="K30" s="671">
        <v>1.6698826177842097</v>
      </c>
      <c r="L30" s="671">
        <v>2077</v>
      </c>
      <c r="M30" s="238">
        <v>3</v>
      </c>
      <c r="N30" s="238">
        <v>6231</v>
      </c>
      <c r="O30" s="682">
        <v>1.0019295706705258</v>
      </c>
      <c r="P30" s="713">
        <v>2077</v>
      </c>
    </row>
    <row r="31" spans="1:16" ht="14.4" customHeight="1" x14ac:dyDescent="0.3">
      <c r="A31" s="680" t="s">
        <v>3338</v>
      </c>
      <c r="B31" s="671" t="s">
        <v>3303</v>
      </c>
      <c r="C31" s="671" t="s">
        <v>3343</v>
      </c>
      <c r="D31" s="671" t="s">
        <v>3344</v>
      </c>
      <c r="E31" s="238">
        <v>4</v>
      </c>
      <c r="F31" s="238">
        <v>4116</v>
      </c>
      <c r="G31" s="671">
        <v>1</v>
      </c>
      <c r="H31" s="671">
        <v>1029</v>
      </c>
      <c r="I31" s="238"/>
      <c r="J31" s="238"/>
      <c r="K31" s="671"/>
      <c r="L31" s="671"/>
      <c r="M31" s="238"/>
      <c r="N31" s="238"/>
      <c r="O31" s="682"/>
      <c r="P31" s="713"/>
    </row>
    <row r="32" spans="1:16" ht="14.4" customHeight="1" x14ac:dyDescent="0.3">
      <c r="A32" s="680" t="s">
        <v>3338</v>
      </c>
      <c r="B32" s="671" t="s">
        <v>3303</v>
      </c>
      <c r="C32" s="671" t="s">
        <v>3345</v>
      </c>
      <c r="D32" s="671" t="s">
        <v>3346</v>
      </c>
      <c r="E32" s="238">
        <v>5</v>
      </c>
      <c r="F32" s="238">
        <v>625</v>
      </c>
      <c r="G32" s="671">
        <v>1</v>
      </c>
      <c r="H32" s="671">
        <v>125</v>
      </c>
      <c r="I32" s="238">
        <v>12</v>
      </c>
      <c r="J32" s="238">
        <v>1392</v>
      </c>
      <c r="K32" s="671">
        <v>2.2271999999999998</v>
      </c>
      <c r="L32" s="671">
        <v>116</v>
      </c>
      <c r="M32" s="238"/>
      <c r="N32" s="238"/>
      <c r="O32" s="682"/>
      <c r="P32" s="713"/>
    </row>
    <row r="33" spans="1:16" ht="14.4" customHeight="1" x14ac:dyDescent="0.3">
      <c r="A33" s="680" t="s">
        <v>3338</v>
      </c>
      <c r="B33" s="671" t="s">
        <v>3303</v>
      </c>
      <c r="C33" s="671" t="s">
        <v>3347</v>
      </c>
      <c r="D33" s="671" t="s">
        <v>3348</v>
      </c>
      <c r="E33" s="238"/>
      <c r="F33" s="238"/>
      <c r="G33" s="671"/>
      <c r="H33" s="671"/>
      <c r="I33" s="238"/>
      <c r="J33" s="238"/>
      <c r="K33" s="671"/>
      <c r="L33" s="671"/>
      <c r="M33" s="238">
        <v>7</v>
      </c>
      <c r="N33" s="238">
        <v>812</v>
      </c>
      <c r="O33" s="682"/>
      <c r="P33" s="713">
        <v>116</v>
      </c>
    </row>
    <row r="34" spans="1:16" ht="14.4" customHeight="1" x14ac:dyDescent="0.3">
      <c r="A34" s="680" t="s">
        <v>3338</v>
      </c>
      <c r="B34" s="671" t="s">
        <v>3303</v>
      </c>
      <c r="C34" s="671" t="s">
        <v>3349</v>
      </c>
      <c r="D34" s="671" t="s">
        <v>3350</v>
      </c>
      <c r="E34" s="238">
        <v>3</v>
      </c>
      <c r="F34" s="238">
        <v>1230</v>
      </c>
      <c r="G34" s="671">
        <v>1</v>
      </c>
      <c r="H34" s="671">
        <v>410</v>
      </c>
      <c r="I34" s="238">
        <v>1</v>
      </c>
      <c r="J34" s="238">
        <v>411</v>
      </c>
      <c r="K34" s="671">
        <v>0.33414634146341465</v>
      </c>
      <c r="L34" s="671">
        <v>411</v>
      </c>
      <c r="M34" s="238"/>
      <c r="N34" s="238"/>
      <c r="O34" s="682"/>
      <c r="P34" s="713"/>
    </row>
    <row r="35" spans="1:16" ht="14.4" customHeight="1" x14ac:dyDescent="0.3">
      <c r="A35" s="680" t="s">
        <v>3338</v>
      </c>
      <c r="B35" s="671" t="s">
        <v>3303</v>
      </c>
      <c r="C35" s="671" t="s">
        <v>3318</v>
      </c>
      <c r="D35" s="671" t="s">
        <v>3319</v>
      </c>
      <c r="E35" s="238">
        <v>1</v>
      </c>
      <c r="F35" s="238">
        <v>829</v>
      </c>
      <c r="G35" s="671">
        <v>1</v>
      </c>
      <c r="H35" s="671">
        <v>829</v>
      </c>
      <c r="I35" s="238"/>
      <c r="J35" s="238"/>
      <c r="K35" s="671"/>
      <c r="L35" s="671"/>
      <c r="M35" s="238">
        <v>1</v>
      </c>
      <c r="N35" s="238">
        <v>831</v>
      </c>
      <c r="O35" s="682">
        <v>1.0024125452352231</v>
      </c>
      <c r="P35" s="713">
        <v>831</v>
      </c>
    </row>
    <row r="36" spans="1:16" ht="14.4" customHeight="1" x14ac:dyDescent="0.3">
      <c r="A36" s="680" t="s">
        <v>3338</v>
      </c>
      <c r="B36" s="671" t="s">
        <v>3303</v>
      </c>
      <c r="C36" s="671" t="s">
        <v>3351</v>
      </c>
      <c r="D36" s="671" t="s">
        <v>3352</v>
      </c>
      <c r="E36" s="238">
        <v>5</v>
      </c>
      <c r="F36" s="238">
        <v>2165</v>
      </c>
      <c r="G36" s="671">
        <v>1</v>
      </c>
      <c r="H36" s="671">
        <v>433</v>
      </c>
      <c r="I36" s="238">
        <v>3</v>
      </c>
      <c r="J36" s="238">
        <v>981</v>
      </c>
      <c r="K36" s="671">
        <v>0.45311778290993071</v>
      </c>
      <c r="L36" s="671">
        <v>327</v>
      </c>
      <c r="M36" s="238"/>
      <c r="N36" s="238"/>
      <c r="O36" s="682"/>
      <c r="P36" s="713"/>
    </row>
    <row r="37" spans="1:16" ht="14.4" customHeight="1" x14ac:dyDescent="0.3">
      <c r="A37" s="680" t="s">
        <v>3338</v>
      </c>
      <c r="B37" s="671" t="s">
        <v>3303</v>
      </c>
      <c r="C37" s="671" t="s">
        <v>3320</v>
      </c>
      <c r="D37" s="671" t="s">
        <v>3321</v>
      </c>
      <c r="E37" s="238">
        <v>115</v>
      </c>
      <c r="F37" s="238">
        <v>0</v>
      </c>
      <c r="G37" s="671"/>
      <c r="H37" s="671">
        <v>0</v>
      </c>
      <c r="I37" s="238">
        <v>88</v>
      </c>
      <c r="J37" s="238">
        <v>0</v>
      </c>
      <c r="K37" s="671"/>
      <c r="L37" s="671">
        <v>0</v>
      </c>
      <c r="M37" s="238">
        <v>15</v>
      </c>
      <c r="N37" s="238">
        <v>0</v>
      </c>
      <c r="O37" s="682"/>
      <c r="P37" s="713">
        <v>0</v>
      </c>
    </row>
    <row r="38" spans="1:16" ht="14.4" customHeight="1" x14ac:dyDescent="0.3">
      <c r="A38" s="680" t="s">
        <v>3338</v>
      </c>
      <c r="B38" s="671" t="s">
        <v>3303</v>
      </c>
      <c r="C38" s="671" t="s">
        <v>3322</v>
      </c>
      <c r="D38" s="671" t="s">
        <v>3323</v>
      </c>
      <c r="E38" s="238">
        <v>25</v>
      </c>
      <c r="F38" s="238">
        <v>625</v>
      </c>
      <c r="G38" s="671">
        <v>1</v>
      </c>
      <c r="H38" s="671">
        <v>25</v>
      </c>
      <c r="I38" s="238">
        <v>41</v>
      </c>
      <c r="J38" s="238">
        <v>1435</v>
      </c>
      <c r="K38" s="671">
        <v>2.2959999999999998</v>
      </c>
      <c r="L38" s="671">
        <v>35</v>
      </c>
      <c r="M38" s="238">
        <v>15</v>
      </c>
      <c r="N38" s="238">
        <v>525</v>
      </c>
      <c r="O38" s="682">
        <v>0.84</v>
      </c>
      <c r="P38" s="713">
        <v>35</v>
      </c>
    </row>
    <row r="39" spans="1:16" ht="14.4" customHeight="1" x14ac:dyDescent="0.3">
      <c r="A39" s="680" t="s">
        <v>3338</v>
      </c>
      <c r="B39" s="671" t="s">
        <v>3303</v>
      </c>
      <c r="C39" s="671" t="s">
        <v>3353</v>
      </c>
      <c r="D39" s="671" t="s">
        <v>3354</v>
      </c>
      <c r="E39" s="238">
        <v>2</v>
      </c>
      <c r="F39" s="238">
        <v>150</v>
      </c>
      <c r="G39" s="671">
        <v>1</v>
      </c>
      <c r="H39" s="671">
        <v>75</v>
      </c>
      <c r="I39" s="238">
        <v>3</v>
      </c>
      <c r="J39" s="238">
        <v>243</v>
      </c>
      <c r="K39" s="671">
        <v>1.62</v>
      </c>
      <c r="L39" s="671">
        <v>81</v>
      </c>
      <c r="M39" s="238">
        <v>1</v>
      </c>
      <c r="N39" s="238">
        <v>81</v>
      </c>
      <c r="O39" s="682">
        <v>0.54</v>
      </c>
      <c r="P39" s="713">
        <v>81</v>
      </c>
    </row>
    <row r="40" spans="1:16" ht="14.4" customHeight="1" x14ac:dyDescent="0.3">
      <c r="A40" s="680" t="s">
        <v>3338</v>
      </c>
      <c r="B40" s="671" t="s">
        <v>3303</v>
      </c>
      <c r="C40" s="671" t="s">
        <v>3324</v>
      </c>
      <c r="D40" s="671" t="s">
        <v>3325</v>
      </c>
      <c r="E40" s="238">
        <v>7</v>
      </c>
      <c r="F40" s="238">
        <v>13328</v>
      </c>
      <c r="G40" s="671">
        <v>1</v>
      </c>
      <c r="H40" s="671">
        <v>1904</v>
      </c>
      <c r="I40" s="238">
        <v>1</v>
      </c>
      <c r="J40" s="238">
        <v>1906</v>
      </c>
      <c r="K40" s="671">
        <v>0.14300720288115246</v>
      </c>
      <c r="L40" s="671">
        <v>1906</v>
      </c>
      <c r="M40" s="238"/>
      <c r="N40" s="238"/>
      <c r="O40" s="682"/>
      <c r="P40" s="713"/>
    </row>
    <row r="41" spans="1:16" ht="14.4" customHeight="1" x14ac:dyDescent="0.3">
      <c r="A41" s="680" t="s">
        <v>3338</v>
      </c>
      <c r="B41" s="671" t="s">
        <v>3303</v>
      </c>
      <c r="C41" s="671" t="s">
        <v>3355</v>
      </c>
      <c r="D41" s="671" t="s">
        <v>3356</v>
      </c>
      <c r="E41" s="238"/>
      <c r="F41" s="238"/>
      <c r="G41" s="671"/>
      <c r="H41" s="671"/>
      <c r="I41" s="238"/>
      <c r="J41" s="238"/>
      <c r="K41" s="671"/>
      <c r="L41" s="671"/>
      <c r="M41" s="238">
        <v>2</v>
      </c>
      <c r="N41" s="238">
        <v>0</v>
      </c>
      <c r="O41" s="682"/>
      <c r="P41" s="713">
        <v>0</v>
      </c>
    </row>
    <row r="42" spans="1:16" ht="14.4" customHeight="1" x14ac:dyDescent="0.3">
      <c r="A42" s="680" t="s">
        <v>3338</v>
      </c>
      <c r="B42" s="671" t="s">
        <v>3303</v>
      </c>
      <c r="C42" s="671" t="s">
        <v>3357</v>
      </c>
      <c r="D42" s="671" t="s">
        <v>3358</v>
      </c>
      <c r="E42" s="238">
        <v>1</v>
      </c>
      <c r="F42" s="238">
        <v>644</v>
      </c>
      <c r="G42" s="671">
        <v>1</v>
      </c>
      <c r="H42" s="671">
        <v>644</v>
      </c>
      <c r="I42" s="238"/>
      <c r="J42" s="238"/>
      <c r="K42" s="671"/>
      <c r="L42" s="671"/>
      <c r="M42" s="238"/>
      <c r="N42" s="238"/>
      <c r="O42" s="682"/>
      <c r="P42" s="713"/>
    </row>
    <row r="43" spans="1:16" ht="14.4" customHeight="1" x14ac:dyDescent="0.3">
      <c r="A43" s="680" t="s">
        <v>3338</v>
      </c>
      <c r="B43" s="671" t="s">
        <v>3303</v>
      </c>
      <c r="C43" s="671" t="s">
        <v>3326</v>
      </c>
      <c r="D43" s="671" t="s">
        <v>3327</v>
      </c>
      <c r="E43" s="238">
        <v>80</v>
      </c>
      <c r="F43" s="238">
        <v>28400</v>
      </c>
      <c r="G43" s="671">
        <v>1</v>
      </c>
      <c r="H43" s="671">
        <v>355</v>
      </c>
      <c r="I43" s="238">
        <v>39</v>
      </c>
      <c r="J43" s="238">
        <v>12753</v>
      </c>
      <c r="K43" s="671">
        <v>0.44904929577464786</v>
      </c>
      <c r="L43" s="671">
        <v>327</v>
      </c>
      <c r="M43" s="238">
        <v>4</v>
      </c>
      <c r="N43" s="238">
        <v>1308</v>
      </c>
      <c r="O43" s="682">
        <v>4.6056338028169011E-2</v>
      </c>
      <c r="P43" s="713">
        <v>327</v>
      </c>
    </row>
    <row r="44" spans="1:16" ht="14.4" customHeight="1" x14ac:dyDescent="0.3">
      <c r="A44" s="680" t="s">
        <v>3338</v>
      </c>
      <c r="B44" s="671" t="s">
        <v>3303</v>
      </c>
      <c r="C44" s="671" t="s">
        <v>3328</v>
      </c>
      <c r="D44" s="671" t="s">
        <v>3329</v>
      </c>
      <c r="E44" s="238">
        <v>3</v>
      </c>
      <c r="F44" s="238">
        <v>615</v>
      </c>
      <c r="G44" s="671">
        <v>1</v>
      </c>
      <c r="H44" s="671">
        <v>205</v>
      </c>
      <c r="I44" s="238"/>
      <c r="J44" s="238"/>
      <c r="K44" s="671"/>
      <c r="L44" s="671"/>
      <c r="M44" s="238"/>
      <c r="N44" s="238"/>
      <c r="O44" s="682"/>
      <c r="P44" s="713"/>
    </row>
    <row r="45" spans="1:16" ht="14.4" customHeight="1" x14ac:dyDescent="0.3">
      <c r="A45" s="680" t="s">
        <v>3338</v>
      </c>
      <c r="B45" s="671" t="s">
        <v>3303</v>
      </c>
      <c r="C45" s="671" t="s">
        <v>3330</v>
      </c>
      <c r="D45" s="671" t="s">
        <v>3331</v>
      </c>
      <c r="E45" s="238">
        <v>18</v>
      </c>
      <c r="F45" s="238">
        <v>3186</v>
      </c>
      <c r="G45" s="671">
        <v>1</v>
      </c>
      <c r="H45" s="671">
        <v>177</v>
      </c>
      <c r="I45" s="238">
        <v>7</v>
      </c>
      <c r="J45" s="238">
        <v>1141</v>
      </c>
      <c r="K45" s="671">
        <v>0.35812931575643442</v>
      </c>
      <c r="L45" s="671">
        <v>163</v>
      </c>
      <c r="M45" s="238">
        <v>2</v>
      </c>
      <c r="N45" s="238">
        <v>326</v>
      </c>
      <c r="O45" s="682">
        <v>0.10232266164469554</v>
      </c>
      <c r="P45" s="713">
        <v>163</v>
      </c>
    </row>
    <row r="46" spans="1:16" ht="14.4" customHeight="1" x14ac:dyDescent="0.3">
      <c r="A46" s="680" t="s">
        <v>3338</v>
      </c>
      <c r="B46" s="671" t="s">
        <v>3303</v>
      </c>
      <c r="C46" s="671" t="s">
        <v>3359</v>
      </c>
      <c r="D46" s="671" t="s">
        <v>3360</v>
      </c>
      <c r="E46" s="238"/>
      <c r="F46" s="238"/>
      <c r="G46" s="671"/>
      <c r="H46" s="671"/>
      <c r="I46" s="238">
        <v>1</v>
      </c>
      <c r="J46" s="238">
        <v>431</v>
      </c>
      <c r="K46" s="671"/>
      <c r="L46" s="671">
        <v>431</v>
      </c>
      <c r="M46" s="238"/>
      <c r="N46" s="238"/>
      <c r="O46" s="682"/>
      <c r="P46" s="713"/>
    </row>
    <row r="47" spans="1:16" ht="14.4" customHeight="1" x14ac:dyDescent="0.3">
      <c r="A47" s="680" t="s">
        <v>3338</v>
      </c>
      <c r="B47" s="671" t="s">
        <v>3303</v>
      </c>
      <c r="C47" s="671" t="s">
        <v>3361</v>
      </c>
      <c r="D47" s="671" t="s">
        <v>3362</v>
      </c>
      <c r="E47" s="238"/>
      <c r="F47" s="238"/>
      <c r="G47" s="671"/>
      <c r="H47" s="671"/>
      <c r="I47" s="238"/>
      <c r="J47" s="238"/>
      <c r="K47" s="671"/>
      <c r="L47" s="671"/>
      <c r="M47" s="238">
        <v>1</v>
      </c>
      <c r="N47" s="238">
        <v>118</v>
      </c>
      <c r="O47" s="682"/>
      <c r="P47" s="713">
        <v>118</v>
      </c>
    </row>
    <row r="48" spans="1:16" ht="14.4" customHeight="1" x14ac:dyDescent="0.3">
      <c r="A48" s="680" t="s">
        <v>3338</v>
      </c>
      <c r="B48" s="671" t="s">
        <v>3303</v>
      </c>
      <c r="C48" s="671" t="s">
        <v>3363</v>
      </c>
      <c r="D48" s="671" t="s">
        <v>3364</v>
      </c>
      <c r="E48" s="238"/>
      <c r="F48" s="238"/>
      <c r="G48" s="671"/>
      <c r="H48" s="671"/>
      <c r="I48" s="238">
        <v>1</v>
      </c>
      <c r="J48" s="238">
        <v>344</v>
      </c>
      <c r="K48" s="671"/>
      <c r="L48" s="671">
        <v>344</v>
      </c>
      <c r="M48" s="238"/>
      <c r="N48" s="238"/>
      <c r="O48" s="682"/>
      <c r="P48" s="713"/>
    </row>
    <row r="49" spans="1:16" ht="14.4" customHeight="1" x14ac:dyDescent="0.3">
      <c r="A49" s="680" t="s">
        <v>3338</v>
      </c>
      <c r="B49" s="671" t="s">
        <v>3303</v>
      </c>
      <c r="C49" s="671" t="s">
        <v>3332</v>
      </c>
      <c r="D49" s="671" t="s">
        <v>3333</v>
      </c>
      <c r="E49" s="238">
        <v>1</v>
      </c>
      <c r="F49" s="238">
        <v>57</v>
      </c>
      <c r="G49" s="671">
        <v>1</v>
      </c>
      <c r="H49" s="671">
        <v>57</v>
      </c>
      <c r="I49" s="238">
        <v>4</v>
      </c>
      <c r="J49" s="238">
        <v>224</v>
      </c>
      <c r="K49" s="671">
        <v>3.9298245614035086</v>
      </c>
      <c r="L49" s="671">
        <v>56</v>
      </c>
      <c r="M49" s="238"/>
      <c r="N49" s="238"/>
      <c r="O49" s="682"/>
      <c r="P49" s="713"/>
    </row>
    <row r="50" spans="1:16" ht="14.4" customHeight="1" x14ac:dyDescent="0.3">
      <c r="A50" s="680" t="s">
        <v>3338</v>
      </c>
      <c r="B50" s="671" t="s">
        <v>3303</v>
      </c>
      <c r="C50" s="671" t="s">
        <v>3365</v>
      </c>
      <c r="D50" s="671" t="s">
        <v>3366</v>
      </c>
      <c r="E50" s="238"/>
      <c r="F50" s="238"/>
      <c r="G50" s="671"/>
      <c r="H50" s="671"/>
      <c r="I50" s="238">
        <v>1</v>
      </c>
      <c r="J50" s="238">
        <v>628</v>
      </c>
      <c r="K50" s="671"/>
      <c r="L50" s="671">
        <v>628</v>
      </c>
      <c r="M50" s="238"/>
      <c r="N50" s="238"/>
      <c r="O50" s="682"/>
      <c r="P50" s="713"/>
    </row>
    <row r="51" spans="1:16" ht="14.4" customHeight="1" thickBot="1" x14ac:dyDescent="0.35">
      <c r="A51" s="637" t="s">
        <v>3338</v>
      </c>
      <c r="B51" s="673" t="s">
        <v>3303</v>
      </c>
      <c r="C51" s="673" t="s">
        <v>3336</v>
      </c>
      <c r="D51" s="673" t="s">
        <v>3337</v>
      </c>
      <c r="E51" s="674"/>
      <c r="F51" s="674"/>
      <c r="G51" s="673"/>
      <c r="H51" s="673"/>
      <c r="I51" s="674">
        <v>4</v>
      </c>
      <c r="J51" s="674">
        <v>2116</v>
      </c>
      <c r="K51" s="673"/>
      <c r="L51" s="673">
        <v>529</v>
      </c>
      <c r="M51" s="674">
        <v>2</v>
      </c>
      <c r="N51" s="674">
        <v>1058</v>
      </c>
      <c r="O51" s="683"/>
      <c r="P51" s="714">
        <v>529</v>
      </c>
    </row>
  </sheetData>
  <autoFilter ref="A5:P5"/>
  <mergeCells count="10">
    <mergeCell ref="P4:P5"/>
    <mergeCell ref="A1:P1"/>
    <mergeCell ref="A4:A5"/>
    <mergeCell ref="B4:B5"/>
    <mergeCell ref="C4:C5"/>
    <mergeCell ref="D4:D5"/>
    <mergeCell ref="E4:F4"/>
    <mergeCell ref="I4:J4"/>
    <mergeCell ref="M4:N4"/>
    <mergeCell ref="O4:O5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6">
    <tabColor theme="0" tint="-0.249977111117893"/>
    <pageSetUpPr fitToPage="1"/>
  </sheetPr>
  <dimension ref="A1:S19"/>
  <sheetViews>
    <sheetView showGridLines="0" showRowColHeaders="0" workbookViewId="0">
      <pane ySplit="5" topLeftCell="A6" activePane="bottomLeft" state="frozen"/>
      <selection sqref="A1:M1"/>
      <selection pane="bottomLeft" sqref="A1:S1"/>
    </sheetView>
  </sheetViews>
  <sheetFormatPr defaultRowHeight="14.4" customHeight="1" x14ac:dyDescent="0.3"/>
  <cols>
    <col min="1" max="1" width="46.6640625" style="260" bestFit="1" customWidth="1"/>
    <col min="2" max="2" width="7.77734375" style="225" customWidth="1"/>
    <col min="3" max="3" width="0.109375" style="260" hidden="1" customWidth="1"/>
    <col min="4" max="4" width="7.77734375" style="225" customWidth="1"/>
    <col min="5" max="5" width="5.4414062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5.44140625" style="260" hidden="1" customWidth="1"/>
    <col min="10" max="10" width="7.77734375" style="225" customWidth="1"/>
    <col min="11" max="11" width="5.44140625" style="260" hidden="1" customWidth="1"/>
    <col min="12" max="12" width="7.77734375" style="225" customWidth="1"/>
    <col min="13" max="13" width="7.77734375" style="346" customWidth="1"/>
    <col min="14" max="14" width="7.77734375" style="225" customWidth="1"/>
    <col min="15" max="15" width="5" style="260" hidden="1" customWidth="1"/>
    <col min="16" max="16" width="7.77734375" style="225" customWidth="1"/>
    <col min="17" max="17" width="5" style="260" hidden="1" customWidth="1"/>
    <col min="18" max="18" width="7.77734375" style="225" customWidth="1"/>
    <col min="19" max="19" width="7.77734375" style="346" customWidth="1"/>
    <col min="20" max="16384" width="8.88671875" style="260"/>
  </cols>
  <sheetData>
    <row r="1" spans="1:19" ht="18.600000000000001" customHeight="1" thickBot="1" x14ac:dyDescent="0.4">
      <c r="A1" s="471" t="s">
        <v>161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  <c r="R1" s="462"/>
      <c r="S1" s="462"/>
    </row>
    <row r="2" spans="1:19" ht="14.4" customHeight="1" thickBot="1" x14ac:dyDescent="0.35">
      <c r="A2" s="389" t="s">
        <v>298</v>
      </c>
      <c r="B2" s="362"/>
      <c r="C2" s="230"/>
      <c r="D2" s="362"/>
      <c r="E2" s="230"/>
      <c r="F2" s="362"/>
      <c r="G2" s="363"/>
      <c r="H2" s="362"/>
      <c r="I2" s="230"/>
      <c r="J2" s="362"/>
      <c r="K2" s="230"/>
      <c r="L2" s="362"/>
      <c r="M2" s="363"/>
      <c r="N2" s="362"/>
      <c r="O2" s="230"/>
      <c r="P2" s="362"/>
      <c r="Q2" s="230"/>
      <c r="R2" s="362"/>
      <c r="S2" s="363"/>
    </row>
    <row r="3" spans="1:19" ht="14.4" customHeight="1" thickBot="1" x14ac:dyDescent="0.35">
      <c r="A3" s="356" t="s">
        <v>163</v>
      </c>
      <c r="B3" s="357">
        <f>SUBTOTAL(9,B6:B1048576)</f>
        <v>15829581</v>
      </c>
      <c r="C3" s="358">
        <f t="shared" ref="C3:R3" si="0">SUBTOTAL(9,C6:C1048576)</f>
        <v>7</v>
      </c>
      <c r="D3" s="358">
        <f t="shared" si="0"/>
        <v>14689621</v>
      </c>
      <c r="E3" s="358">
        <f t="shared" si="0"/>
        <v>9.7077396178702511</v>
      </c>
      <c r="F3" s="358">
        <f t="shared" si="0"/>
        <v>15184522</v>
      </c>
      <c r="G3" s="361">
        <f>IF(B3&lt;&gt;0,F3/B3,"")</f>
        <v>0.95924977420438351</v>
      </c>
      <c r="H3" s="357">
        <f t="shared" si="0"/>
        <v>5375818.4400000004</v>
      </c>
      <c r="I3" s="358">
        <f t="shared" si="0"/>
        <v>1</v>
      </c>
      <c r="J3" s="358">
        <f t="shared" si="0"/>
        <v>6047044.0299999975</v>
      </c>
      <c r="K3" s="358">
        <f t="shared" si="0"/>
        <v>1.1248601673385377</v>
      </c>
      <c r="L3" s="358">
        <f t="shared" si="0"/>
        <v>6357144.1899999985</v>
      </c>
      <c r="M3" s="359">
        <f>IF(H3&lt;&gt;0,L3/H3,"")</f>
        <v>1.1825444368988023</v>
      </c>
      <c r="N3" s="360">
        <f t="shared" si="0"/>
        <v>0</v>
      </c>
      <c r="O3" s="358">
        <f t="shared" si="0"/>
        <v>0</v>
      </c>
      <c r="P3" s="358">
        <f t="shared" si="0"/>
        <v>0</v>
      </c>
      <c r="Q3" s="358">
        <f t="shared" si="0"/>
        <v>0</v>
      </c>
      <c r="R3" s="358">
        <f t="shared" si="0"/>
        <v>0</v>
      </c>
      <c r="S3" s="359" t="str">
        <f>IF(N3&lt;&gt;0,R3/N3,"")</f>
        <v/>
      </c>
    </row>
    <row r="4" spans="1:19" ht="14.4" customHeight="1" x14ac:dyDescent="0.3">
      <c r="A4" s="528" t="s">
        <v>133</v>
      </c>
      <c r="B4" s="529" t="s">
        <v>127</v>
      </c>
      <c r="C4" s="530"/>
      <c r="D4" s="530"/>
      <c r="E4" s="530"/>
      <c r="F4" s="530"/>
      <c r="G4" s="531"/>
      <c r="H4" s="529" t="s">
        <v>128</v>
      </c>
      <c r="I4" s="530"/>
      <c r="J4" s="530"/>
      <c r="K4" s="530"/>
      <c r="L4" s="530"/>
      <c r="M4" s="531"/>
      <c r="N4" s="529" t="s">
        <v>129</v>
      </c>
      <c r="O4" s="530"/>
      <c r="P4" s="530"/>
      <c r="Q4" s="530"/>
      <c r="R4" s="530"/>
      <c r="S4" s="531"/>
    </row>
    <row r="5" spans="1:19" ht="14.4" customHeight="1" thickBot="1" x14ac:dyDescent="0.35">
      <c r="A5" s="728"/>
      <c r="B5" s="729">
        <v>2012</v>
      </c>
      <c r="C5" s="730"/>
      <c r="D5" s="730">
        <v>2013</v>
      </c>
      <c r="E5" s="730"/>
      <c r="F5" s="730">
        <v>2014</v>
      </c>
      <c r="G5" s="731" t="s">
        <v>5</v>
      </c>
      <c r="H5" s="729">
        <v>2012</v>
      </c>
      <c r="I5" s="730"/>
      <c r="J5" s="730">
        <v>2013</v>
      </c>
      <c r="K5" s="730"/>
      <c r="L5" s="730">
        <v>2014</v>
      </c>
      <c r="M5" s="731" t="s">
        <v>5</v>
      </c>
      <c r="N5" s="729">
        <v>2012</v>
      </c>
      <c r="O5" s="730"/>
      <c r="P5" s="730">
        <v>2013</v>
      </c>
      <c r="Q5" s="730"/>
      <c r="R5" s="730">
        <v>2014</v>
      </c>
      <c r="S5" s="731" t="s">
        <v>5</v>
      </c>
    </row>
    <row r="6" spans="1:19" ht="14.4" customHeight="1" x14ac:dyDescent="0.3">
      <c r="A6" s="716" t="s">
        <v>3368</v>
      </c>
      <c r="B6" s="732">
        <v>1990</v>
      </c>
      <c r="C6" s="697">
        <v>1</v>
      </c>
      <c r="D6" s="732">
        <v>8264</v>
      </c>
      <c r="E6" s="697">
        <v>4.152763819095477</v>
      </c>
      <c r="F6" s="732">
        <v>980</v>
      </c>
      <c r="G6" s="702">
        <v>0.49246231155778897</v>
      </c>
      <c r="H6" s="732"/>
      <c r="I6" s="697"/>
      <c r="J6" s="732"/>
      <c r="K6" s="697"/>
      <c r="L6" s="732"/>
      <c r="M6" s="702"/>
      <c r="N6" s="732"/>
      <c r="O6" s="697"/>
      <c r="P6" s="732"/>
      <c r="Q6" s="697"/>
      <c r="R6" s="732"/>
      <c r="S6" s="241"/>
    </row>
    <row r="7" spans="1:19" ht="14.4" customHeight="1" x14ac:dyDescent="0.3">
      <c r="A7" s="717" t="s">
        <v>3369</v>
      </c>
      <c r="B7" s="746">
        <v>978</v>
      </c>
      <c r="C7" s="671">
        <v>1</v>
      </c>
      <c r="D7" s="746"/>
      <c r="E7" s="671"/>
      <c r="F7" s="746"/>
      <c r="G7" s="682"/>
      <c r="H7" s="746"/>
      <c r="I7" s="671"/>
      <c r="J7" s="746"/>
      <c r="K7" s="671"/>
      <c r="L7" s="746"/>
      <c r="M7" s="682"/>
      <c r="N7" s="746"/>
      <c r="O7" s="671"/>
      <c r="P7" s="746"/>
      <c r="Q7" s="671"/>
      <c r="R7" s="746"/>
      <c r="S7" s="242"/>
    </row>
    <row r="8" spans="1:19" ht="14.4" customHeight="1" x14ac:dyDescent="0.3">
      <c r="A8" s="717" t="s">
        <v>3370</v>
      </c>
      <c r="B8" s="746"/>
      <c r="C8" s="671"/>
      <c r="D8" s="746">
        <v>1960</v>
      </c>
      <c r="E8" s="671"/>
      <c r="F8" s="746"/>
      <c r="G8" s="682"/>
      <c r="H8" s="746"/>
      <c r="I8" s="671"/>
      <c r="J8" s="746"/>
      <c r="K8" s="671"/>
      <c r="L8" s="746"/>
      <c r="M8" s="682"/>
      <c r="N8" s="746"/>
      <c r="O8" s="671"/>
      <c r="P8" s="746"/>
      <c r="Q8" s="671"/>
      <c r="R8" s="746"/>
      <c r="S8" s="242"/>
    </row>
    <row r="9" spans="1:19" ht="14.4" customHeight="1" x14ac:dyDescent="0.3">
      <c r="A9" s="717" t="s">
        <v>3371</v>
      </c>
      <c r="B9" s="746"/>
      <c r="C9" s="671"/>
      <c r="D9" s="746"/>
      <c r="E9" s="671"/>
      <c r="F9" s="746">
        <v>980</v>
      </c>
      <c r="G9" s="682"/>
      <c r="H9" s="746"/>
      <c r="I9" s="671"/>
      <c r="J9" s="746"/>
      <c r="K9" s="671"/>
      <c r="L9" s="746"/>
      <c r="M9" s="682"/>
      <c r="N9" s="746"/>
      <c r="O9" s="671"/>
      <c r="P9" s="746"/>
      <c r="Q9" s="671"/>
      <c r="R9" s="746"/>
      <c r="S9" s="242"/>
    </row>
    <row r="10" spans="1:19" ht="14.4" customHeight="1" x14ac:dyDescent="0.3">
      <c r="A10" s="717" t="s">
        <v>3372</v>
      </c>
      <c r="B10" s="746"/>
      <c r="C10" s="671"/>
      <c r="D10" s="746">
        <v>980</v>
      </c>
      <c r="E10" s="671"/>
      <c r="F10" s="746"/>
      <c r="G10" s="682"/>
      <c r="H10" s="746"/>
      <c r="I10" s="671"/>
      <c r="J10" s="746"/>
      <c r="K10" s="671"/>
      <c r="L10" s="746"/>
      <c r="M10" s="682"/>
      <c r="N10" s="746"/>
      <c r="O10" s="671"/>
      <c r="P10" s="746"/>
      <c r="Q10" s="671"/>
      <c r="R10" s="746"/>
      <c r="S10" s="242"/>
    </row>
    <row r="11" spans="1:19" ht="14.4" customHeight="1" x14ac:dyDescent="0.3">
      <c r="A11" s="717" t="s">
        <v>3373</v>
      </c>
      <c r="B11" s="746">
        <v>978</v>
      </c>
      <c r="C11" s="671">
        <v>1</v>
      </c>
      <c r="D11" s="746">
        <v>1960</v>
      </c>
      <c r="E11" s="671">
        <v>2.0040899795501024</v>
      </c>
      <c r="F11" s="746"/>
      <c r="G11" s="682"/>
      <c r="H11" s="746"/>
      <c r="I11" s="671"/>
      <c r="J11" s="746"/>
      <c r="K11" s="671"/>
      <c r="L11" s="746"/>
      <c r="M11" s="682"/>
      <c r="N11" s="746"/>
      <c r="O11" s="671"/>
      <c r="P11" s="746"/>
      <c r="Q11" s="671"/>
      <c r="R11" s="746"/>
      <c r="S11" s="242"/>
    </row>
    <row r="12" spans="1:19" ht="14.4" customHeight="1" x14ac:dyDescent="0.3">
      <c r="A12" s="717" t="s">
        <v>3374</v>
      </c>
      <c r="B12" s="746">
        <v>1956</v>
      </c>
      <c r="C12" s="671">
        <v>1</v>
      </c>
      <c r="D12" s="746">
        <v>3172</v>
      </c>
      <c r="E12" s="671">
        <v>1.621676891615542</v>
      </c>
      <c r="F12" s="746">
        <v>6058</v>
      </c>
      <c r="G12" s="682">
        <v>3.0971370143149284</v>
      </c>
      <c r="H12" s="746"/>
      <c r="I12" s="671"/>
      <c r="J12" s="746"/>
      <c r="K12" s="671"/>
      <c r="L12" s="746"/>
      <c r="M12" s="682"/>
      <c r="N12" s="746"/>
      <c r="O12" s="671"/>
      <c r="P12" s="746"/>
      <c r="Q12" s="671"/>
      <c r="R12" s="746"/>
      <c r="S12" s="242"/>
    </row>
    <row r="13" spans="1:19" ht="14.4" customHeight="1" x14ac:dyDescent="0.3">
      <c r="A13" s="717" t="s">
        <v>3375</v>
      </c>
      <c r="B13" s="746"/>
      <c r="C13" s="671"/>
      <c r="D13" s="746">
        <v>1960</v>
      </c>
      <c r="E13" s="671"/>
      <c r="F13" s="746">
        <v>327</v>
      </c>
      <c r="G13" s="682"/>
      <c r="H13" s="746"/>
      <c r="I13" s="671"/>
      <c r="J13" s="746"/>
      <c r="K13" s="671"/>
      <c r="L13" s="746"/>
      <c r="M13" s="682"/>
      <c r="N13" s="746"/>
      <c r="O13" s="671"/>
      <c r="P13" s="746"/>
      <c r="Q13" s="671"/>
      <c r="R13" s="746"/>
      <c r="S13" s="242"/>
    </row>
    <row r="14" spans="1:19" ht="14.4" customHeight="1" x14ac:dyDescent="0.3">
      <c r="A14" s="717" t="s">
        <v>3376</v>
      </c>
      <c r="B14" s="746"/>
      <c r="C14" s="671"/>
      <c r="D14" s="746">
        <v>34</v>
      </c>
      <c r="E14" s="671"/>
      <c r="F14" s="746"/>
      <c r="G14" s="682"/>
      <c r="H14" s="746"/>
      <c r="I14" s="671"/>
      <c r="J14" s="746"/>
      <c r="K14" s="671"/>
      <c r="L14" s="746"/>
      <c r="M14" s="682"/>
      <c r="N14" s="746"/>
      <c r="O14" s="671"/>
      <c r="P14" s="746"/>
      <c r="Q14" s="671"/>
      <c r="R14" s="746"/>
      <c r="S14" s="242"/>
    </row>
    <row r="15" spans="1:19" ht="14.4" customHeight="1" x14ac:dyDescent="0.3">
      <c r="A15" s="717" t="s">
        <v>3377</v>
      </c>
      <c r="B15" s="746"/>
      <c r="C15" s="671"/>
      <c r="D15" s="746">
        <v>980</v>
      </c>
      <c r="E15" s="671"/>
      <c r="F15" s="746"/>
      <c r="G15" s="682"/>
      <c r="H15" s="746"/>
      <c r="I15" s="671"/>
      <c r="J15" s="746"/>
      <c r="K15" s="671"/>
      <c r="L15" s="746"/>
      <c r="M15" s="682"/>
      <c r="N15" s="746"/>
      <c r="O15" s="671"/>
      <c r="P15" s="746"/>
      <c r="Q15" s="671"/>
      <c r="R15" s="746"/>
      <c r="S15" s="242"/>
    </row>
    <row r="16" spans="1:19" ht="14.4" customHeight="1" x14ac:dyDescent="0.3">
      <c r="A16" s="717" t="s">
        <v>3378</v>
      </c>
      <c r="B16" s="746">
        <v>978</v>
      </c>
      <c r="C16" s="671">
        <v>1</v>
      </c>
      <c r="D16" s="746"/>
      <c r="E16" s="671"/>
      <c r="F16" s="746"/>
      <c r="G16" s="682"/>
      <c r="H16" s="746"/>
      <c r="I16" s="671"/>
      <c r="J16" s="746"/>
      <c r="K16" s="671"/>
      <c r="L16" s="746"/>
      <c r="M16" s="682"/>
      <c r="N16" s="746"/>
      <c r="O16" s="671"/>
      <c r="P16" s="746"/>
      <c r="Q16" s="671"/>
      <c r="R16" s="746"/>
      <c r="S16" s="242"/>
    </row>
    <row r="17" spans="1:19" ht="14.4" customHeight="1" x14ac:dyDescent="0.3">
      <c r="A17" s="717" t="s">
        <v>3379</v>
      </c>
      <c r="B17" s="746">
        <v>978</v>
      </c>
      <c r="C17" s="671">
        <v>1</v>
      </c>
      <c r="D17" s="746">
        <v>980</v>
      </c>
      <c r="E17" s="671">
        <v>1.0020449897750512</v>
      </c>
      <c r="F17" s="746">
        <v>980</v>
      </c>
      <c r="G17" s="682">
        <v>1.0020449897750512</v>
      </c>
      <c r="H17" s="746"/>
      <c r="I17" s="671"/>
      <c r="J17" s="746"/>
      <c r="K17" s="671"/>
      <c r="L17" s="746"/>
      <c r="M17" s="682"/>
      <c r="N17" s="746"/>
      <c r="O17" s="671"/>
      <c r="P17" s="746"/>
      <c r="Q17" s="671"/>
      <c r="R17" s="746"/>
      <c r="S17" s="242"/>
    </row>
    <row r="18" spans="1:19" ht="14.4" customHeight="1" x14ac:dyDescent="0.3">
      <c r="A18" s="717" t="s">
        <v>3380</v>
      </c>
      <c r="B18" s="746">
        <v>15821723</v>
      </c>
      <c r="C18" s="671">
        <v>1</v>
      </c>
      <c r="D18" s="746">
        <v>14669331</v>
      </c>
      <c r="E18" s="671">
        <v>0.92716393783407791</v>
      </c>
      <c r="F18" s="746">
        <v>15174217</v>
      </c>
      <c r="G18" s="682">
        <v>0.95907487446215556</v>
      </c>
      <c r="H18" s="746">
        <v>5375818.4400000004</v>
      </c>
      <c r="I18" s="671">
        <v>1</v>
      </c>
      <c r="J18" s="746">
        <v>6047044.0299999975</v>
      </c>
      <c r="K18" s="671">
        <v>1.1248601673385377</v>
      </c>
      <c r="L18" s="746">
        <v>6357144.1899999985</v>
      </c>
      <c r="M18" s="682">
        <v>1.1825444368988023</v>
      </c>
      <c r="N18" s="746"/>
      <c r="O18" s="671"/>
      <c r="P18" s="746"/>
      <c r="Q18" s="671"/>
      <c r="R18" s="746"/>
      <c r="S18" s="242"/>
    </row>
    <row r="19" spans="1:19" ht="14.4" customHeight="1" thickBot="1" x14ac:dyDescent="0.35">
      <c r="A19" s="734" t="s">
        <v>3381</v>
      </c>
      <c r="B19" s="733"/>
      <c r="C19" s="673"/>
      <c r="D19" s="733"/>
      <c r="E19" s="673"/>
      <c r="F19" s="733">
        <v>980</v>
      </c>
      <c r="G19" s="683"/>
      <c r="H19" s="733"/>
      <c r="I19" s="673"/>
      <c r="J19" s="733"/>
      <c r="K19" s="673"/>
      <c r="L19" s="733"/>
      <c r="M19" s="683"/>
      <c r="N19" s="733"/>
      <c r="O19" s="673"/>
      <c r="P19" s="733"/>
      <c r="Q19" s="673"/>
      <c r="R19" s="733"/>
      <c r="S19" s="684"/>
    </row>
  </sheetData>
  <mergeCells count="5">
    <mergeCell ref="A1:S1"/>
    <mergeCell ref="A4:A5"/>
    <mergeCell ref="B4:G4"/>
    <mergeCell ref="H4:M4"/>
    <mergeCell ref="N4:S4"/>
  </mergeCells>
  <conditionalFormatting sqref="F6:F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{BA794F54-B18B-4A26-BB4F-CB6E26EA0EF6}</x14:id>
        </ext>
      </extLst>
    </cfRule>
  </conditionalFormatting>
  <conditionalFormatting sqref="L6:L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{902DDBAC-AFA8-4C48-B345-7784752BF2A0}</x14:id>
        </ext>
      </extLst>
    </cfRule>
  </conditionalFormatting>
  <conditionalFormatting sqref="R6:R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{79EC4184-E94E-4209-8644-6CBC339FEFF0}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ignoredErrors>
    <ignoredError sqref="B3 D3 F3 H3 J3 L3 N3 P3 R3" formulaRange="1"/>
    <ignoredError sqref="G3 M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A794F54-B18B-4A26-BB4F-CB6E26EA0EF6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902DDBAC-AFA8-4C48-B345-7784752BF2A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  <x14:conditionalFormatting xmlns:xm="http://schemas.microsoft.com/office/excel/2006/main">
          <x14:cfRule type="dataBar" id="{79EC4184-E94E-4209-8644-6CBC339FEFF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R6:R1048576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>
    <tabColor theme="0" tint="-0.249977111117893"/>
    <pageSetUpPr fitToPage="1"/>
  </sheetPr>
  <dimension ref="A1:Q411"/>
  <sheetViews>
    <sheetView showGridLines="0" showRowColHeaders="0" workbookViewId="0">
      <pane ySplit="5" topLeftCell="A6" activePane="bottomLeft" state="frozen"/>
      <selection activeCell="A5" sqref="A5"/>
      <selection pane="bottomLeft" sqref="A1:Q1"/>
    </sheetView>
  </sheetViews>
  <sheetFormatPr defaultRowHeight="14.4" customHeight="1" x14ac:dyDescent="0.3"/>
  <cols>
    <col min="1" max="1" width="3" style="260" bestFit="1" customWidth="1"/>
    <col min="2" max="2" width="8.6640625" style="260" bestFit="1" customWidth="1"/>
    <col min="3" max="3" width="2.109375" style="260" bestFit="1" customWidth="1"/>
    <col min="4" max="4" width="8" style="260" bestFit="1" customWidth="1"/>
    <col min="5" max="5" width="52.88671875" style="260" bestFit="1" customWidth="1"/>
    <col min="6" max="7" width="11.109375" style="343" customWidth="1"/>
    <col min="8" max="9" width="9.33203125" style="343" hidden="1" customWidth="1"/>
    <col min="10" max="11" width="11.109375" style="343" customWidth="1"/>
    <col min="12" max="13" width="9.33203125" style="343" hidden="1" customWidth="1"/>
    <col min="14" max="15" width="11.109375" style="343" customWidth="1"/>
    <col min="16" max="16" width="11.109375" style="346" customWidth="1"/>
    <col min="17" max="17" width="11.109375" style="343" customWidth="1"/>
    <col min="18" max="16384" width="8.88671875" style="260"/>
  </cols>
  <sheetData>
    <row r="1" spans="1:17" ht="18.600000000000001" customHeight="1" thickBot="1" x14ac:dyDescent="0.4">
      <c r="A1" s="462" t="s">
        <v>3914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ht="14.4" customHeight="1" thickBot="1" x14ac:dyDescent="0.35">
      <c r="A2" s="389" t="s">
        <v>298</v>
      </c>
      <c r="B2" s="261"/>
      <c r="C2" s="261"/>
      <c r="D2" s="261"/>
      <c r="E2" s="261"/>
      <c r="F2" s="364"/>
      <c r="G2" s="364"/>
      <c r="H2" s="364"/>
      <c r="I2" s="364"/>
      <c r="J2" s="364"/>
      <c r="K2" s="364"/>
      <c r="L2" s="364"/>
      <c r="M2" s="364"/>
      <c r="N2" s="364"/>
      <c r="O2" s="364"/>
      <c r="P2" s="365"/>
      <c r="Q2" s="364"/>
    </row>
    <row r="3" spans="1:17" ht="14.4" customHeight="1" thickBot="1" x14ac:dyDescent="0.35">
      <c r="E3" s="112" t="s">
        <v>163</v>
      </c>
      <c r="F3" s="217">
        <f t="shared" ref="F3:O3" si="0">SUBTOTAL(9,F6:F1048576)</f>
        <v>10237.299999999997</v>
      </c>
      <c r="G3" s="218">
        <f t="shared" si="0"/>
        <v>21205399.439999998</v>
      </c>
      <c r="H3" s="218"/>
      <c r="I3" s="218"/>
      <c r="J3" s="218">
        <f t="shared" si="0"/>
        <v>9351.82</v>
      </c>
      <c r="K3" s="218">
        <f t="shared" si="0"/>
        <v>20736665.030000001</v>
      </c>
      <c r="L3" s="218"/>
      <c r="M3" s="218"/>
      <c r="N3" s="218">
        <f t="shared" si="0"/>
        <v>8176.9499999999989</v>
      </c>
      <c r="O3" s="218">
        <f t="shared" si="0"/>
        <v>21541666.189999998</v>
      </c>
      <c r="P3" s="79">
        <f>IF(G3=0,0,O3/G3)</f>
        <v>1.0158576003697293</v>
      </c>
      <c r="Q3" s="219">
        <f>IF(N3=0,0,O3/N3)</f>
        <v>2634.4378026036602</v>
      </c>
    </row>
    <row r="4" spans="1:17" ht="14.4" customHeight="1" x14ac:dyDescent="0.3">
      <c r="A4" s="534" t="s">
        <v>77</v>
      </c>
      <c r="B4" s="533" t="s">
        <v>122</v>
      </c>
      <c r="C4" s="534" t="s">
        <v>123</v>
      </c>
      <c r="D4" s="535" t="s">
        <v>124</v>
      </c>
      <c r="E4" s="536" t="s">
        <v>84</v>
      </c>
      <c r="F4" s="540">
        <v>2012</v>
      </c>
      <c r="G4" s="541"/>
      <c r="H4" s="220"/>
      <c r="I4" s="220"/>
      <c r="J4" s="540">
        <v>2013</v>
      </c>
      <c r="K4" s="541"/>
      <c r="L4" s="220"/>
      <c r="M4" s="220"/>
      <c r="N4" s="540">
        <v>2014</v>
      </c>
      <c r="O4" s="541"/>
      <c r="P4" s="542" t="s">
        <v>5</v>
      </c>
      <c r="Q4" s="532" t="s">
        <v>125</v>
      </c>
    </row>
    <row r="5" spans="1:17" ht="14.4" customHeight="1" thickBot="1" x14ac:dyDescent="0.35">
      <c r="A5" s="738"/>
      <c r="B5" s="737"/>
      <c r="C5" s="738"/>
      <c r="D5" s="739"/>
      <c r="E5" s="740"/>
      <c r="F5" s="747" t="s">
        <v>94</v>
      </c>
      <c r="G5" s="748" t="s">
        <v>17</v>
      </c>
      <c r="H5" s="749"/>
      <c r="I5" s="749"/>
      <c r="J5" s="747" t="s">
        <v>94</v>
      </c>
      <c r="K5" s="748" t="s">
        <v>17</v>
      </c>
      <c r="L5" s="749"/>
      <c r="M5" s="749"/>
      <c r="N5" s="747" t="s">
        <v>94</v>
      </c>
      <c r="O5" s="748" t="s">
        <v>17</v>
      </c>
      <c r="P5" s="750"/>
      <c r="Q5" s="745"/>
    </row>
    <row r="6" spans="1:17" ht="14.4" customHeight="1" x14ac:dyDescent="0.3">
      <c r="A6" s="696" t="s">
        <v>3382</v>
      </c>
      <c r="B6" s="697" t="s">
        <v>3302</v>
      </c>
      <c r="C6" s="697" t="s">
        <v>3303</v>
      </c>
      <c r="D6" s="697" t="s">
        <v>3304</v>
      </c>
      <c r="E6" s="697" t="s">
        <v>3305</v>
      </c>
      <c r="F6" s="235"/>
      <c r="G6" s="235"/>
      <c r="H6" s="235"/>
      <c r="I6" s="235"/>
      <c r="J6" s="235">
        <v>1</v>
      </c>
      <c r="K6" s="235">
        <v>34</v>
      </c>
      <c r="L6" s="235"/>
      <c r="M6" s="235">
        <v>34</v>
      </c>
      <c r="N6" s="235"/>
      <c r="O6" s="235"/>
      <c r="P6" s="702"/>
      <c r="Q6" s="712"/>
    </row>
    <row r="7" spans="1:17" ht="14.4" customHeight="1" x14ac:dyDescent="0.3">
      <c r="A7" s="680" t="s">
        <v>3382</v>
      </c>
      <c r="B7" s="671" t="s">
        <v>3302</v>
      </c>
      <c r="C7" s="671" t="s">
        <v>3303</v>
      </c>
      <c r="D7" s="671" t="s">
        <v>3314</v>
      </c>
      <c r="E7" s="671" t="s">
        <v>3315</v>
      </c>
      <c r="F7" s="238"/>
      <c r="G7" s="238"/>
      <c r="H7" s="238"/>
      <c r="I7" s="238"/>
      <c r="J7" s="238">
        <v>2</v>
      </c>
      <c r="K7" s="238">
        <v>1960</v>
      </c>
      <c r="L7" s="238"/>
      <c r="M7" s="238">
        <v>980</v>
      </c>
      <c r="N7" s="238">
        <v>1</v>
      </c>
      <c r="O7" s="238">
        <v>980</v>
      </c>
      <c r="P7" s="682"/>
      <c r="Q7" s="713">
        <v>980</v>
      </c>
    </row>
    <row r="8" spans="1:17" ht="14.4" customHeight="1" x14ac:dyDescent="0.3">
      <c r="A8" s="680" t="s">
        <v>3382</v>
      </c>
      <c r="B8" s="671" t="s">
        <v>3302</v>
      </c>
      <c r="C8" s="671" t="s">
        <v>3303</v>
      </c>
      <c r="D8" s="671" t="s">
        <v>3324</v>
      </c>
      <c r="E8" s="671" t="s">
        <v>3325</v>
      </c>
      <c r="F8" s="238"/>
      <c r="G8" s="238"/>
      <c r="H8" s="238"/>
      <c r="I8" s="238"/>
      <c r="J8" s="238">
        <v>2</v>
      </c>
      <c r="K8" s="238">
        <v>3812</v>
      </c>
      <c r="L8" s="238"/>
      <c r="M8" s="238">
        <v>1906</v>
      </c>
      <c r="N8" s="238"/>
      <c r="O8" s="238"/>
      <c r="P8" s="682"/>
      <c r="Q8" s="713"/>
    </row>
    <row r="9" spans="1:17" ht="14.4" customHeight="1" x14ac:dyDescent="0.3">
      <c r="A9" s="680" t="s">
        <v>3382</v>
      </c>
      <c r="B9" s="671" t="s">
        <v>3338</v>
      </c>
      <c r="C9" s="671" t="s">
        <v>3303</v>
      </c>
      <c r="D9" s="671" t="s">
        <v>3304</v>
      </c>
      <c r="E9" s="671" t="s">
        <v>3305</v>
      </c>
      <c r="F9" s="238">
        <v>1</v>
      </c>
      <c r="G9" s="238">
        <v>34</v>
      </c>
      <c r="H9" s="238">
        <v>1</v>
      </c>
      <c r="I9" s="238">
        <v>34</v>
      </c>
      <c r="J9" s="238">
        <v>1</v>
      </c>
      <c r="K9" s="238">
        <v>34</v>
      </c>
      <c r="L9" s="238">
        <v>1</v>
      </c>
      <c r="M9" s="238">
        <v>34</v>
      </c>
      <c r="N9" s="238"/>
      <c r="O9" s="238"/>
      <c r="P9" s="682"/>
      <c r="Q9" s="713"/>
    </row>
    <row r="10" spans="1:17" ht="14.4" customHeight="1" x14ac:dyDescent="0.3">
      <c r="A10" s="680" t="s">
        <v>3382</v>
      </c>
      <c r="B10" s="671" t="s">
        <v>3338</v>
      </c>
      <c r="C10" s="671" t="s">
        <v>3303</v>
      </c>
      <c r="D10" s="671" t="s">
        <v>3314</v>
      </c>
      <c r="E10" s="671" t="s">
        <v>3315</v>
      </c>
      <c r="F10" s="238">
        <v>2</v>
      </c>
      <c r="G10" s="238">
        <v>1956</v>
      </c>
      <c r="H10" s="238">
        <v>1</v>
      </c>
      <c r="I10" s="238">
        <v>978</v>
      </c>
      <c r="J10" s="238">
        <v>2</v>
      </c>
      <c r="K10" s="238">
        <v>1960</v>
      </c>
      <c r="L10" s="238">
        <v>1.0020449897750512</v>
      </c>
      <c r="M10" s="238">
        <v>980</v>
      </c>
      <c r="N10" s="238"/>
      <c r="O10" s="238"/>
      <c r="P10" s="682"/>
      <c r="Q10" s="713"/>
    </row>
    <row r="11" spans="1:17" ht="14.4" customHeight="1" x14ac:dyDescent="0.3">
      <c r="A11" s="680" t="s">
        <v>3382</v>
      </c>
      <c r="B11" s="671" t="s">
        <v>3338</v>
      </c>
      <c r="C11" s="671" t="s">
        <v>3303</v>
      </c>
      <c r="D11" s="671" t="s">
        <v>3383</v>
      </c>
      <c r="E11" s="671" t="s">
        <v>3384</v>
      </c>
      <c r="F11" s="238"/>
      <c r="G11" s="238"/>
      <c r="H11" s="238"/>
      <c r="I11" s="238"/>
      <c r="J11" s="238">
        <v>2</v>
      </c>
      <c r="K11" s="238">
        <v>464</v>
      </c>
      <c r="L11" s="238"/>
      <c r="M11" s="238">
        <v>232</v>
      </c>
      <c r="N11" s="238"/>
      <c r="O11" s="238"/>
      <c r="P11" s="682"/>
      <c r="Q11" s="713"/>
    </row>
    <row r="12" spans="1:17" ht="14.4" customHeight="1" x14ac:dyDescent="0.3">
      <c r="A12" s="680" t="s">
        <v>3385</v>
      </c>
      <c r="B12" s="671" t="s">
        <v>3338</v>
      </c>
      <c r="C12" s="671" t="s">
        <v>3303</v>
      </c>
      <c r="D12" s="671" t="s">
        <v>3314</v>
      </c>
      <c r="E12" s="671" t="s">
        <v>3315</v>
      </c>
      <c r="F12" s="238">
        <v>1</v>
      </c>
      <c r="G12" s="238">
        <v>978</v>
      </c>
      <c r="H12" s="238">
        <v>1</v>
      </c>
      <c r="I12" s="238">
        <v>978</v>
      </c>
      <c r="J12" s="238"/>
      <c r="K12" s="238"/>
      <c r="L12" s="238"/>
      <c r="M12" s="238"/>
      <c r="N12" s="238"/>
      <c r="O12" s="238"/>
      <c r="P12" s="682"/>
      <c r="Q12" s="713"/>
    </row>
    <row r="13" spans="1:17" ht="14.4" customHeight="1" x14ac:dyDescent="0.3">
      <c r="A13" s="680" t="s">
        <v>3386</v>
      </c>
      <c r="B13" s="671" t="s">
        <v>3338</v>
      </c>
      <c r="C13" s="671" t="s">
        <v>3303</v>
      </c>
      <c r="D13" s="671" t="s">
        <v>3314</v>
      </c>
      <c r="E13" s="671" t="s">
        <v>3315</v>
      </c>
      <c r="F13" s="238"/>
      <c r="G13" s="238"/>
      <c r="H13" s="238"/>
      <c r="I13" s="238"/>
      <c r="J13" s="238">
        <v>2</v>
      </c>
      <c r="K13" s="238">
        <v>1960</v>
      </c>
      <c r="L13" s="238"/>
      <c r="M13" s="238">
        <v>980</v>
      </c>
      <c r="N13" s="238"/>
      <c r="O13" s="238"/>
      <c r="P13" s="682"/>
      <c r="Q13" s="713"/>
    </row>
    <row r="14" spans="1:17" ht="14.4" customHeight="1" x14ac:dyDescent="0.3">
      <c r="A14" s="680" t="s">
        <v>3387</v>
      </c>
      <c r="B14" s="671" t="s">
        <v>3302</v>
      </c>
      <c r="C14" s="671" t="s">
        <v>3303</v>
      </c>
      <c r="D14" s="671" t="s">
        <v>3314</v>
      </c>
      <c r="E14" s="671" t="s">
        <v>3315</v>
      </c>
      <c r="F14" s="238"/>
      <c r="G14" s="238"/>
      <c r="H14" s="238"/>
      <c r="I14" s="238"/>
      <c r="J14" s="238"/>
      <c r="K14" s="238"/>
      <c r="L14" s="238"/>
      <c r="M14" s="238"/>
      <c r="N14" s="238">
        <v>1</v>
      </c>
      <c r="O14" s="238">
        <v>980</v>
      </c>
      <c r="P14" s="682"/>
      <c r="Q14" s="713">
        <v>980</v>
      </c>
    </row>
    <row r="15" spans="1:17" ht="14.4" customHeight="1" x14ac:dyDescent="0.3">
      <c r="A15" s="680" t="s">
        <v>3388</v>
      </c>
      <c r="B15" s="671" t="s">
        <v>3338</v>
      </c>
      <c r="C15" s="671" t="s">
        <v>3303</v>
      </c>
      <c r="D15" s="671" t="s">
        <v>3314</v>
      </c>
      <c r="E15" s="671" t="s">
        <v>3315</v>
      </c>
      <c r="F15" s="238"/>
      <c r="G15" s="238"/>
      <c r="H15" s="238"/>
      <c r="I15" s="238"/>
      <c r="J15" s="238">
        <v>1</v>
      </c>
      <c r="K15" s="238">
        <v>980</v>
      </c>
      <c r="L15" s="238"/>
      <c r="M15" s="238">
        <v>980</v>
      </c>
      <c r="N15" s="238"/>
      <c r="O15" s="238"/>
      <c r="P15" s="682"/>
      <c r="Q15" s="713"/>
    </row>
    <row r="16" spans="1:17" ht="14.4" customHeight="1" x14ac:dyDescent="0.3">
      <c r="A16" s="680" t="s">
        <v>3389</v>
      </c>
      <c r="B16" s="671" t="s">
        <v>3302</v>
      </c>
      <c r="C16" s="671" t="s">
        <v>3303</v>
      </c>
      <c r="D16" s="671" t="s">
        <v>3314</v>
      </c>
      <c r="E16" s="671" t="s">
        <v>3315</v>
      </c>
      <c r="F16" s="238"/>
      <c r="G16" s="238"/>
      <c r="H16" s="238"/>
      <c r="I16" s="238"/>
      <c r="J16" s="238">
        <v>2</v>
      </c>
      <c r="K16" s="238">
        <v>1960</v>
      </c>
      <c r="L16" s="238"/>
      <c r="M16" s="238">
        <v>980</v>
      </c>
      <c r="N16" s="238"/>
      <c r="O16" s="238"/>
      <c r="P16" s="682"/>
      <c r="Q16" s="713"/>
    </row>
    <row r="17" spans="1:17" ht="14.4" customHeight="1" x14ac:dyDescent="0.3">
      <c r="A17" s="680" t="s">
        <v>3389</v>
      </c>
      <c r="B17" s="671" t="s">
        <v>3338</v>
      </c>
      <c r="C17" s="671" t="s">
        <v>3303</v>
      </c>
      <c r="D17" s="671" t="s">
        <v>3314</v>
      </c>
      <c r="E17" s="671" t="s">
        <v>3315</v>
      </c>
      <c r="F17" s="238">
        <v>1</v>
      </c>
      <c r="G17" s="238">
        <v>978</v>
      </c>
      <c r="H17" s="238">
        <v>1</v>
      </c>
      <c r="I17" s="238">
        <v>978</v>
      </c>
      <c r="J17" s="238"/>
      <c r="K17" s="238"/>
      <c r="L17" s="238"/>
      <c r="M17" s="238"/>
      <c r="N17" s="238"/>
      <c r="O17" s="238"/>
      <c r="P17" s="682"/>
      <c r="Q17" s="713"/>
    </row>
    <row r="18" spans="1:17" ht="14.4" customHeight="1" x14ac:dyDescent="0.3">
      <c r="A18" s="680" t="s">
        <v>3390</v>
      </c>
      <c r="B18" s="671" t="s">
        <v>3302</v>
      </c>
      <c r="C18" s="671" t="s">
        <v>3303</v>
      </c>
      <c r="D18" s="671" t="s">
        <v>3314</v>
      </c>
      <c r="E18" s="671" t="s">
        <v>3315</v>
      </c>
      <c r="F18" s="238"/>
      <c r="G18" s="238"/>
      <c r="H18" s="238"/>
      <c r="I18" s="238"/>
      <c r="J18" s="238">
        <v>2</v>
      </c>
      <c r="K18" s="238">
        <v>1960</v>
      </c>
      <c r="L18" s="238"/>
      <c r="M18" s="238">
        <v>980</v>
      </c>
      <c r="N18" s="238">
        <v>3</v>
      </c>
      <c r="O18" s="238">
        <v>2940</v>
      </c>
      <c r="P18" s="682"/>
      <c r="Q18" s="713">
        <v>980</v>
      </c>
    </row>
    <row r="19" spans="1:17" ht="14.4" customHeight="1" x14ac:dyDescent="0.3">
      <c r="A19" s="680" t="s">
        <v>3390</v>
      </c>
      <c r="B19" s="671" t="s">
        <v>3302</v>
      </c>
      <c r="C19" s="671" t="s">
        <v>3303</v>
      </c>
      <c r="D19" s="671" t="s">
        <v>3324</v>
      </c>
      <c r="E19" s="671" t="s">
        <v>3325</v>
      </c>
      <c r="F19" s="238"/>
      <c r="G19" s="238"/>
      <c r="H19" s="238"/>
      <c r="I19" s="238"/>
      <c r="J19" s="238"/>
      <c r="K19" s="238"/>
      <c r="L19" s="238"/>
      <c r="M19" s="238"/>
      <c r="N19" s="238">
        <v>1</v>
      </c>
      <c r="O19" s="238">
        <v>1906</v>
      </c>
      <c r="P19" s="682"/>
      <c r="Q19" s="713">
        <v>1906</v>
      </c>
    </row>
    <row r="20" spans="1:17" ht="14.4" customHeight="1" x14ac:dyDescent="0.3">
      <c r="A20" s="680" t="s">
        <v>3390</v>
      </c>
      <c r="B20" s="671" t="s">
        <v>3338</v>
      </c>
      <c r="C20" s="671" t="s">
        <v>3303</v>
      </c>
      <c r="D20" s="671" t="s">
        <v>3314</v>
      </c>
      <c r="E20" s="671" t="s">
        <v>3315</v>
      </c>
      <c r="F20" s="238">
        <v>2</v>
      </c>
      <c r="G20" s="238">
        <v>1956</v>
      </c>
      <c r="H20" s="238">
        <v>1</v>
      </c>
      <c r="I20" s="238">
        <v>978</v>
      </c>
      <c r="J20" s="238">
        <v>1</v>
      </c>
      <c r="K20" s="238">
        <v>980</v>
      </c>
      <c r="L20" s="238">
        <v>0.50102249488752559</v>
      </c>
      <c r="M20" s="238">
        <v>980</v>
      </c>
      <c r="N20" s="238">
        <v>1</v>
      </c>
      <c r="O20" s="238">
        <v>980</v>
      </c>
      <c r="P20" s="682">
        <v>0.50102249488752559</v>
      </c>
      <c r="Q20" s="713">
        <v>980</v>
      </c>
    </row>
    <row r="21" spans="1:17" ht="14.4" customHeight="1" x14ac:dyDescent="0.3">
      <c r="A21" s="680" t="s">
        <v>3390</v>
      </c>
      <c r="B21" s="671" t="s">
        <v>3338</v>
      </c>
      <c r="C21" s="671" t="s">
        <v>3303</v>
      </c>
      <c r="D21" s="671" t="s">
        <v>3383</v>
      </c>
      <c r="E21" s="671" t="s">
        <v>3384</v>
      </c>
      <c r="F21" s="238"/>
      <c r="G21" s="238"/>
      <c r="H21" s="238"/>
      <c r="I21" s="238"/>
      <c r="J21" s="238">
        <v>1</v>
      </c>
      <c r="K21" s="238">
        <v>232</v>
      </c>
      <c r="L21" s="238"/>
      <c r="M21" s="238">
        <v>232</v>
      </c>
      <c r="N21" s="238"/>
      <c r="O21" s="238"/>
      <c r="P21" s="682"/>
      <c r="Q21" s="713"/>
    </row>
    <row r="22" spans="1:17" ht="14.4" customHeight="1" x14ac:dyDescent="0.3">
      <c r="A22" s="680" t="s">
        <v>3390</v>
      </c>
      <c r="B22" s="671" t="s">
        <v>3338</v>
      </c>
      <c r="C22" s="671" t="s">
        <v>3303</v>
      </c>
      <c r="D22" s="671" t="s">
        <v>3391</v>
      </c>
      <c r="E22" s="671" t="s">
        <v>3392</v>
      </c>
      <c r="F22" s="238"/>
      <c r="G22" s="238"/>
      <c r="H22" s="238"/>
      <c r="I22" s="238"/>
      <c r="J22" s="238"/>
      <c r="K22" s="238"/>
      <c r="L22" s="238"/>
      <c r="M22" s="238"/>
      <c r="N22" s="238">
        <v>1</v>
      </c>
      <c r="O22" s="238">
        <v>232</v>
      </c>
      <c r="P22" s="682"/>
      <c r="Q22" s="713">
        <v>232</v>
      </c>
    </row>
    <row r="23" spans="1:17" ht="14.4" customHeight="1" x14ac:dyDescent="0.3">
      <c r="A23" s="680" t="s">
        <v>3393</v>
      </c>
      <c r="B23" s="671" t="s">
        <v>3302</v>
      </c>
      <c r="C23" s="671" t="s">
        <v>3303</v>
      </c>
      <c r="D23" s="671" t="s">
        <v>3320</v>
      </c>
      <c r="E23" s="671" t="s">
        <v>3321</v>
      </c>
      <c r="F23" s="238"/>
      <c r="G23" s="238"/>
      <c r="H23" s="238"/>
      <c r="I23" s="238"/>
      <c r="J23" s="238"/>
      <c r="K23" s="238"/>
      <c r="L23" s="238"/>
      <c r="M23" s="238"/>
      <c r="N23" s="238">
        <v>1</v>
      </c>
      <c r="O23" s="238">
        <v>0</v>
      </c>
      <c r="P23" s="682"/>
      <c r="Q23" s="713">
        <v>0</v>
      </c>
    </row>
    <row r="24" spans="1:17" ht="14.4" customHeight="1" x14ac:dyDescent="0.3">
      <c r="A24" s="680" t="s">
        <v>3393</v>
      </c>
      <c r="B24" s="671" t="s">
        <v>3302</v>
      </c>
      <c r="C24" s="671" t="s">
        <v>3303</v>
      </c>
      <c r="D24" s="671" t="s">
        <v>3326</v>
      </c>
      <c r="E24" s="671" t="s">
        <v>3327</v>
      </c>
      <c r="F24" s="238"/>
      <c r="G24" s="238"/>
      <c r="H24" s="238"/>
      <c r="I24" s="238"/>
      <c r="J24" s="238"/>
      <c r="K24" s="238"/>
      <c r="L24" s="238"/>
      <c r="M24" s="238"/>
      <c r="N24" s="238">
        <v>1</v>
      </c>
      <c r="O24" s="238">
        <v>327</v>
      </c>
      <c r="P24" s="682"/>
      <c r="Q24" s="713">
        <v>327</v>
      </c>
    </row>
    <row r="25" spans="1:17" ht="14.4" customHeight="1" x14ac:dyDescent="0.3">
      <c r="A25" s="680" t="s">
        <v>3393</v>
      </c>
      <c r="B25" s="671" t="s">
        <v>3338</v>
      </c>
      <c r="C25" s="671" t="s">
        <v>3303</v>
      </c>
      <c r="D25" s="671" t="s">
        <v>3314</v>
      </c>
      <c r="E25" s="671" t="s">
        <v>3315</v>
      </c>
      <c r="F25" s="238"/>
      <c r="G25" s="238"/>
      <c r="H25" s="238"/>
      <c r="I25" s="238"/>
      <c r="J25" s="238">
        <v>2</v>
      </c>
      <c r="K25" s="238">
        <v>1960</v>
      </c>
      <c r="L25" s="238"/>
      <c r="M25" s="238">
        <v>980</v>
      </c>
      <c r="N25" s="238"/>
      <c r="O25" s="238"/>
      <c r="P25" s="682"/>
      <c r="Q25" s="713"/>
    </row>
    <row r="26" spans="1:17" ht="14.4" customHeight="1" x14ac:dyDescent="0.3">
      <c r="A26" s="680" t="s">
        <v>3394</v>
      </c>
      <c r="B26" s="671" t="s">
        <v>3338</v>
      </c>
      <c r="C26" s="671" t="s">
        <v>3303</v>
      </c>
      <c r="D26" s="671" t="s">
        <v>3304</v>
      </c>
      <c r="E26" s="671" t="s">
        <v>3305</v>
      </c>
      <c r="F26" s="238"/>
      <c r="G26" s="238"/>
      <c r="H26" s="238"/>
      <c r="I26" s="238"/>
      <c r="J26" s="238">
        <v>1</v>
      </c>
      <c r="K26" s="238">
        <v>34</v>
      </c>
      <c r="L26" s="238"/>
      <c r="M26" s="238">
        <v>34</v>
      </c>
      <c r="N26" s="238"/>
      <c r="O26" s="238"/>
      <c r="P26" s="682"/>
      <c r="Q26" s="713"/>
    </row>
    <row r="27" spans="1:17" ht="14.4" customHeight="1" x14ac:dyDescent="0.3">
      <c r="A27" s="680" t="s">
        <v>3395</v>
      </c>
      <c r="B27" s="671" t="s">
        <v>3338</v>
      </c>
      <c r="C27" s="671" t="s">
        <v>3303</v>
      </c>
      <c r="D27" s="671" t="s">
        <v>3314</v>
      </c>
      <c r="E27" s="671" t="s">
        <v>3315</v>
      </c>
      <c r="F27" s="238"/>
      <c r="G27" s="238"/>
      <c r="H27" s="238"/>
      <c r="I27" s="238"/>
      <c r="J27" s="238">
        <v>1</v>
      </c>
      <c r="K27" s="238">
        <v>980</v>
      </c>
      <c r="L27" s="238"/>
      <c r="M27" s="238">
        <v>980</v>
      </c>
      <c r="N27" s="238"/>
      <c r="O27" s="238"/>
      <c r="P27" s="682"/>
      <c r="Q27" s="713"/>
    </row>
    <row r="28" spans="1:17" ht="14.4" customHeight="1" x14ac:dyDescent="0.3">
      <c r="A28" s="680" t="s">
        <v>3396</v>
      </c>
      <c r="B28" s="671" t="s">
        <v>3338</v>
      </c>
      <c r="C28" s="671" t="s">
        <v>3303</v>
      </c>
      <c r="D28" s="671" t="s">
        <v>3314</v>
      </c>
      <c r="E28" s="671" t="s">
        <v>3315</v>
      </c>
      <c r="F28" s="238">
        <v>1</v>
      </c>
      <c r="G28" s="238">
        <v>978</v>
      </c>
      <c r="H28" s="238">
        <v>1</v>
      </c>
      <c r="I28" s="238">
        <v>978</v>
      </c>
      <c r="J28" s="238"/>
      <c r="K28" s="238"/>
      <c r="L28" s="238"/>
      <c r="M28" s="238"/>
      <c r="N28" s="238"/>
      <c r="O28" s="238"/>
      <c r="P28" s="682"/>
      <c r="Q28" s="713"/>
    </row>
    <row r="29" spans="1:17" ht="14.4" customHeight="1" x14ac:dyDescent="0.3">
      <c r="A29" s="680" t="s">
        <v>3397</v>
      </c>
      <c r="B29" s="671" t="s">
        <v>3302</v>
      </c>
      <c r="C29" s="671" t="s">
        <v>3303</v>
      </c>
      <c r="D29" s="671" t="s">
        <v>3314</v>
      </c>
      <c r="E29" s="671" t="s">
        <v>3315</v>
      </c>
      <c r="F29" s="238"/>
      <c r="G29" s="238"/>
      <c r="H29" s="238"/>
      <c r="I29" s="238"/>
      <c r="J29" s="238"/>
      <c r="K29" s="238"/>
      <c r="L29" s="238"/>
      <c r="M29" s="238"/>
      <c r="N29" s="238">
        <v>1</v>
      </c>
      <c r="O29" s="238">
        <v>980</v>
      </c>
      <c r="P29" s="682"/>
      <c r="Q29" s="713">
        <v>980</v>
      </c>
    </row>
    <row r="30" spans="1:17" ht="14.4" customHeight="1" x14ac:dyDescent="0.3">
      <c r="A30" s="680" t="s">
        <v>3397</v>
      </c>
      <c r="B30" s="671" t="s">
        <v>3338</v>
      </c>
      <c r="C30" s="671" t="s">
        <v>3303</v>
      </c>
      <c r="D30" s="671" t="s">
        <v>3314</v>
      </c>
      <c r="E30" s="671" t="s">
        <v>3315</v>
      </c>
      <c r="F30" s="238">
        <v>1</v>
      </c>
      <c r="G30" s="238">
        <v>978</v>
      </c>
      <c r="H30" s="238">
        <v>1</v>
      </c>
      <c r="I30" s="238">
        <v>978</v>
      </c>
      <c r="J30" s="238">
        <v>1</v>
      </c>
      <c r="K30" s="238">
        <v>980</v>
      </c>
      <c r="L30" s="238">
        <v>1.0020449897750512</v>
      </c>
      <c r="M30" s="238">
        <v>980</v>
      </c>
      <c r="N30" s="238"/>
      <c r="O30" s="238"/>
      <c r="P30" s="682"/>
      <c r="Q30" s="713"/>
    </row>
    <row r="31" spans="1:17" ht="14.4" customHeight="1" x14ac:dyDescent="0.3">
      <c r="A31" s="680" t="s">
        <v>534</v>
      </c>
      <c r="B31" s="671" t="s">
        <v>3302</v>
      </c>
      <c r="C31" s="671" t="s">
        <v>3303</v>
      </c>
      <c r="D31" s="671" t="s">
        <v>3306</v>
      </c>
      <c r="E31" s="671" t="s">
        <v>3307</v>
      </c>
      <c r="F31" s="238"/>
      <c r="G31" s="238"/>
      <c r="H31" s="238"/>
      <c r="I31" s="238"/>
      <c r="J31" s="238">
        <v>1</v>
      </c>
      <c r="K31" s="238">
        <v>645</v>
      </c>
      <c r="L31" s="238"/>
      <c r="M31" s="238">
        <v>645</v>
      </c>
      <c r="N31" s="238"/>
      <c r="O31" s="238"/>
      <c r="P31" s="682"/>
      <c r="Q31" s="713"/>
    </row>
    <row r="32" spans="1:17" ht="14.4" customHeight="1" x14ac:dyDescent="0.3">
      <c r="A32" s="680" t="s">
        <v>534</v>
      </c>
      <c r="B32" s="671" t="s">
        <v>3302</v>
      </c>
      <c r="C32" s="671" t="s">
        <v>3303</v>
      </c>
      <c r="D32" s="671" t="s">
        <v>3312</v>
      </c>
      <c r="E32" s="671" t="s">
        <v>3313</v>
      </c>
      <c r="F32" s="238"/>
      <c r="G32" s="238"/>
      <c r="H32" s="238"/>
      <c r="I32" s="238"/>
      <c r="J32" s="238">
        <v>7</v>
      </c>
      <c r="K32" s="238">
        <v>2877</v>
      </c>
      <c r="L32" s="238"/>
      <c r="M32" s="238">
        <v>411</v>
      </c>
      <c r="N32" s="238">
        <v>9</v>
      </c>
      <c r="O32" s="238">
        <v>3699</v>
      </c>
      <c r="P32" s="682"/>
      <c r="Q32" s="713">
        <v>411</v>
      </c>
    </row>
    <row r="33" spans="1:17" ht="14.4" customHeight="1" x14ac:dyDescent="0.3">
      <c r="A33" s="680" t="s">
        <v>534</v>
      </c>
      <c r="B33" s="671" t="s">
        <v>3302</v>
      </c>
      <c r="C33" s="671" t="s">
        <v>3303</v>
      </c>
      <c r="D33" s="671" t="s">
        <v>3314</v>
      </c>
      <c r="E33" s="671" t="s">
        <v>3315</v>
      </c>
      <c r="F33" s="238"/>
      <c r="G33" s="238"/>
      <c r="H33" s="238"/>
      <c r="I33" s="238"/>
      <c r="J33" s="238">
        <v>81</v>
      </c>
      <c r="K33" s="238">
        <v>79380</v>
      </c>
      <c r="L33" s="238"/>
      <c r="M33" s="238">
        <v>980</v>
      </c>
      <c r="N33" s="238">
        <v>147</v>
      </c>
      <c r="O33" s="238">
        <v>144060</v>
      </c>
      <c r="P33" s="682"/>
      <c r="Q33" s="713">
        <v>980</v>
      </c>
    </row>
    <row r="34" spans="1:17" ht="14.4" customHeight="1" x14ac:dyDescent="0.3">
      <c r="A34" s="680" t="s">
        <v>534</v>
      </c>
      <c r="B34" s="671" t="s">
        <v>3302</v>
      </c>
      <c r="C34" s="671" t="s">
        <v>3303</v>
      </c>
      <c r="D34" s="671" t="s">
        <v>3316</v>
      </c>
      <c r="E34" s="671" t="s">
        <v>3317</v>
      </c>
      <c r="F34" s="238"/>
      <c r="G34" s="238"/>
      <c r="H34" s="238"/>
      <c r="I34" s="238"/>
      <c r="J34" s="238"/>
      <c r="K34" s="238"/>
      <c r="L34" s="238"/>
      <c r="M34" s="238"/>
      <c r="N34" s="238">
        <v>1</v>
      </c>
      <c r="O34" s="238">
        <v>2077</v>
      </c>
      <c r="P34" s="682"/>
      <c r="Q34" s="713">
        <v>2077</v>
      </c>
    </row>
    <row r="35" spans="1:17" ht="14.4" customHeight="1" x14ac:dyDescent="0.3">
      <c r="A35" s="680" t="s">
        <v>534</v>
      </c>
      <c r="B35" s="671" t="s">
        <v>3302</v>
      </c>
      <c r="C35" s="671" t="s">
        <v>3303</v>
      </c>
      <c r="D35" s="671" t="s">
        <v>3398</v>
      </c>
      <c r="E35" s="671" t="s">
        <v>3399</v>
      </c>
      <c r="F35" s="238"/>
      <c r="G35" s="238"/>
      <c r="H35" s="238"/>
      <c r="I35" s="238"/>
      <c r="J35" s="238">
        <v>5</v>
      </c>
      <c r="K35" s="238">
        <v>1510</v>
      </c>
      <c r="L35" s="238"/>
      <c r="M35" s="238">
        <v>302</v>
      </c>
      <c r="N35" s="238">
        <v>3</v>
      </c>
      <c r="O35" s="238">
        <v>906</v>
      </c>
      <c r="P35" s="682"/>
      <c r="Q35" s="713">
        <v>302</v>
      </c>
    </row>
    <row r="36" spans="1:17" ht="14.4" customHeight="1" x14ac:dyDescent="0.3">
      <c r="A36" s="680" t="s">
        <v>534</v>
      </c>
      <c r="B36" s="671" t="s">
        <v>3302</v>
      </c>
      <c r="C36" s="671" t="s">
        <v>3303</v>
      </c>
      <c r="D36" s="671" t="s">
        <v>3324</v>
      </c>
      <c r="E36" s="671" t="s">
        <v>3325</v>
      </c>
      <c r="F36" s="238"/>
      <c r="G36" s="238"/>
      <c r="H36" s="238"/>
      <c r="I36" s="238"/>
      <c r="J36" s="238">
        <v>9</v>
      </c>
      <c r="K36" s="238">
        <v>17154</v>
      </c>
      <c r="L36" s="238"/>
      <c r="M36" s="238">
        <v>1906</v>
      </c>
      <c r="N36" s="238">
        <v>16</v>
      </c>
      <c r="O36" s="238">
        <v>30496</v>
      </c>
      <c r="P36" s="682"/>
      <c r="Q36" s="713">
        <v>1906</v>
      </c>
    </row>
    <row r="37" spans="1:17" ht="14.4" customHeight="1" x14ac:dyDescent="0.3">
      <c r="A37" s="680" t="s">
        <v>534</v>
      </c>
      <c r="B37" s="671" t="s">
        <v>3302</v>
      </c>
      <c r="C37" s="671" t="s">
        <v>3303</v>
      </c>
      <c r="D37" s="671" t="s">
        <v>3400</v>
      </c>
      <c r="E37" s="671" t="s">
        <v>3401</v>
      </c>
      <c r="F37" s="238"/>
      <c r="G37" s="238"/>
      <c r="H37" s="238"/>
      <c r="I37" s="238"/>
      <c r="J37" s="238">
        <v>7</v>
      </c>
      <c r="K37" s="238">
        <v>62118</v>
      </c>
      <c r="L37" s="238"/>
      <c r="M37" s="238">
        <v>8874</v>
      </c>
      <c r="N37" s="238">
        <v>8</v>
      </c>
      <c r="O37" s="238">
        <v>70992</v>
      </c>
      <c r="P37" s="682"/>
      <c r="Q37" s="713">
        <v>8874</v>
      </c>
    </row>
    <row r="38" spans="1:17" ht="14.4" customHeight="1" x14ac:dyDescent="0.3">
      <c r="A38" s="680" t="s">
        <v>534</v>
      </c>
      <c r="B38" s="671" t="s">
        <v>3302</v>
      </c>
      <c r="C38" s="671" t="s">
        <v>3303</v>
      </c>
      <c r="D38" s="671" t="s">
        <v>3326</v>
      </c>
      <c r="E38" s="671" t="s">
        <v>3327</v>
      </c>
      <c r="F38" s="238"/>
      <c r="G38" s="238"/>
      <c r="H38" s="238"/>
      <c r="I38" s="238"/>
      <c r="J38" s="238">
        <v>1</v>
      </c>
      <c r="K38" s="238">
        <v>327</v>
      </c>
      <c r="L38" s="238"/>
      <c r="M38" s="238">
        <v>327</v>
      </c>
      <c r="N38" s="238"/>
      <c r="O38" s="238"/>
      <c r="P38" s="682"/>
      <c r="Q38" s="713"/>
    </row>
    <row r="39" spans="1:17" ht="14.4" customHeight="1" x14ac:dyDescent="0.3">
      <c r="A39" s="680" t="s">
        <v>534</v>
      </c>
      <c r="B39" s="671" t="s">
        <v>3302</v>
      </c>
      <c r="C39" s="671" t="s">
        <v>3303</v>
      </c>
      <c r="D39" s="671" t="s">
        <v>3402</v>
      </c>
      <c r="E39" s="671" t="s">
        <v>3403</v>
      </c>
      <c r="F39" s="238"/>
      <c r="G39" s="238"/>
      <c r="H39" s="238"/>
      <c r="I39" s="238"/>
      <c r="J39" s="238">
        <v>201</v>
      </c>
      <c r="K39" s="238">
        <v>145725</v>
      </c>
      <c r="L39" s="238"/>
      <c r="M39" s="238">
        <v>725</v>
      </c>
      <c r="N39" s="238">
        <v>286</v>
      </c>
      <c r="O39" s="238">
        <v>207350</v>
      </c>
      <c r="P39" s="682"/>
      <c r="Q39" s="713">
        <v>725</v>
      </c>
    </row>
    <row r="40" spans="1:17" ht="14.4" customHeight="1" x14ac:dyDescent="0.3">
      <c r="A40" s="680" t="s">
        <v>534</v>
      </c>
      <c r="B40" s="671" t="s">
        <v>3302</v>
      </c>
      <c r="C40" s="671" t="s">
        <v>3303</v>
      </c>
      <c r="D40" s="671" t="s">
        <v>3404</v>
      </c>
      <c r="E40" s="671" t="s">
        <v>3405</v>
      </c>
      <c r="F40" s="238"/>
      <c r="G40" s="238"/>
      <c r="H40" s="238"/>
      <c r="I40" s="238"/>
      <c r="J40" s="238"/>
      <c r="K40" s="238"/>
      <c r="L40" s="238"/>
      <c r="M40" s="238"/>
      <c r="N40" s="238">
        <v>2</v>
      </c>
      <c r="O40" s="238">
        <v>7258</v>
      </c>
      <c r="P40" s="682"/>
      <c r="Q40" s="713">
        <v>3629</v>
      </c>
    </row>
    <row r="41" spans="1:17" ht="14.4" customHeight="1" x14ac:dyDescent="0.3">
      <c r="A41" s="680" t="s">
        <v>534</v>
      </c>
      <c r="B41" s="671" t="s">
        <v>3302</v>
      </c>
      <c r="C41" s="671" t="s">
        <v>3303</v>
      </c>
      <c r="D41" s="671" t="s">
        <v>3406</v>
      </c>
      <c r="E41" s="671" t="s">
        <v>3407</v>
      </c>
      <c r="F41" s="238"/>
      <c r="G41" s="238"/>
      <c r="H41" s="238"/>
      <c r="I41" s="238"/>
      <c r="J41" s="238"/>
      <c r="K41" s="238"/>
      <c r="L41" s="238"/>
      <c r="M41" s="238"/>
      <c r="N41" s="238">
        <v>1</v>
      </c>
      <c r="O41" s="238">
        <v>1211</v>
      </c>
      <c r="P41" s="682"/>
      <c r="Q41" s="713">
        <v>1211</v>
      </c>
    </row>
    <row r="42" spans="1:17" ht="14.4" customHeight="1" x14ac:dyDescent="0.3">
      <c r="A42" s="680" t="s">
        <v>534</v>
      </c>
      <c r="B42" s="671" t="s">
        <v>3302</v>
      </c>
      <c r="C42" s="671" t="s">
        <v>3303</v>
      </c>
      <c r="D42" s="671" t="s">
        <v>3408</v>
      </c>
      <c r="E42" s="671" t="s">
        <v>3409</v>
      </c>
      <c r="F42" s="238">
        <v>1</v>
      </c>
      <c r="G42" s="238">
        <v>5065</v>
      </c>
      <c r="H42" s="238">
        <v>1</v>
      </c>
      <c r="I42" s="238">
        <v>5065</v>
      </c>
      <c r="J42" s="238"/>
      <c r="K42" s="238"/>
      <c r="L42" s="238"/>
      <c r="M42" s="238"/>
      <c r="N42" s="238"/>
      <c r="O42" s="238"/>
      <c r="P42" s="682"/>
      <c r="Q42" s="713"/>
    </row>
    <row r="43" spans="1:17" ht="14.4" customHeight="1" x14ac:dyDescent="0.3">
      <c r="A43" s="680" t="s">
        <v>534</v>
      </c>
      <c r="B43" s="671" t="s">
        <v>3338</v>
      </c>
      <c r="C43" s="671" t="s">
        <v>3303</v>
      </c>
      <c r="D43" s="671" t="s">
        <v>3312</v>
      </c>
      <c r="E43" s="671" t="s">
        <v>3313</v>
      </c>
      <c r="F43" s="238">
        <v>10</v>
      </c>
      <c r="G43" s="238">
        <v>4100</v>
      </c>
      <c r="H43" s="238">
        <v>1</v>
      </c>
      <c r="I43" s="238">
        <v>410</v>
      </c>
      <c r="J43" s="238">
        <v>3</v>
      </c>
      <c r="K43" s="238">
        <v>1233</v>
      </c>
      <c r="L43" s="238">
        <v>0.30073170731707316</v>
      </c>
      <c r="M43" s="238">
        <v>411</v>
      </c>
      <c r="N43" s="238">
        <v>1</v>
      </c>
      <c r="O43" s="238">
        <v>411</v>
      </c>
      <c r="P43" s="682">
        <v>0.1002439024390244</v>
      </c>
      <c r="Q43" s="713">
        <v>411</v>
      </c>
    </row>
    <row r="44" spans="1:17" ht="14.4" customHeight="1" x14ac:dyDescent="0.3">
      <c r="A44" s="680" t="s">
        <v>534</v>
      </c>
      <c r="B44" s="671" t="s">
        <v>3338</v>
      </c>
      <c r="C44" s="671" t="s">
        <v>3303</v>
      </c>
      <c r="D44" s="671" t="s">
        <v>3314</v>
      </c>
      <c r="E44" s="671" t="s">
        <v>3315</v>
      </c>
      <c r="F44" s="238">
        <v>118</v>
      </c>
      <c r="G44" s="238">
        <v>115404</v>
      </c>
      <c r="H44" s="238">
        <v>1</v>
      </c>
      <c r="I44" s="238">
        <v>978</v>
      </c>
      <c r="J44" s="238">
        <v>55</v>
      </c>
      <c r="K44" s="238">
        <v>53900</v>
      </c>
      <c r="L44" s="238">
        <v>0.46705486811548991</v>
      </c>
      <c r="M44" s="238">
        <v>980</v>
      </c>
      <c r="N44" s="238">
        <v>14</v>
      </c>
      <c r="O44" s="238">
        <v>13720</v>
      </c>
      <c r="P44" s="682">
        <v>0.11888669370212471</v>
      </c>
      <c r="Q44" s="713">
        <v>980</v>
      </c>
    </row>
    <row r="45" spans="1:17" ht="14.4" customHeight="1" x14ac:dyDescent="0.3">
      <c r="A45" s="680" t="s">
        <v>534</v>
      </c>
      <c r="B45" s="671" t="s">
        <v>3338</v>
      </c>
      <c r="C45" s="671" t="s">
        <v>3303</v>
      </c>
      <c r="D45" s="671" t="s">
        <v>3316</v>
      </c>
      <c r="E45" s="671" t="s">
        <v>3317</v>
      </c>
      <c r="F45" s="238"/>
      <c r="G45" s="238"/>
      <c r="H45" s="238"/>
      <c r="I45" s="238"/>
      <c r="J45" s="238"/>
      <c r="K45" s="238"/>
      <c r="L45" s="238"/>
      <c r="M45" s="238"/>
      <c r="N45" s="238">
        <v>1</v>
      </c>
      <c r="O45" s="238">
        <v>2077</v>
      </c>
      <c r="P45" s="682"/>
      <c r="Q45" s="713">
        <v>2077</v>
      </c>
    </row>
    <row r="46" spans="1:17" ht="14.4" customHeight="1" x14ac:dyDescent="0.3">
      <c r="A46" s="680" t="s">
        <v>534</v>
      </c>
      <c r="B46" s="671" t="s">
        <v>3338</v>
      </c>
      <c r="C46" s="671" t="s">
        <v>3303</v>
      </c>
      <c r="D46" s="671" t="s">
        <v>3324</v>
      </c>
      <c r="E46" s="671" t="s">
        <v>3325</v>
      </c>
      <c r="F46" s="238">
        <v>17</v>
      </c>
      <c r="G46" s="238">
        <v>32368</v>
      </c>
      <c r="H46" s="238">
        <v>1</v>
      </c>
      <c r="I46" s="238">
        <v>1904</v>
      </c>
      <c r="J46" s="238">
        <v>2</v>
      </c>
      <c r="K46" s="238">
        <v>3812</v>
      </c>
      <c r="L46" s="238">
        <v>0.11777063766683143</v>
      </c>
      <c r="M46" s="238">
        <v>1906</v>
      </c>
      <c r="N46" s="238">
        <v>1</v>
      </c>
      <c r="O46" s="238">
        <v>1906</v>
      </c>
      <c r="P46" s="682">
        <v>5.8885318833415717E-2</v>
      </c>
      <c r="Q46" s="713">
        <v>1906</v>
      </c>
    </row>
    <row r="47" spans="1:17" ht="14.4" customHeight="1" x14ac:dyDescent="0.3">
      <c r="A47" s="680" t="s">
        <v>534</v>
      </c>
      <c r="B47" s="671" t="s">
        <v>3410</v>
      </c>
      <c r="C47" s="671" t="s">
        <v>3303</v>
      </c>
      <c r="D47" s="671" t="s">
        <v>3411</v>
      </c>
      <c r="E47" s="671" t="s">
        <v>3412</v>
      </c>
      <c r="F47" s="238"/>
      <c r="G47" s="238"/>
      <c r="H47" s="238"/>
      <c r="I47" s="238"/>
      <c r="J47" s="238">
        <v>1</v>
      </c>
      <c r="K47" s="238">
        <v>2961</v>
      </c>
      <c r="L47" s="238"/>
      <c r="M47" s="238">
        <v>2961</v>
      </c>
      <c r="N47" s="238"/>
      <c r="O47" s="238"/>
      <c r="P47" s="682"/>
      <c r="Q47" s="713"/>
    </row>
    <row r="48" spans="1:17" ht="14.4" customHeight="1" x14ac:dyDescent="0.3">
      <c r="A48" s="680" t="s">
        <v>534</v>
      </c>
      <c r="B48" s="671" t="s">
        <v>3410</v>
      </c>
      <c r="C48" s="671" t="s">
        <v>3303</v>
      </c>
      <c r="D48" s="671" t="s">
        <v>3413</v>
      </c>
      <c r="E48" s="671" t="s">
        <v>3414</v>
      </c>
      <c r="F48" s="238">
        <v>1</v>
      </c>
      <c r="G48" s="238">
        <v>6058</v>
      </c>
      <c r="H48" s="238">
        <v>1</v>
      </c>
      <c r="I48" s="238">
        <v>6058</v>
      </c>
      <c r="J48" s="238"/>
      <c r="K48" s="238"/>
      <c r="L48" s="238"/>
      <c r="M48" s="238"/>
      <c r="N48" s="238"/>
      <c r="O48" s="238"/>
      <c r="P48" s="682"/>
      <c r="Q48" s="713"/>
    </row>
    <row r="49" spans="1:17" ht="14.4" customHeight="1" x14ac:dyDescent="0.3">
      <c r="A49" s="680" t="s">
        <v>534</v>
      </c>
      <c r="B49" s="671" t="s">
        <v>3410</v>
      </c>
      <c r="C49" s="671" t="s">
        <v>3303</v>
      </c>
      <c r="D49" s="671" t="s">
        <v>572</v>
      </c>
      <c r="E49" s="671" t="s">
        <v>3415</v>
      </c>
      <c r="F49" s="238">
        <v>1</v>
      </c>
      <c r="G49" s="238">
        <v>1885</v>
      </c>
      <c r="H49" s="238">
        <v>1</v>
      </c>
      <c r="I49" s="238">
        <v>1885</v>
      </c>
      <c r="J49" s="238"/>
      <c r="K49" s="238"/>
      <c r="L49" s="238"/>
      <c r="M49" s="238"/>
      <c r="N49" s="238"/>
      <c r="O49" s="238"/>
      <c r="P49" s="682"/>
      <c r="Q49" s="713"/>
    </row>
    <row r="50" spans="1:17" ht="14.4" customHeight="1" x14ac:dyDescent="0.3">
      <c r="A50" s="680" t="s">
        <v>534</v>
      </c>
      <c r="B50" s="671" t="s">
        <v>3416</v>
      </c>
      <c r="C50" s="671" t="s">
        <v>3417</v>
      </c>
      <c r="D50" s="671" t="s">
        <v>3418</v>
      </c>
      <c r="E50" s="671" t="s">
        <v>3419</v>
      </c>
      <c r="F50" s="238"/>
      <c r="G50" s="238"/>
      <c r="H50" s="238"/>
      <c r="I50" s="238"/>
      <c r="J50" s="238">
        <v>2.6</v>
      </c>
      <c r="K50" s="238">
        <v>31562.31</v>
      </c>
      <c r="L50" s="238"/>
      <c r="M50" s="238">
        <v>12139.35</v>
      </c>
      <c r="N50" s="238"/>
      <c r="O50" s="238"/>
      <c r="P50" s="682"/>
      <c r="Q50" s="713"/>
    </row>
    <row r="51" spans="1:17" ht="14.4" customHeight="1" x14ac:dyDescent="0.3">
      <c r="A51" s="680" t="s">
        <v>534</v>
      </c>
      <c r="B51" s="671" t="s">
        <v>3416</v>
      </c>
      <c r="C51" s="671" t="s">
        <v>3417</v>
      </c>
      <c r="D51" s="671" t="s">
        <v>3420</v>
      </c>
      <c r="E51" s="671" t="s">
        <v>1863</v>
      </c>
      <c r="F51" s="238">
        <v>44</v>
      </c>
      <c r="G51" s="238">
        <v>6134.92</v>
      </c>
      <c r="H51" s="238">
        <v>1</v>
      </c>
      <c r="I51" s="238">
        <v>139.43</v>
      </c>
      <c r="J51" s="238">
        <v>14</v>
      </c>
      <c r="K51" s="238">
        <v>1934.79</v>
      </c>
      <c r="L51" s="238">
        <v>0.31537330560137705</v>
      </c>
      <c r="M51" s="238">
        <v>138.19928571428571</v>
      </c>
      <c r="N51" s="238"/>
      <c r="O51" s="238"/>
      <c r="P51" s="682"/>
      <c r="Q51" s="713"/>
    </row>
    <row r="52" spans="1:17" ht="14.4" customHeight="1" x14ac:dyDescent="0.3">
      <c r="A52" s="680" t="s">
        <v>534</v>
      </c>
      <c r="B52" s="671" t="s">
        <v>3416</v>
      </c>
      <c r="C52" s="671" t="s">
        <v>3417</v>
      </c>
      <c r="D52" s="671" t="s">
        <v>3421</v>
      </c>
      <c r="E52" s="671" t="s">
        <v>1863</v>
      </c>
      <c r="F52" s="238"/>
      <c r="G52" s="238"/>
      <c r="H52" s="238"/>
      <c r="I52" s="238"/>
      <c r="J52" s="238">
        <v>33</v>
      </c>
      <c r="K52" s="238">
        <v>7487.37</v>
      </c>
      <c r="L52" s="238"/>
      <c r="M52" s="238">
        <v>226.89</v>
      </c>
      <c r="N52" s="238"/>
      <c r="O52" s="238"/>
      <c r="P52" s="682"/>
      <c r="Q52" s="713"/>
    </row>
    <row r="53" spans="1:17" ht="14.4" customHeight="1" x14ac:dyDescent="0.3">
      <c r="A53" s="680" t="s">
        <v>534</v>
      </c>
      <c r="B53" s="671" t="s">
        <v>3416</v>
      </c>
      <c r="C53" s="671" t="s">
        <v>3417</v>
      </c>
      <c r="D53" s="671" t="s">
        <v>3422</v>
      </c>
      <c r="E53" s="671" t="s">
        <v>3423</v>
      </c>
      <c r="F53" s="238"/>
      <c r="G53" s="238"/>
      <c r="H53" s="238"/>
      <c r="I53" s="238"/>
      <c r="J53" s="238">
        <v>5</v>
      </c>
      <c r="K53" s="238">
        <v>5396.56</v>
      </c>
      <c r="L53" s="238"/>
      <c r="M53" s="238">
        <v>1079.3120000000001</v>
      </c>
      <c r="N53" s="238">
        <v>3.4</v>
      </c>
      <c r="O53" s="238">
        <v>3669.67</v>
      </c>
      <c r="P53" s="682"/>
      <c r="Q53" s="713">
        <v>1079.3147058823529</v>
      </c>
    </row>
    <row r="54" spans="1:17" ht="14.4" customHeight="1" x14ac:dyDescent="0.3">
      <c r="A54" s="680" t="s">
        <v>534</v>
      </c>
      <c r="B54" s="671" t="s">
        <v>3416</v>
      </c>
      <c r="C54" s="671" t="s">
        <v>3417</v>
      </c>
      <c r="D54" s="671" t="s">
        <v>3424</v>
      </c>
      <c r="E54" s="671" t="s">
        <v>1245</v>
      </c>
      <c r="F54" s="238">
        <v>168</v>
      </c>
      <c r="G54" s="238">
        <v>16489.66</v>
      </c>
      <c r="H54" s="238">
        <v>1</v>
      </c>
      <c r="I54" s="238">
        <v>98.152738095238092</v>
      </c>
      <c r="J54" s="238">
        <v>100</v>
      </c>
      <c r="K54" s="238">
        <v>6502.34</v>
      </c>
      <c r="L54" s="238">
        <v>0.39432832453792255</v>
      </c>
      <c r="M54" s="238">
        <v>65.023399999999995</v>
      </c>
      <c r="N54" s="238">
        <v>161</v>
      </c>
      <c r="O54" s="238">
        <v>9829.0499999999993</v>
      </c>
      <c r="P54" s="682">
        <v>0.59607353941803531</v>
      </c>
      <c r="Q54" s="713">
        <v>61.05</v>
      </c>
    </row>
    <row r="55" spans="1:17" ht="14.4" customHeight="1" x14ac:dyDescent="0.3">
      <c r="A55" s="680" t="s">
        <v>534</v>
      </c>
      <c r="B55" s="671" t="s">
        <v>3416</v>
      </c>
      <c r="C55" s="671" t="s">
        <v>3417</v>
      </c>
      <c r="D55" s="671" t="s">
        <v>3425</v>
      </c>
      <c r="E55" s="671" t="s">
        <v>3426</v>
      </c>
      <c r="F55" s="238"/>
      <c r="G55" s="238"/>
      <c r="H55" s="238"/>
      <c r="I55" s="238"/>
      <c r="J55" s="238">
        <v>0.2</v>
      </c>
      <c r="K55" s="238">
        <v>87.52</v>
      </c>
      <c r="L55" s="238"/>
      <c r="M55" s="238">
        <v>437.59999999999997</v>
      </c>
      <c r="N55" s="238">
        <v>0.8</v>
      </c>
      <c r="O55" s="238">
        <v>353.16</v>
      </c>
      <c r="P55" s="682"/>
      <c r="Q55" s="713">
        <v>441.45</v>
      </c>
    </row>
    <row r="56" spans="1:17" ht="14.4" customHeight="1" x14ac:dyDescent="0.3">
      <c r="A56" s="680" t="s">
        <v>534</v>
      </c>
      <c r="B56" s="671" t="s">
        <v>3416</v>
      </c>
      <c r="C56" s="671" t="s">
        <v>3417</v>
      </c>
      <c r="D56" s="671" t="s">
        <v>3427</v>
      </c>
      <c r="E56" s="671" t="s">
        <v>1866</v>
      </c>
      <c r="F56" s="238">
        <v>85</v>
      </c>
      <c r="G56" s="238">
        <v>7334.65</v>
      </c>
      <c r="H56" s="238">
        <v>1</v>
      </c>
      <c r="I56" s="238">
        <v>86.289999999999992</v>
      </c>
      <c r="J56" s="238">
        <v>91</v>
      </c>
      <c r="K56" s="238">
        <v>5250.91</v>
      </c>
      <c r="L56" s="238">
        <v>0.71590464439339307</v>
      </c>
      <c r="M56" s="238">
        <v>57.702307692307691</v>
      </c>
      <c r="N56" s="238">
        <v>26</v>
      </c>
      <c r="O56" s="238">
        <v>1049.3599999999999</v>
      </c>
      <c r="P56" s="682">
        <v>0.14306885809138814</v>
      </c>
      <c r="Q56" s="713">
        <v>40.36</v>
      </c>
    </row>
    <row r="57" spans="1:17" ht="14.4" customHeight="1" x14ac:dyDescent="0.3">
      <c r="A57" s="680" t="s">
        <v>534</v>
      </c>
      <c r="B57" s="671" t="s">
        <v>3416</v>
      </c>
      <c r="C57" s="671" t="s">
        <v>3417</v>
      </c>
      <c r="D57" s="671" t="s">
        <v>3428</v>
      </c>
      <c r="E57" s="671" t="s">
        <v>1279</v>
      </c>
      <c r="F57" s="238">
        <v>18.5</v>
      </c>
      <c r="G57" s="238">
        <v>6965.24</v>
      </c>
      <c r="H57" s="238">
        <v>1</v>
      </c>
      <c r="I57" s="238">
        <v>376.49945945945944</v>
      </c>
      <c r="J57" s="238">
        <v>13.4</v>
      </c>
      <c r="K57" s="238">
        <v>5416.2800000000007</v>
      </c>
      <c r="L57" s="238">
        <v>0.77761570312006489</v>
      </c>
      <c r="M57" s="238">
        <v>404.20000000000005</v>
      </c>
      <c r="N57" s="238">
        <v>18</v>
      </c>
      <c r="O57" s="238">
        <v>7275.6000000000013</v>
      </c>
      <c r="P57" s="682">
        <v>1.0445584071762066</v>
      </c>
      <c r="Q57" s="713">
        <v>404.20000000000005</v>
      </c>
    </row>
    <row r="58" spans="1:17" ht="14.4" customHeight="1" x14ac:dyDescent="0.3">
      <c r="A58" s="680" t="s">
        <v>534</v>
      </c>
      <c r="B58" s="671" t="s">
        <v>3416</v>
      </c>
      <c r="C58" s="671" t="s">
        <v>3417</v>
      </c>
      <c r="D58" s="671" t="s">
        <v>3429</v>
      </c>
      <c r="E58" s="671" t="s">
        <v>3430</v>
      </c>
      <c r="F58" s="238"/>
      <c r="G58" s="238"/>
      <c r="H58" s="238"/>
      <c r="I58" s="238"/>
      <c r="J58" s="238"/>
      <c r="K58" s="238"/>
      <c r="L58" s="238"/>
      <c r="M58" s="238"/>
      <c r="N58" s="238">
        <v>32</v>
      </c>
      <c r="O58" s="238">
        <v>1291.52</v>
      </c>
      <c r="P58" s="682"/>
      <c r="Q58" s="713">
        <v>40.36</v>
      </c>
    </row>
    <row r="59" spans="1:17" ht="14.4" customHeight="1" x14ac:dyDescent="0.3">
      <c r="A59" s="680" t="s">
        <v>534</v>
      </c>
      <c r="B59" s="671" t="s">
        <v>3416</v>
      </c>
      <c r="C59" s="671" t="s">
        <v>3417</v>
      </c>
      <c r="D59" s="671" t="s">
        <v>3431</v>
      </c>
      <c r="E59" s="671" t="s">
        <v>1869</v>
      </c>
      <c r="F59" s="238"/>
      <c r="G59" s="238"/>
      <c r="H59" s="238"/>
      <c r="I59" s="238"/>
      <c r="J59" s="238">
        <v>3</v>
      </c>
      <c r="K59" s="238">
        <v>142.5</v>
      </c>
      <c r="L59" s="238"/>
      <c r="M59" s="238">
        <v>47.5</v>
      </c>
      <c r="N59" s="238"/>
      <c r="O59" s="238"/>
      <c r="P59" s="682"/>
      <c r="Q59" s="713"/>
    </row>
    <row r="60" spans="1:17" ht="14.4" customHeight="1" x14ac:dyDescent="0.3">
      <c r="A60" s="680" t="s">
        <v>534</v>
      </c>
      <c r="B60" s="671" t="s">
        <v>3416</v>
      </c>
      <c r="C60" s="671" t="s">
        <v>3417</v>
      </c>
      <c r="D60" s="671" t="s">
        <v>3432</v>
      </c>
      <c r="E60" s="671" t="s">
        <v>3433</v>
      </c>
      <c r="F60" s="238">
        <v>2.2999999999999998</v>
      </c>
      <c r="G60" s="238">
        <v>1750.83</v>
      </c>
      <c r="H60" s="238">
        <v>1</v>
      </c>
      <c r="I60" s="238">
        <v>761.23043478260877</v>
      </c>
      <c r="J60" s="238">
        <v>4.3</v>
      </c>
      <c r="K60" s="238">
        <v>2473.79</v>
      </c>
      <c r="L60" s="238">
        <v>1.4129241559717391</v>
      </c>
      <c r="M60" s="238">
        <v>575.30000000000007</v>
      </c>
      <c r="N60" s="238">
        <v>3.7</v>
      </c>
      <c r="O60" s="238">
        <v>2128.61</v>
      </c>
      <c r="P60" s="682">
        <v>1.2157719481617291</v>
      </c>
      <c r="Q60" s="713">
        <v>575.29999999999995</v>
      </c>
    </row>
    <row r="61" spans="1:17" ht="14.4" customHeight="1" x14ac:dyDescent="0.3">
      <c r="A61" s="680" t="s">
        <v>534</v>
      </c>
      <c r="B61" s="671" t="s">
        <v>3416</v>
      </c>
      <c r="C61" s="671" t="s">
        <v>3417</v>
      </c>
      <c r="D61" s="671" t="s">
        <v>3434</v>
      </c>
      <c r="E61" s="671" t="s">
        <v>3435</v>
      </c>
      <c r="F61" s="238">
        <v>8.4</v>
      </c>
      <c r="G61" s="238">
        <v>1311.5500000000002</v>
      </c>
      <c r="H61" s="238">
        <v>1</v>
      </c>
      <c r="I61" s="238">
        <v>156.13690476190479</v>
      </c>
      <c r="J61" s="238"/>
      <c r="K61" s="238"/>
      <c r="L61" s="238"/>
      <c r="M61" s="238"/>
      <c r="N61" s="238"/>
      <c r="O61" s="238"/>
      <c r="P61" s="682"/>
      <c r="Q61" s="713"/>
    </row>
    <row r="62" spans="1:17" ht="14.4" customHeight="1" x14ac:dyDescent="0.3">
      <c r="A62" s="680" t="s">
        <v>534</v>
      </c>
      <c r="B62" s="671" t="s">
        <v>3416</v>
      </c>
      <c r="C62" s="671" t="s">
        <v>3417</v>
      </c>
      <c r="D62" s="671" t="s">
        <v>3436</v>
      </c>
      <c r="E62" s="671" t="s">
        <v>1855</v>
      </c>
      <c r="F62" s="238">
        <v>1.8</v>
      </c>
      <c r="G62" s="238">
        <v>1044.55</v>
      </c>
      <c r="H62" s="238">
        <v>1</v>
      </c>
      <c r="I62" s="238">
        <v>580.30555555555554</v>
      </c>
      <c r="J62" s="238">
        <v>10.5</v>
      </c>
      <c r="K62" s="238">
        <v>3967.25</v>
      </c>
      <c r="L62" s="238">
        <v>3.7980470058877032</v>
      </c>
      <c r="M62" s="238">
        <v>377.83333333333331</v>
      </c>
      <c r="N62" s="238">
        <v>4.8</v>
      </c>
      <c r="O62" s="238">
        <v>1822.8</v>
      </c>
      <c r="P62" s="682">
        <v>1.7450576803408167</v>
      </c>
      <c r="Q62" s="713">
        <v>379.75</v>
      </c>
    </row>
    <row r="63" spans="1:17" ht="14.4" customHeight="1" x14ac:dyDescent="0.3">
      <c r="A63" s="680" t="s">
        <v>534</v>
      </c>
      <c r="B63" s="671" t="s">
        <v>3416</v>
      </c>
      <c r="C63" s="671" t="s">
        <v>3417</v>
      </c>
      <c r="D63" s="671" t="s">
        <v>3437</v>
      </c>
      <c r="E63" s="671" t="s">
        <v>3438</v>
      </c>
      <c r="F63" s="238">
        <v>1</v>
      </c>
      <c r="G63" s="238">
        <v>5769.18</v>
      </c>
      <c r="H63" s="238">
        <v>1</v>
      </c>
      <c r="I63" s="238">
        <v>5769.18</v>
      </c>
      <c r="J63" s="238"/>
      <c r="K63" s="238"/>
      <c r="L63" s="238"/>
      <c r="M63" s="238"/>
      <c r="N63" s="238"/>
      <c r="O63" s="238"/>
      <c r="P63" s="682"/>
      <c r="Q63" s="713"/>
    </row>
    <row r="64" spans="1:17" ht="14.4" customHeight="1" x14ac:dyDescent="0.3">
      <c r="A64" s="680" t="s">
        <v>534</v>
      </c>
      <c r="B64" s="671" t="s">
        <v>3416</v>
      </c>
      <c r="C64" s="671" t="s">
        <v>3417</v>
      </c>
      <c r="D64" s="671" t="s">
        <v>3439</v>
      </c>
      <c r="E64" s="671" t="s">
        <v>1898</v>
      </c>
      <c r="F64" s="238"/>
      <c r="G64" s="238"/>
      <c r="H64" s="238"/>
      <c r="I64" s="238"/>
      <c r="J64" s="238">
        <v>1</v>
      </c>
      <c r="K64" s="238">
        <v>40.950000000000003</v>
      </c>
      <c r="L64" s="238"/>
      <c r="M64" s="238">
        <v>40.950000000000003</v>
      </c>
      <c r="N64" s="238"/>
      <c r="O64" s="238"/>
      <c r="P64" s="682"/>
      <c r="Q64" s="713"/>
    </row>
    <row r="65" spans="1:17" ht="14.4" customHeight="1" x14ac:dyDescent="0.3">
      <c r="A65" s="680" t="s">
        <v>534</v>
      </c>
      <c r="B65" s="671" t="s">
        <v>3416</v>
      </c>
      <c r="C65" s="671" t="s">
        <v>3417</v>
      </c>
      <c r="D65" s="671" t="s">
        <v>3440</v>
      </c>
      <c r="E65" s="671" t="s">
        <v>3441</v>
      </c>
      <c r="F65" s="238">
        <v>0.1</v>
      </c>
      <c r="G65" s="238">
        <v>193.91</v>
      </c>
      <c r="H65" s="238">
        <v>1</v>
      </c>
      <c r="I65" s="238">
        <v>1939.1</v>
      </c>
      <c r="J65" s="238"/>
      <c r="K65" s="238"/>
      <c r="L65" s="238"/>
      <c r="M65" s="238"/>
      <c r="N65" s="238"/>
      <c r="O65" s="238"/>
      <c r="P65" s="682"/>
      <c r="Q65" s="713"/>
    </row>
    <row r="66" spans="1:17" ht="14.4" customHeight="1" x14ac:dyDescent="0.3">
      <c r="A66" s="680" t="s">
        <v>534</v>
      </c>
      <c r="B66" s="671" t="s">
        <v>3416</v>
      </c>
      <c r="C66" s="671" t="s">
        <v>3417</v>
      </c>
      <c r="D66" s="671" t="s">
        <v>3442</v>
      </c>
      <c r="E66" s="671" t="s">
        <v>3443</v>
      </c>
      <c r="F66" s="238">
        <v>1.4</v>
      </c>
      <c r="G66" s="238">
        <v>4327.54</v>
      </c>
      <c r="H66" s="238">
        <v>1</v>
      </c>
      <c r="I66" s="238">
        <v>3091.1000000000004</v>
      </c>
      <c r="J66" s="238"/>
      <c r="K66" s="238"/>
      <c r="L66" s="238"/>
      <c r="M66" s="238"/>
      <c r="N66" s="238"/>
      <c r="O66" s="238"/>
      <c r="P66" s="682"/>
      <c r="Q66" s="713"/>
    </row>
    <row r="67" spans="1:17" ht="14.4" customHeight="1" x14ac:dyDescent="0.3">
      <c r="A67" s="680" t="s">
        <v>534</v>
      </c>
      <c r="B67" s="671" t="s">
        <v>3416</v>
      </c>
      <c r="C67" s="671" t="s">
        <v>3417</v>
      </c>
      <c r="D67" s="671" t="s">
        <v>3444</v>
      </c>
      <c r="E67" s="671" t="s">
        <v>3445</v>
      </c>
      <c r="F67" s="238"/>
      <c r="G67" s="238"/>
      <c r="H67" s="238"/>
      <c r="I67" s="238"/>
      <c r="J67" s="238">
        <v>2</v>
      </c>
      <c r="K67" s="238">
        <v>458.32</v>
      </c>
      <c r="L67" s="238"/>
      <c r="M67" s="238">
        <v>229.16</v>
      </c>
      <c r="N67" s="238"/>
      <c r="O67" s="238"/>
      <c r="P67" s="682"/>
      <c r="Q67" s="713"/>
    </row>
    <row r="68" spans="1:17" ht="14.4" customHeight="1" x14ac:dyDescent="0.3">
      <c r="A68" s="680" t="s">
        <v>534</v>
      </c>
      <c r="B68" s="671" t="s">
        <v>3416</v>
      </c>
      <c r="C68" s="671" t="s">
        <v>3417</v>
      </c>
      <c r="D68" s="671" t="s">
        <v>3446</v>
      </c>
      <c r="E68" s="671" t="s">
        <v>3447</v>
      </c>
      <c r="F68" s="238"/>
      <c r="G68" s="238"/>
      <c r="H68" s="238"/>
      <c r="I68" s="238"/>
      <c r="J68" s="238">
        <v>1</v>
      </c>
      <c r="K68" s="238">
        <v>3535.84</v>
      </c>
      <c r="L68" s="238"/>
      <c r="M68" s="238">
        <v>3535.84</v>
      </c>
      <c r="N68" s="238"/>
      <c r="O68" s="238"/>
      <c r="P68" s="682"/>
      <c r="Q68" s="713"/>
    </row>
    <row r="69" spans="1:17" ht="14.4" customHeight="1" x14ac:dyDescent="0.3">
      <c r="A69" s="680" t="s">
        <v>534</v>
      </c>
      <c r="B69" s="671" t="s">
        <v>3416</v>
      </c>
      <c r="C69" s="671" t="s">
        <v>3417</v>
      </c>
      <c r="D69" s="671" t="s">
        <v>3448</v>
      </c>
      <c r="E69" s="671" t="s">
        <v>1237</v>
      </c>
      <c r="F69" s="238"/>
      <c r="G69" s="238"/>
      <c r="H69" s="238"/>
      <c r="I69" s="238"/>
      <c r="J69" s="238">
        <v>3</v>
      </c>
      <c r="K69" s="238">
        <v>290.38</v>
      </c>
      <c r="L69" s="238"/>
      <c r="M69" s="238">
        <v>96.793333333333337</v>
      </c>
      <c r="N69" s="238"/>
      <c r="O69" s="238"/>
      <c r="P69" s="682"/>
      <c r="Q69" s="713"/>
    </row>
    <row r="70" spans="1:17" ht="14.4" customHeight="1" x14ac:dyDescent="0.3">
      <c r="A70" s="680" t="s">
        <v>534</v>
      </c>
      <c r="B70" s="671" t="s">
        <v>3416</v>
      </c>
      <c r="C70" s="671" t="s">
        <v>3417</v>
      </c>
      <c r="D70" s="671" t="s">
        <v>3449</v>
      </c>
      <c r="E70" s="671" t="s">
        <v>3450</v>
      </c>
      <c r="F70" s="238">
        <v>1</v>
      </c>
      <c r="G70" s="238">
        <v>1301.17</v>
      </c>
      <c r="H70" s="238">
        <v>1</v>
      </c>
      <c r="I70" s="238">
        <v>1301.17</v>
      </c>
      <c r="J70" s="238">
        <v>1</v>
      </c>
      <c r="K70" s="238">
        <v>1345.88</v>
      </c>
      <c r="L70" s="238">
        <v>1.0343613824481044</v>
      </c>
      <c r="M70" s="238">
        <v>1345.88</v>
      </c>
      <c r="N70" s="238"/>
      <c r="O70" s="238"/>
      <c r="P70" s="682"/>
      <c r="Q70" s="713"/>
    </row>
    <row r="71" spans="1:17" ht="14.4" customHeight="1" x14ac:dyDescent="0.3">
      <c r="A71" s="680" t="s">
        <v>534</v>
      </c>
      <c r="B71" s="671" t="s">
        <v>3416</v>
      </c>
      <c r="C71" s="671" t="s">
        <v>3417</v>
      </c>
      <c r="D71" s="671" t="s">
        <v>3451</v>
      </c>
      <c r="E71" s="671" t="s">
        <v>1253</v>
      </c>
      <c r="F71" s="238"/>
      <c r="G71" s="238"/>
      <c r="H71" s="238"/>
      <c r="I71" s="238"/>
      <c r="J71" s="238">
        <v>0.2</v>
      </c>
      <c r="K71" s="238">
        <v>229.99</v>
      </c>
      <c r="L71" s="238"/>
      <c r="M71" s="238">
        <v>1149.95</v>
      </c>
      <c r="N71" s="238"/>
      <c r="O71" s="238"/>
      <c r="P71" s="682"/>
      <c r="Q71" s="713"/>
    </row>
    <row r="72" spans="1:17" ht="14.4" customHeight="1" x14ac:dyDescent="0.3">
      <c r="A72" s="680" t="s">
        <v>534</v>
      </c>
      <c r="B72" s="671" t="s">
        <v>3416</v>
      </c>
      <c r="C72" s="671" t="s">
        <v>3417</v>
      </c>
      <c r="D72" s="671" t="s">
        <v>3452</v>
      </c>
      <c r="E72" s="671" t="s">
        <v>3453</v>
      </c>
      <c r="F72" s="238"/>
      <c r="G72" s="238"/>
      <c r="H72" s="238"/>
      <c r="I72" s="238"/>
      <c r="J72" s="238">
        <v>0.7</v>
      </c>
      <c r="K72" s="238">
        <v>438.97</v>
      </c>
      <c r="L72" s="238"/>
      <c r="M72" s="238">
        <v>627.1</v>
      </c>
      <c r="N72" s="238"/>
      <c r="O72" s="238"/>
      <c r="P72" s="682"/>
      <c r="Q72" s="713"/>
    </row>
    <row r="73" spans="1:17" ht="14.4" customHeight="1" x14ac:dyDescent="0.3">
      <c r="A73" s="680" t="s">
        <v>534</v>
      </c>
      <c r="B73" s="671" t="s">
        <v>3416</v>
      </c>
      <c r="C73" s="671" t="s">
        <v>3454</v>
      </c>
      <c r="D73" s="671" t="s">
        <v>3455</v>
      </c>
      <c r="E73" s="671" t="s">
        <v>3456</v>
      </c>
      <c r="F73" s="238">
        <v>38</v>
      </c>
      <c r="G73" s="238">
        <v>98033.16</v>
      </c>
      <c r="H73" s="238">
        <v>1</v>
      </c>
      <c r="I73" s="238">
        <v>2579.8200000000002</v>
      </c>
      <c r="J73" s="238">
        <v>41</v>
      </c>
      <c r="K73" s="238">
        <v>109378.77</v>
      </c>
      <c r="L73" s="238">
        <v>1.1157323705570645</v>
      </c>
      <c r="M73" s="238">
        <v>2667.7748780487805</v>
      </c>
      <c r="N73" s="238">
        <v>43</v>
      </c>
      <c r="O73" s="238">
        <v>117334.53</v>
      </c>
      <c r="P73" s="682">
        <v>1.1968861352628029</v>
      </c>
      <c r="Q73" s="713">
        <v>2728.71</v>
      </c>
    </row>
    <row r="74" spans="1:17" ht="14.4" customHeight="1" x14ac:dyDescent="0.3">
      <c r="A74" s="680" t="s">
        <v>534</v>
      </c>
      <c r="B74" s="671" t="s">
        <v>3416</v>
      </c>
      <c r="C74" s="671" t="s">
        <v>3454</v>
      </c>
      <c r="D74" s="671" t="s">
        <v>3457</v>
      </c>
      <c r="E74" s="671" t="s">
        <v>3458</v>
      </c>
      <c r="F74" s="238">
        <v>1</v>
      </c>
      <c r="G74" s="238">
        <v>9039.01</v>
      </c>
      <c r="H74" s="238">
        <v>1</v>
      </c>
      <c r="I74" s="238">
        <v>9039.01</v>
      </c>
      <c r="J74" s="238"/>
      <c r="K74" s="238"/>
      <c r="L74" s="238"/>
      <c r="M74" s="238"/>
      <c r="N74" s="238"/>
      <c r="O74" s="238"/>
      <c r="P74" s="682"/>
      <c r="Q74" s="713"/>
    </row>
    <row r="75" spans="1:17" ht="14.4" customHeight="1" x14ac:dyDescent="0.3">
      <c r="A75" s="680" t="s">
        <v>534</v>
      </c>
      <c r="B75" s="671" t="s">
        <v>3416</v>
      </c>
      <c r="C75" s="671" t="s">
        <v>3454</v>
      </c>
      <c r="D75" s="671" t="s">
        <v>3459</v>
      </c>
      <c r="E75" s="671" t="s">
        <v>3460</v>
      </c>
      <c r="F75" s="238">
        <v>7</v>
      </c>
      <c r="G75" s="238">
        <v>6018.0400000000009</v>
      </c>
      <c r="H75" s="238">
        <v>1</v>
      </c>
      <c r="I75" s="238">
        <v>859.72000000000014</v>
      </c>
      <c r="J75" s="238">
        <v>7</v>
      </c>
      <c r="K75" s="238">
        <v>6332.35</v>
      </c>
      <c r="L75" s="238">
        <v>1.0522279679098177</v>
      </c>
      <c r="M75" s="238">
        <v>904.62142857142862</v>
      </c>
      <c r="N75" s="238">
        <v>11</v>
      </c>
      <c r="O75" s="238">
        <v>10181.27</v>
      </c>
      <c r="P75" s="682">
        <v>1.6917916796830861</v>
      </c>
      <c r="Q75" s="713">
        <v>925.57</v>
      </c>
    </row>
    <row r="76" spans="1:17" ht="14.4" customHeight="1" x14ac:dyDescent="0.3">
      <c r="A76" s="680" t="s">
        <v>534</v>
      </c>
      <c r="B76" s="671" t="s">
        <v>3416</v>
      </c>
      <c r="C76" s="671" t="s">
        <v>3461</v>
      </c>
      <c r="D76" s="671" t="s">
        <v>3462</v>
      </c>
      <c r="E76" s="671" t="s">
        <v>3463</v>
      </c>
      <c r="F76" s="238"/>
      <c r="G76" s="238"/>
      <c r="H76" s="238"/>
      <c r="I76" s="238"/>
      <c r="J76" s="238">
        <v>5</v>
      </c>
      <c r="K76" s="238">
        <v>225107.35</v>
      </c>
      <c r="L76" s="238"/>
      <c r="M76" s="238">
        <v>45021.47</v>
      </c>
      <c r="N76" s="238">
        <v>3</v>
      </c>
      <c r="O76" s="238">
        <v>135064.41</v>
      </c>
      <c r="P76" s="682"/>
      <c r="Q76" s="713">
        <v>45021.47</v>
      </c>
    </row>
    <row r="77" spans="1:17" ht="14.4" customHeight="1" x14ac:dyDescent="0.3">
      <c r="A77" s="680" t="s">
        <v>534</v>
      </c>
      <c r="B77" s="671" t="s">
        <v>3416</v>
      </c>
      <c r="C77" s="671" t="s">
        <v>3461</v>
      </c>
      <c r="D77" s="671" t="s">
        <v>3464</v>
      </c>
      <c r="E77" s="671" t="s">
        <v>3465</v>
      </c>
      <c r="F77" s="238">
        <v>2</v>
      </c>
      <c r="G77" s="238">
        <v>142751.01999999999</v>
      </c>
      <c r="H77" s="238">
        <v>1</v>
      </c>
      <c r="I77" s="238">
        <v>71375.509999999995</v>
      </c>
      <c r="J77" s="238">
        <v>2</v>
      </c>
      <c r="K77" s="238">
        <v>142751.01999999999</v>
      </c>
      <c r="L77" s="238">
        <v>1</v>
      </c>
      <c r="M77" s="238">
        <v>71375.509999999995</v>
      </c>
      <c r="N77" s="238"/>
      <c r="O77" s="238"/>
      <c r="P77" s="682"/>
      <c r="Q77" s="713"/>
    </row>
    <row r="78" spans="1:17" ht="14.4" customHeight="1" x14ac:dyDescent="0.3">
      <c r="A78" s="680" t="s">
        <v>534</v>
      </c>
      <c r="B78" s="671" t="s">
        <v>3416</v>
      </c>
      <c r="C78" s="671" t="s">
        <v>3461</v>
      </c>
      <c r="D78" s="671" t="s">
        <v>3466</v>
      </c>
      <c r="E78" s="671" t="s">
        <v>3467</v>
      </c>
      <c r="F78" s="238"/>
      <c r="G78" s="238"/>
      <c r="H78" s="238"/>
      <c r="I78" s="238"/>
      <c r="J78" s="238">
        <v>1</v>
      </c>
      <c r="K78" s="238">
        <v>44581.25</v>
      </c>
      <c r="L78" s="238"/>
      <c r="M78" s="238">
        <v>44581.25</v>
      </c>
      <c r="N78" s="238">
        <v>1</v>
      </c>
      <c r="O78" s="238">
        <v>44581.25</v>
      </c>
      <c r="P78" s="682"/>
      <c r="Q78" s="713">
        <v>44581.25</v>
      </c>
    </row>
    <row r="79" spans="1:17" ht="14.4" customHeight="1" x14ac:dyDescent="0.3">
      <c r="A79" s="680" t="s">
        <v>534</v>
      </c>
      <c r="B79" s="671" t="s">
        <v>3416</v>
      </c>
      <c r="C79" s="671" t="s">
        <v>3461</v>
      </c>
      <c r="D79" s="671" t="s">
        <v>3468</v>
      </c>
      <c r="E79" s="671" t="s">
        <v>3469</v>
      </c>
      <c r="F79" s="238">
        <v>1</v>
      </c>
      <c r="G79" s="238">
        <v>129657</v>
      </c>
      <c r="H79" s="238">
        <v>1</v>
      </c>
      <c r="I79" s="238">
        <v>129657</v>
      </c>
      <c r="J79" s="238"/>
      <c r="K79" s="238"/>
      <c r="L79" s="238"/>
      <c r="M79" s="238"/>
      <c r="N79" s="238"/>
      <c r="O79" s="238"/>
      <c r="P79" s="682"/>
      <c r="Q79" s="713"/>
    </row>
    <row r="80" spans="1:17" ht="14.4" customHeight="1" x14ac:dyDescent="0.3">
      <c r="A80" s="680" t="s">
        <v>534</v>
      </c>
      <c r="B80" s="671" t="s">
        <v>3416</v>
      </c>
      <c r="C80" s="671" t="s">
        <v>3461</v>
      </c>
      <c r="D80" s="671" t="s">
        <v>3470</v>
      </c>
      <c r="E80" s="671" t="s">
        <v>3471</v>
      </c>
      <c r="F80" s="238"/>
      <c r="G80" s="238"/>
      <c r="H80" s="238"/>
      <c r="I80" s="238"/>
      <c r="J80" s="238">
        <v>2</v>
      </c>
      <c r="K80" s="238">
        <v>20828.84</v>
      </c>
      <c r="L80" s="238"/>
      <c r="M80" s="238">
        <v>10414.42</v>
      </c>
      <c r="N80" s="238"/>
      <c r="O80" s="238"/>
      <c r="P80" s="682"/>
      <c r="Q80" s="713"/>
    </row>
    <row r="81" spans="1:17" ht="14.4" customHeight="1" x14ac:dyDescent="0.3">
      <c r="A81" s="680" t="s">
        <v>534</v>
      </c>
      <c r="B81" s="671" t="s">
        <v>3416</v>
      </c>
      <c r="C81" s="671" t="s">
        <v>3461</v>
      </c>
      <c r="D81" s="671" t="s">
        <v>3472</v>
      </c>
      <c r="E81" s="671" t="s">
        <v>3473</v>
      </c>
      <c r="F81" s="238">
        <v>22</v>
      </c>
      <c r="G81" s="238">
        <v>388344</v>
      </c>
      <c r="H81" s="238">
        <v>1</v>
      </c>
      <c r="I81" s="238">
        <v>17652</v>
      </c>
      <c r="J81" s="238">
        <v>17</v>
      </c>
      <c r="K81" s="238">
        <v>300084</v>
      </c>
      <c r="L81" s="238">
        <v>0.77272727272727271</v>
      </c>
      <c r="M81" s="238">
        <v>17652</v>
      </c>
      <c r="N81" s="238">
        <v>26</v>
      </c>
      <c r="O81" s="238">
        <v>458952</v>
      </c>
      <c r="P81" s="682">
        <v>1.1818181818181819</v>
      </c>
      <c r="Q81" s="713">
        <v>17652</v>
      </c>
    </row>
    <row r="82" spans="1:17" ht="14.4" customHeight="1" x14ac:dyDescent="0.3">
      <c r="A82" s="680" t="s">
        <v>534</v>
      </c>
      <c r="B82" s="671" t="s">
        <v>3416</v>
      </c>
      <c r="C82" s="671" t="s">
        <v>3461</v>
      </c>
      <c r="D82" s="671" t="s">
        <v>3474</v>
      </c>
      <c r="E82" s="671" t="s">
        <v>3475</v>
      </c>
      <c r="F82" s="238">
        <v>22</v>
      </c>
      <c r="G82" s="238">
        <v>147070</v>
      </c>
      <c r="H82" s="238">
        <v>1</v>
      </c>
      <c r="I82" s="238">
        <v>6685</v>
      </c>
      <c r="J82" s="238">
        <v>17</v>
      </c>
      <c r="K82" s="238">
        <v>113645</v>
      </c>
      <c r="L82" s="238">
        <v>0.77272727272727271</v>
      </c>
      <c r="M82" s="238">
        <v>6685</v>
      </c>
      <c r="N82" s="238">
        <v>26</v>
      </c>
      <c r="O82" s="238">
        <v>173810</v>
      </c>
      <c r="P82" s="682">
        <v>1.1818181818181819</v>
      </c>
      <c r="Q82" s="713">
        <v>6685</v>
      </c>
    </row>
    <row r="83" spans="1:17" ht="14.4" customHeight="1" x14ac:dyDescent="0.3">
      <c r="A83" s="680" t="s">
        <v>534</v>
      </c>
      <c r="B83" s="671" t="s">
        <v>3416</v>
      </c>
      <c r="C83" s="671" t="s">
        <v>3461</v>
      </c>
      <c r="D83" s="671" t="s">
        <v>3476</v>
      </c>
      <c r="E83" s="671" t="s">
        <v>3477</v>
      </c>
      <c r="F83" s="238">
        <v>9</v>
      </c>
      <c r="G83" s="238">
        <v>160965</v>
      </c>
      <c r="H83" s="238">
        <v>1</v>
      </c>
      <c r="I83" s="238">
        <v>17885</v>
      </c>
      <c r="J83" s="238">
        <v>19</v>
      </c>
      <c r="K83" s="238">
        <v>339815</v>
      </c>
      <c r="L83" s="238">
        <v>2.1111111111111112</v>
      </c>
      <c r="M83" s="238">
        <v>17885</v>
      </c>
      <c r="N83" s="238">
        <v>13</v>
      </c>
      <c r="O83" s="238">
        <v>232505</v>
      </c>
      <c r="P83" s="682">
        <v>1.4444444444444444</v>
      </c>
      <c r="Q83" s="713">
        <v>17885</v>
      </c>
    </row>
    <row r="84" spans="1:17" ht="14.4" customHeight="1" x14ac:dyDescent="0.3">
      <c r="A84" s="680" t="s">
        <v>534</v>
      </c>
      <c r="B84" s="671" t="s">
        <v>3416</v>
      </c>
      <c r="C84" s="671" t="s">
        <v>3461</v>
      </c>
      <c r="D84" s="671" t="s">
        <v>3478</v>
      </c>
      <c r="E84" s="671" t="s">
        <v>3479</v>
      </c>
      <c r="F84" s="238">
        <v>9</v>
      </c>
      <c r="G84" s="238">
        <v>61380</v>
      </c>
      <c r="H84" s="238">
        <v>1</v>
      </c>
      <c r="I84" s="238">
        <v>6820</v>
      </c>
      <c r="J84" s="238">
        <v>19</v>
      </c>
      <c r="K84" s="238">
        <v>129580</v>
      </c>
      <c r="L84" s="238">
        <v>2.1111111111111112</v>
      </c>
      <c r="M84" s="238">
        <v>6820</v>
      </c>
      <c r="N84" s="238">
        <v>13</v>
      </c>
      <c r="O84" s="238">
        <v>88660</v>
      </c>
      <c r="P84" s="682">
        <v>1.4444444444444444</v>
      </c>
      <c r="Q84" s="713">
        <v>6820</v>
      </c>
    </row>
    <row r="85" spans="1:17" ht="14.4" customHeight="1" x14ac:dyDescent="0.3">
      <c r="A85" s="680" t="s">
        <v>534</v>
      </c>
      <c r="B85" s="671" t="s">
        <v>3416</v>
      </c>
      <c r="C85" s="671" t="s">
        <v>3461</v>
      </c>
      <c r="D85" s="671" t="s">
        <v>3480</v>
      </c>
      <c r="E85" s="671" t="s">
        <v>3481</v>
      </c>
      <c r="F85" s="238">
        <v>22</v>
      </c>
      <c r="G85" s="238">
        <v>156200</v>
      </c>
      <c r="H85" s="238">
        <v>1</v>
      </c>
      <c r="I85" s="238">
        <v>7100</v>
      </c>
      <c r="J85" s="238">
        <v>25</v>
      </c>
      <c r="K85" s="238">
        <v>177500</v>
      </c>
      <c r="L85" s="238">
        <v>1.1363636363636365</v>
      </c>
      <c r="M85" s="238">
        <v>7100</v>
      </c>
      <c r="N85" s="238">
        <v>39</v>
      </c>
      <c r="O85" s="238">
        <v>276900</v>
      </c>
      <c r="P85" s="682">
        <v>1.7727272727272727</v>
      </c>
      <c r="Q85" s="713">
        <v>7100</v>
      </c>
    </row>
    <row r="86" spans="1:17" ht="14.4" customHeight="1" x14ac:dyDescent="0.3">
      <c r="A86" s="680" t="s">
        <v>534</v>
      </c>
      <c r="B86" s="671" t="s">
        <v>3416</v>
      </c>
      <c r="C86" s="671" t="s">
        <v>3461</v>
      </c>
      <c r="D86" s="671" t="s">
        <v>3482</v>
      </c>
      <c r="E86" s="671" t="s">
        <v>3483</v>
      </c>
      <c r="F86" s="238">
        <v>9</v>
      </c>
      <c r="G86" s="238">
        <v>79200</v>
      </c>
      <c r="H86" s="238">
        <v>1</v>
      </c>
      <c r="I86" s="238">
        <v>8800</v>
      </c>
      <c r="J86" s="238">
        <v>19</v>
      </c>
      <c r="K86" s="238">
        <v>167200</v>
      </c>
      <c r="L86" s="238">
        <v>2.1111111111111112</v>
      </c>
      <c r="M86" s="238">
        <v>8800</v>
      </c>
      <c r="N86" s="238">
        <v>13</v>
      </c>
      <c r="O86" s="238">
        <v>114400</v>
      </c>
      <c r="P86" s="682">
        <v>1.4444444444444444</v>
      </c>
      <c r="Q86" s="713">
        <v>8800</v>
      </c>
    </row>
    <row r="87" spans="1:17" ht="14.4" customHeight="1" x14ac:dyDescent="0.3">
      <c r="A87" s="680" t="s">
        <v>534</v>
      </c>
      <c r="B87" s="671" t="s">
        <v>3416</v>
      </c>
      <c r="C87" s="671" t="s">
        <v>3461</v>
      </c>
      <c r="D87" s="671" t="s">
        <v>3484</v>
      </c>
      <c r="E87" s="671" t="s">
        <v>3485</v>
      </c>
      <c r="F87" s="238">
        <v>23</v>
      </c>
      <c r="G87" s="238">
        <v>26795</v>
      </c>
      <c r="H87" s="238">
        <v>1</v>
      </c>
      <c r="I87" s="238">
        <v>1165</v>
      </c>
      <c r="J87" s="238">
        <v>36</v>
      </c>
      <c r="K87" s="238">
        <v>41940</v>
      </c>
      <c r="L87" s="238">
        <v>1.5652173913043479</v>
      </c>
      <c r="M87" s="238">
        <v>1165</v>
      </c>
      <c r="N87" s="238">
        <v>38</v>
      </c>
      <c r="O87" s="238">
        <v>44270</v>
      </c>
      <c r="P87" s="682">
        <v>1.6521739130434783</v>
      </c>
      <c r="Q87" s="713">
        <v>1165</v>
      </c>
    </row>
    <row r="88" spans="1:17" ht="14.4" customHeight="1" x14ac:dyDescent="0.3">
      <c r="A88" s="680" t="s">
        <v>534</v>
      </c>
      <c r="B88" s="671" t="s">
        <v>3416</v>
      </c>
      <c r="C88" s="671" t="s">
        <v>3461</v>
      </c>
      <c r="D88" s="671" t="s">
        <v>3486</v>
      </c>
      <c r="E88" s="671" t="s">
        <v>3487</v>
      </c>
      <c r="F88" s="238">
        <v>11</v>
      </c>
      <c r="G88" s="238">
        <v>8162</v>
      </c>
      <c r="H88" s="238">
        <v>1</v>
      </c>
      <c r="I88" s="238">
        <v>742</v>
      </c>
      <c r="J88" s="238">
        <v>22</v>
      </c>
      <c r="K88" s="238">
        <v>16324</v>
      </c>
      <c r="L88" s="238">
        <v>2</v>
      </c>
      <c r="M88" s="238">
        <v>742</v>
      </c>
      <c r="N88" s="238">
        <v>29</v>
      </c>
      <c r="O88" s="238">
        <v>21518</v>
      </c>
      <c r="P88" s="682">
        <v>2.6363636363636362</v>
      </c>
      <c r="Q88" s="713">
        <v>742</v>
      </c>
    </row>
    <row r="89" spans="1:17" ht="14.4" customHeight="1" x14ac:dyDescent="0.3">
      <c r="A89" s="680" t="s">
        <v>534</v>
      </c>
      <c r="B89" s="671" t="s">
        <v>3416</v>
      </c>
      <c r="C89" s="671" t="s">
        <v>3461</v>
      </c>
      <c r="D89" s="671" t="s">
        <v>3488</v>
      </c>
      <c r="E89" s="671" t="s">
        <v>3489</v>
      </c>
      <c r="F89" s="238">
        <v>27</v>
      </c>
      <c r="G89" s="238">
        <v>14202</v>
      </c>
      <c r="H89" s="238">
        <v>1</v>
      </c>
      <c r="I89" s="238">
        <v>526</v>
      </c>
      <c r="J89" s="238">
        <v>41</v>
      </c>
      <c r="K89" s="238">
        <v>21566</v>
      </c>
      <c r="L89" s="238">
        <v>1.5185185185185186</v>
      </c>
      <c r="M89" s="238">
        <v>526</v>
      </c>
      <c r="N89" s="238">
        <v>44</v>
      </c>
      <c r="O89" s="238">
        <v>23144</v>
      </c>
      <c r="P89" s="682">
        <v>1.6296296296296295</v>
      </c>
      <c r="Q89" s="713">
        <v>526</v>
      </c>
    </row>
    <row r="90" spans="1:17" ht="14.4" customHeight="1" x14ac:dyDescent="0.3">
      <c r="A90" s="680" t="s">
        <v>534</v>
      </c>
      <c r="B90" s="671" t="s">
        <v>3416</v>
      </c>
      <c r="C90" s="671" t="s">
        <v>3461</v>
      </c>
      <c r="D90" s="671" t="s">
        <v>3490</v>
      </c>
      <c r="E90" s="671" t="s">
        <v>3491</v>
      </c>
      <c r="F90" s="238">
        <v>1</v>
      </c>
      <c r="G90" s="238">
        <v>46725</v>
      </c>
      <c r="H90" s="238">
        <v>1</v>
      </c>
      <c r="I90" s="238">
        <v>46725</v>
      </c>
      <c r="J90" s="238">
        <v>2</v>
      </c>
      <c r="K90" s="238">
        <v>93450</v>
      </c>
      <c r="L90" s="238">
        <v>2</v>
      </c>
      <c r="M90" s="238">
        <v>46725</v>
      </c>
      <c r="N90" s="238">
        <v>1</v>
      </c>
      <c r="O90" s="238">
        <v>46725</v>
      </c>
      <c r="P90" s="682">
        <v>1</v>
      </c>
      <c r="Q90" s="713">
        <v>46725</v>
      </c>
    </row>
    <row r="91" spans="1:17" ht="14.4" customHeight="1" x14ac:dyDescent="0.3">
      <c r="A91" s="680" t="s">
        <v>534</v>
      </c>
      <c r="B91" s="671" t="s">
        <v>3416</v>
      </c>
      <c r="C91" s="671" t="s">
        <v>3461</v>
      </c>
      <c r="D91" s="671" t="s">
        <v>3492</v>
      </c>
      <c r="E91" s="671" t="s">
        <v>3493</v>
      </c>
      <c r="F91" s="238">
        <v>15</v>
      </c>
      <c r="G91" s="238">
        <v>13545</v>
      </c>
      <c r="H91" s="238">
        <v>1</v>
      </c>
      <c r="I91" s="238">
        <v>903</v>
      </c>
      <c r="J91" s="238">
        <v>23</v>
      </c>
      <c r="K91" s="238">
        <v>21524.32</v>
      </c>
      <c r="L91" s="238">
        <v>1.5890970837947582</v>
      </c>
      <c r="M91" s="238">
        <v>935.84</v>
      </c>
      <c r="N91" s="238">
        <v>34</v>
      </c>
      <c r="O91" s="238">
        <v>31818.559999999998</v>
      </c>
      <c r="P91" s="682">
        <v>2.3491000369139901</v>
      </c>
      <c r="Q91" s="713">
        <v>935.83999999999992</v>
      </c>
    </row>
    <row r="92" spans="1:17" ht="14.4" customHeight="1" x14ac:dyDescent="0.3">
      <c r="A92" s="680" t="s">
        <v>534</v>
      </c>
      <c r="B92" s="671" t="s">
        <v>3416</v>
      </c>
      <c r="C92" s="671" t="s">
        <v>3461</v>
      </c>
      <c r="D92" s="671" t="s">
        <v>3494</v>
      </c>
      <c r="E92" s="671" t="s">
        <v>3495</v>
      </c>
      <c r="F92" s="238">
        <v>1</v>
      </c>
      <c r="G92" s="238">
        <v>7000</v>
      </c>
      <c r="H92" s="238">
        <v>1</v>
      </c>
      <c r="I92" s="238">
        <v>7000</v>
      </c>
      <c r="J92" s="238">
        <v>4</v>
      </c>
      <c r="K92" s="238">
        <v>29018.2</v>
      </c>
      <c r="L92" s="238">
        <v>4.1454571428571434</v>
      </c>
      <c r="M92" s="238">
        <v>7254.55</v>
      </c>
      <c r="N92" s="238">
        <v>10</v>
      </c>
      <c r="O92" s="238">
        <v>72545.5</v>
      </c>
      <c r="P92" s="682">
        <v>10.363642857142857</v>
      </c>
      <c r="Q92" s="713">
        <v>7254.55</v>
      </c>
    </row>
    <row r="93" spans="1:17" ht="14.4" customHeight="1" x14ac:dyDescent="0.3">
      <c r="A93" s="680" t="s">
        <v>534</v>
      </c>
      <c r="B93" s="671" t="s">
        <v>3416</v>
      </c>
      <c r="C93" s="671" t="s">
        <v>3461</v>
      </c>
      <c r="D93" s="671" t="s">
        <v>3496</v>
      </c>
      <c r="E93" s="671" t="s">
        <v>3497</v>
      </c>
      <c r="F93" s="238">
        <v>18</v>
      </c>
      <c r="G93" s="238">
        <v>31752</v>
      </c>
      <c r="H93" s="238">
        <v>1</v>
      </c>
      <c r="I93" s="238">
        <v>1764</v>
      </c>
      <c r="J93" s="238"/>
      <c r="K93" s="238"/>
      <c r="L93" s="238"/>
      <c r="M93" s="238"/>
      <c r="N93" s="238"/>
      <c r="O93" s="238"/>
      <c r="P93" s="682"/>
      <c r="Q93" s="713"/>
    </row>
    <row r="94" spans="1:17" ht="14.4" customHeight="1" x14ac:dyDescent="0.3">
      <c r="A94" s="680" t="s">
        <v>534</v>
      </c>
      <c r="B94" s="671" t="s">
        <v>3416</v>
      </c>
      <c r="C94" s="671" t="s">
        <v>3461</v>
      </c>
      <c r="D94" s="671" t="s">
        <v>3498</v>
      </c>
      <c r="E94" s="671" t="s">
        <v>3499</v>
      </c>
      <c r="F94" s="238">
        <v>1</v>
      </c>
      <c r="G94" s="238">
        <v>8644</v>
      </c>
      <c r="H94" s="238">
        <v>1</v>
      </c>
      <c r="I94" s="238">
        <v>8644</v>
      </c>
      <c r="J94" s="238"/>
      <c r="K94" s="238"/>
      <c r="L94" s="238"/>
      <c r="M94" s="238"/>
      <c r="N94" s="238">
        <v>1</v>
      </c>
      <c r="O94" s="238">
        <v>8644</v>
      </c>
      <c r="P94" s="682">
        <v>1</v>
      </c>
      <c r="Q94" s="713">
        <v>8644</v>
      </c>
    </row>
    <row r="95" spans="1:17" ht="14.4" customHeight="1" x14ac:dyDescent="0.3">
      <c r="A95" s="680" t="s">
        <v>534</v>
      </c>
      <c r="B95" s="671" t="s">
        <v>3416</v>
      </c>
      <c r="C95" s="671" t="s">
        <v>3461</v>
      </c>
      <c r="D95" s="671" t="s">
        <v>3500</v>
      </c>
      <c r="E95" s="671" t="s">
        <v>3501</v>
      </c>
      <c r="F95" s="238"/>
      <c r="G95" s="238"/>
      <c r="H95" s="238"/>
      <c r="I95" s="238"/>
      <c r="J95" s="238">
        <v>3</v>
      </c>
      <c r="K95" s="238">
        <v>116559.81</v>
      </c>
      <c r="L95" s="238"/>
      <c r="M95" s="238">
        <v>38853.269999999997</v>
      </c>
      <c r="N95" s="238">
        <v>4</v>
      </c>
      <c r="O95" s="238">
        <v>155413.07999999999</v>
      </c>
      <c r="P95" s="682"/>
      <c r="Q95" s="713">
        <v>38853.269999999997</v>
      </c>
    </row>
    <row r="96" spans="1:17" ht="14.4" customHeight="1" x14ac:dyDescent="0.3">
      <c r="A96" s="680" t="s">
        <v>534</v>
      </c>
      <c r="B96" s="671" t="s">
        <v>3416</v>
      </c>
      <c r="C96" s="671" t="s">
        <v>3461</v>
      </c>
      <c r="D96" s="671" t="s">
        <v>3502</v>
      </c>
      <c r="E96" s="671" t="s">
        <v>3503</v>
      </c>
      <c r="F96" s="238">
        <v>1</v>
      </c>
      <c r="G96" s="238">
        <v>51900</v>
      </c>
      <c r="H96" s="238">
        <v>1</v>
      </c>
      <c r="I96" s="238">
        <v>51900</v>
      </c>
      <c r="J96" s="238"/>
      <c r="K96" s="238"/>
      <c r="L96" s="238"/>
      <c r="M96" s="238"/>
      <c r="N96" s="238"/>
      <c r="O96" s="238"/>
      <c r="P96" s="682"/>
      <c r="Q96" s="713"/>
    </row>
    <row r="97" spans="1:17" ht="14.4" customHeight="1" x14ac:dyDescent="0.3">
      <c r="A97" s="680" t="s">
        <v>534</v>
      </c>
      <c r="B97" s="671" t="s">
        <v>3416</v>
      </c>
      <c r="C97" s="671" t="s">
        <v>3461</v>
      </c>
      <c r="D97" s="671" t="s">
        <v>3504</v>
      </c>
      <c r="E97" s="671" t="s">
        <v>3505</v>
      </c>
      <c r="F97" s="238"/>
      <c r="G97" s="238"/>
      <c r="H97" s="238"/>
      <c r="I97" s="238"/>
      <c r="J97" s="238">
        <v>1</v>
      </c>
      <c r="K97" s="238">
        <v>2976</v>
      </c>
      <c r="L97" s="238"/>
      <c r="M97" s="238">
        <v>2976</v>
      </c>
      <c r="N97" s="238"/>
      <c r="O97" s="238"/>
      <c r="P97" s="682"/>
      <c r="Q97" s="713"/>
    </row>
    <row r="98" spans="1:17" ht="14.4" customHeight="1" x14ac:dyDescent="0.3">
      <c r="A98" s="680" t="s">
        <v>534</v>
      </c>
      <c r="B98" s="671" t="s">
        <v>3416</v>
      </c>
      <c r="C98" s="671" t="s">
        <v>3461</v>
      </c>
      <c r="D98" s="671" t="s">
        <v>3506</v>
      </c>
      <c r="E98" s="671" t="s">
        <v>3507</v>
      </c>
      <c r="F98" s="238">
        <v>12</v>
      </c>
      <c r="G98" s="238">
        <v>21303.480000000003</v>
      </c>
      <c r="H98" s="238">
        <v>1</v>
      </c>
      <c r="I98" s="238">
        <v>1775.2900000000002</v>
      </c>
      <c r="J98" s="238">
        <v>17</v>
      </c>
      <c r="K98" s="238">
        <v>23132.75</v>
      </c>
      <c r="L98" s="238">
        <v>1.085867191651317</v>
      </c>
      <c r="M98" s="238">
        <v>1360.75</v>
      </c>
      <c r="N98" s="238">
        <v>25</v>
      </c>
      <c r="O98" s="238">
        <v>34018.75</v>
      </c>
      <c r="P98" s="682">
        <v>1.5968635171342895</v>
      </c>
      <c r="Q98" s="713">
        <v>1360.75</v>
      </c>
    </row>
    <row r="99" spans="1:17" ht="14.4" customHeight="1" x14ac:dyDescent="0.3">
      <c r="A99" s="680" t="s">
        <v>534</v>
      </c>
      <c r="B99" s="671" t="s">
        <v>3416</v>
      </c>
      <c r="C99" s="671" t="s">
        <v>3461</v>
      </c>
      <c r="D99" s="671" t="s">
        <v>3508</v>
      </c>
      <c r="E99" s="671" t="s">
        <v>3509</v>
      </c>
      <c r="F99" s="238">
        <v>7</v>
      </c>
      <c r="G99" s="238">
        <v>32742.5</v>
      </c>
      <c r="H99" s="238">
        <v>1</v>
      </c>
      <c r="I99" s="238">
        <v>4677.5</v>
      </c>
      <c r="J99" s="238">
        <v>6</v>
      </c>
      <c r="K99" s="238">
        <v>28065</v>
      </c>
      <c r="L99" s="238">
        <v>0.8571428571428571</v>
      </c>
      <c r="M99" s="238">
        <v>4677.5</v>
      </c>
      <c r="N99" s="238">
        <v>13</v>
      </c>
      <c r="O99" s="238">
        <v>60807.5</v>
      </c>
      <c r="P99" s="682">
        <v>1.8571428571428572</v>
      </c>
      <c r="Q99" s="713">
        <v>4677.5</v>
      </c>
    </row>
    <row r="100" spans="1:17" ht="14.4" customHeight="1" x14ac:dyDescent="0.3">
      <c r="A100" s="680" t="s">
        <v>534</v>
      </c>
      <c r="B100" s="671" t="s">
        <v>3416</v>
      </c>
      <c r="C100" s="671" t="s">
        <v>3461</v>
      </c>
      <c r="D100" s="671" t="s">
        <v>3510</v>
      </c>
      <c r="E100" s="671" t="s">
        <v>3511</v>
      </c>
      <c r="F100" s="238">
        <v>5</v>
      </c>
      <c r="G100" s="238">
        <v>91439.7</v>
      </c>
      <c r="H100" s="238">
        <v>1</v>
      </c>
      <c r="I100" s="238">
        <v>18287.939999999999</v>
      </c>
      <c r="J100" s="238">
        <v>2</v>
      </c>
      <c r="K100" s="238">
        <v>37905.919999999998</v>
      </c>
      <c r="L100" s="238">
        <v>0.41454554203480543</v>
      </c>
      <c r="M100" s="238">
        <v>18952.96</v>
      </c>
      <c r="N100" s="238">
        <v>2</v>
      </c>
      <c r="O100" s="238">
        <v>37905.919999999998</v>
      </c>
      <c r="P100" s="682">
        <v>0.41454554203480543</v>
      </c>
      <c r="Q100" s="713">
        <v>18952.96</v>
      </c>
    </row>
    <row r="101" spans="1:17" ht="14.4" customHeight="1" x14ac:dyDescent="0.3">
      <c r="A101" s="680" t="s">
        <v>534</v>
      </c>
      <c r="B101" s="671" t="s">
        <v>3416</v>
      </c>
      <c r="C101" s="671" t="s">
        <v>3461</v>
      </c>
      <c r="D101" s="671" t="s">
        <v>3512</v>
      </c>
      <c r="E101" s="671" t="s">
        <v>3513</v>
      </c>
      <c r="F101" s="238">
        <v>1</v>
      </c>
      <c r="G101" s="238">
        <v>2860.36</v>
      </c>
      <c r="H101" s="238">
        <v>1</v>
      </c>
      <c r="I101" s="238">
        <v>2860.36</v>
      </c>
      <c r="J101" s="238"/>
      <c r="K101" s="238"/>
      <c r="L101" s="238"/>
      <c r="M101" s="238"/>
      <c r="N101" s="238"/>
      <c r="O101" s="238"/>
      <c r="P101" s="682"/>
      <c r="Q101" s="713"/>
    </row>
    <row r="102" spans="1:17" ht="14.4" customHeight="1" x14ac:dyDescent="0.3">
      <c r="A102" s="680" t="s">
        <v>534</v>
      </c>
      <c r="B102" s="671" t="s">
        <v>3416</v>
      </c>
      <c r="C102" s="671" t="s">
        <v>3461</v>
      </c>
      <c r="D102" s="671" t="s">
        <v>3514</v>
      </c>
      <c r="E102" s="671" t="s">
        <v>3515</v>
      </c>
      <c r="F102" s="238">
        <v>1</v>
      </c>
      <c r="G102" s="238">
        <v>829.09</v>
      </c>
      <c r="H102" s="238">
        <v>1</v>
      </c>
      <c r="I102" s="238">
        <v>829.09</v>
      </c>
      <c r="J102" s="238"/>
      <c r="K102" s="238"/>
      <c r="L102" s="238"/>
      <c r="M102" s="238"/>
      <c r="N102" s="238"/>
      <c r="O102" s="238"/>
      <c r="P102" s="682"/>
      <c r="Q102" s="713"/>
    </row>
    <row r="103" spans="1:17" ht="14.4" customHeight="1" x14ac:dyDescent="0.3">
      <c r="A103" s="680" t="s">
        <v>534</v>
      </c>
      <c r="B103" s="671" t="s">
        <v>3416</v>
      </c>
      <c r="C103" s="671" t="s">
        <v>3461</v>
      </c>
      <c r="D103" s="671" t="s">
        <v>3516</v>
      </c>
      <c r="E103" s="671" t="s">
        <v>3517</v>
      </c>
      <c r="F103" s="238">
        <v>1</v>
      </c>
      <c r="G103" s="238">
        <v>306.87</v>
      </c>
      <c r="H103" s="238">
        <v>1</v>
      </c>
      <c r="I103" s="238">
        <v>306.87</v>
      </c>
      <c r="J103" s="238"/>
      <c r="K103" s="238"/>
      <c r="L103" s="238"/>
      <c r="M103" s="238"/>
      <c r="N103" s="238"/>
      <c r="O103" s="238"/>
      <c r="P103" s="682"/>
      <c r="Q103" s="713"/>
    </row>
    <row r="104" spans="1:17" ht="14.4" customHeight="1" x14ac:dyDescent="0.3">
      <c r="A104" s="680" t="s">
        <v>534</v>
      </c>
      <c r="B104" s="671" t="s">
        <v>3416</v>
      </c>
      <c r="C104" s="671" t="s">
        <v>3461</v>
      </c>
      <c r="D104" s="671" t="s">
        <v>3518</v>
      </c>
      <c r="E104" s="671" t="s">
        <v>3519</v>
      </c>
      <c r="F104" s="238">
        <v>1</v>
      </c>
      <c r="G104" s="238">
        <v>25900</v>
      </c>
      <c r="H104" s="238">
        <v>1</v>
      </c>
      <c r="I104" s="238">
        <v>25900</v>
      </c>
      <c r="J104" s="238"/>
      <c r="K104" s="238"/>
      <c r="L104" s="238"/>
      <c r="M104" s="238"/>
      <c r="N104" s="238"/>
      <c r="O104" s="238"/>
      <c r="P104" s="682"/>
      <c r="Q104" s="713"/>
    </row>
    <row r="105" spans="1:17" ht="14.4" customHeight="1" x14ac:dyDescent="0.3">
      <c r="A105" s="680" t="s">
        <v>534</v>
      </c>
      <c r="B105" s="671" t="s">
        <v>3416</v>
      </c>
      <c r="C105" s="671" t="s">
        <v>3461</v>
      </c>
      <c r="D105" s="671" t="s">
        <v>3520</v>
      </c>
      <c r="E105" s="671" t="s">
        <v>3521</v>
      </c>
      <c r="F105" s="238">
        <v>2</v>
      </c>
      <c r="G105" s="238">
        <v>88504</v>
      </c>
      <c r="H105" s="238">
        <v>1</v>
      </c>
      <c r="I105" s="238">
        <v>44252</v>
      </c>
      <c r="J105" s="238">
        <v>5</v>
      </c>
      <c r="K105" s="238">
        <v>221260</v>
      </c>
      <c r="L105" s="238">
        <v>2.5</v>
      </c>
      <c r="M105" s="238">
        <v>44252</v>
      </c>
      <c r="N105" s="238">
        <v>4</v>
      </c>
      <c r="O105" s="238">
        <v>177008</v>
      </c>
      <c r="P105" s="682">
        <v>2</v>
      </c>
      <c r="Q105" s="713">
        <v>44252</v>
      </c>
    </row>
    <row r="106" spans="1:17" ht="14.4" customHeight="1" x14ac:dyDescent="0.3">
      <c r="A106" s="680" t="s">
        <v>534</v>
      </c>
      <c r="B106" s="671" t="s">
        <v>3416</v>
      </c>
      <c r="C106" s="671" t="s">
        <v>3461</v>
      </c>
      <c r="D106" s="671" t="s">
        <v>3522</v>
      </c>
      <c r="E106" s="671" t="s">
        <v>3523</v>
      </c>
      <c r="F106" s="238">
        <v>6</v>
      </c>
      <c r="G106" s="238">
        <v>281058</v>
      </c>
      <c r="H106" s="238">
        <v>1</v>
      </c>
      <c r="I106" s="238">
        <v>46843</v>
      </c>
      <c r="J106" s="238">
        <v>4</v>
      </c>
      <c r="K106" s="238">
        <v>187372</v>
      </c>
      <c r="L106" s="238">
        <v>0.66666666666666663</v>
      </c>
      <c r="M106" s="238">
        <v>46843</v>
      </c>
      <c r="N106" s="238">
        <v>2</v>
      </c>
      <c r="O106" s="238">
        <v>93686</v>
      </c>
      <c r="P106" s="682">
        <v>0.33333333333333331</v>
      </c>
      <c r="Q106" s="713">
        <v>46843</v>
      </c>
    </row>
    <row r="107" spans="1:17" ht="14.4" customHeight="1" x14ac:dyDescent="0.3">
      <c r="A107" s="680" t="s">
        <v>534</v>
      </c>
      <c r="B107" s="671" t="s">
        <v>3416</v>
      </c>
      <c r="C107" s="671" t="s">
        <v>3461</v>
      </c>
      <c r="D107" s="671" t="s">
        <v>3524</v>
      </c>
      <c r="E107" s="671" t="s">
        <v>3525</v>
      </c>
      <c r="F107" s="238">
        <v>4</v>
      </c>
      <c r="G107" s="238">
        <v>7352</v>
      </c>
      <c r="H107" s="238">
        <v>1</v>
      </c>
      <c r="I107" s="238">
        <v>1838</v>
      </c>
      <c r="J107" s="238">
        <v>7</v>
      </c>
      <c r="K107" s="238">
        <v>12866</v>
      </c>
      <c r="L107" s="238">
        <v>1.75</v>
      </c>
      <c r="M107" s="238">
        <v>1838</v>
      </c>
      <c r="N107" s="238">
        <v>10</v>
      </c>
      <c r="O107" s="238">
        <v>18380</v>
      </c>
      <c r="P107" s="682">
        <v>2.5</v>
      </c>
      <c r="Q107" s="713">
        <v>1838</v>
      </c>
    </row>
    <row r="108" spans="1:17" ht="14.4" customHeight="1" x14ac:dyDescent="0.3">
      <c r="A108" s="680" t="s">
        <v>534</v>
      </c>
      <c r="B108" s="671" t="s">
        <v>3416</v>
      </c>
      <c r="C108" s="671" t="s">
        <v>3461</v>
      </c>
      <c r="D108" s="671" t="s">
        <v>3526</v>
      </c>
      <c r="E108" s="671" t="s">
        <v>3527</v>
      </c>
      <c r="F108" s="238"/>
      <c r="G108" s="238"/>
      <c r="H108" s="238"/>
      <c r="I108" s="238"/>
      <c r="J108" s="238"/>
      <c r="K108" s="238"/>
      <c r="L108" s="238"/>
      <c r="M108" s="238"/>
      <c r="N108" s="238">
        <v>1</v>
      </c>
      <c r="O108" s="238">
        <v>25697</v>
      </c>
      <c r="P108" s="682"/>
      <c r="Q108" s="713">
        <v>25697</v>
      </c>
    </row>
    <row r="109" spans="1:17" ht="14.4" customHeight="1" x14ac:dyDescent="0.3">
      <c r="A109" s="680" t="s">
        <v>534</v>
      </c>
      <c r="B109" s="671" t="s">
        <v>3416</v>
      </c>
      <c r="C109" s="671" t="s">
        <v>3461</v>
      </c>
      <c r="D109" s="671" t="s">
        <v>3528</v>
      </c>
      <c r="E109" s="671" t="s">
        <v>3529</v>
      </c>
      <c r="F109" s="238">
        <v>3</v>
      </c>
      <c r="G109" s="238">
        <v>52854.54</v>
      </c>
      <c r="H109" s="238">
        <v>1</v>
      </c>
      <c r="I109" s="238">
        <v>17618.18</v>
      </c>
      <c r="J109" s="238">
        <v>1</v>
      </c>
      <c r="K109" s="238">
        <v>17618.18</v>
      </c>
      <c r="L109" s="238">
        <v>0.33333333333333331</v>
      </c>
      <c r="M109" s="238">
        <v>17618.18</v>
      </c>
      <c r="N109" s="238"/>
      <c r="O109" s="238"/>
      <c r="P109" s="682"/>
      <c r="Q109" s="713"/>
    </row>
    <row r="110" spans="1:17" ht="14.4" customHeight="1" x14ac:dyDescent="0.3">
      <c r="A110" s="680" t="s">
        <v>534</v>
      </c>
      <c r="B110" s="671" t="s">
        <v>3416</v>
      </c>
      <c r="C110" s="671" t="s">
        <v>3461</v>
      </c>
      <c r="D110" s="671" t="s">
        <v>3530</v>
      </c>
      <c r="E110" s="671" t="s">
        <v>3531</v>
      </c>
      <c r="F110" s="238"/>
      <c r="G110" s="238"/>
      <c r="H110" s="238"/>
      <c r="I110" s="238"/>
      <c r="J110" s="238">
        <v>1</v>
      </c>
      <c r="K110" s="238">
        <v>23836.36</v>
      </c>
      <c r="L110" s="238"/>
      <c r="M110" s="238">
        <v>23836.36</v>
      </c>
      <c r="N110" s="238"/>
      <c r="O110" s="238"/>
      <c r="P110" s="682"/>
      <c r="Q110" s="713"/>
    </row>
    <row r="111" spans="1:17" ht="14.4" customHeight="1" x14ac:dyDescent="0.3">
      <c r="A111" s="680" t="s">
        <v>534</v>
      </c>
      <c r="B111" s="671" t="s">
        <v>3416</v>
      </c>
      <c r="C111" s="671" t="s">
        <v>3461</v>
      </c>
      <c r="D111" s="671" t="s">
        <v>3532</v>
      </c>
      <c r="E111" s="671" t="s">
        <v>3533</v>
      </c>
      <c r="F111" s="238"/>
      <c r="G111" s="238"/>
      <c r="H111" s="238"/>
      <c r="I111" s="238"/>
      <c r="J111" s="238">
        <v>1</v>
      </c>
      <c r="K111" s="238">
        <v>21539.78</v>
      </c>
      <c r="L111" s="238"/>
      <c r="M111" s="238">
        <v>21539.78</v>
      </c>
      <c r="N111" s="238"/>
      <c r="O111" s="238"/>
      <c r="P111" s="682"/>
      <c r="Q111" s="713"/>
    </row>
    <row r="112" spans="1:17" ht="14.4" customHeight="1" x14ac:dyDescent="0.3">
      <c r="A112" s="680" t="s">
        <v>534</v>
      </c>
      <c r="B112" s="671" t="s">
        <v>3416</v>
      </c>
      <c r="C112" s="671" t="s">
        <v>3461</v>
      </c>
      <c r="D112" s="671" t="s">
        <v>3534</v>
      </c>
      <c r="E112" s="671" t="s">
        <v>3535</v>
      </c>
      <c r="F112" s="238"/>
      <c r="G112" s="238"/>
      <c r="H112" s="238"/>
      <c r="I112" s="238"/>
      <c r="J112" s="238">
        <v>2</v>
      </c>
      <c r="K112" s="238">
        <v>9899.76</v>
      </c>
      <c r="L112" s="238"/>
      <c r="M112" s="238">
        <v>4949.88</v>
      </c>
      <c r="N112" s="238">
        <v>4</v>
      </c>
      <c r="O112" s="238">
        <v>19799.52</v>
      </c>
      <c r="P112" s="682"/>
      <c r="Q112" s="713">
        <v>4949.88</v>
      </c>
    </row>
    <row r="113" spans="1:17" ht="14.4" customHeight="1" x14ac:dyDescent="0.3">
      <c r="A113" s="680" t="s">
        <v>534</v>
      </c>
      <c r="B113" s="671" t="s">
        <v>3416</v>
      </c>
      <c r="C113" s="671" t="s">
        <v>3461</v>
      </c>
      <c r="D113" s="671" t="s">
        <v>3536</v>
      </c>
      <c r="E113" s="671" t="s">
        <v>3537</v>
      </c>
      <c r="F113" s="238"/>
      <c r="G113" s="238"/>
      <c r="H113" s="238"/>
      <c r="I113" s="238"/>
      <c r="J113" s="238">
        <v>1</v>
      </c>
      <c r="K113" s="238">
        <v>20441.03</v>
      </c>
      <c r="L113" s="238"/>
      <c r="M113" s="238">
        <v>20441.03</v>
      </c>
      <c r="N113" s="238">
        <v>1</v>
      </c>
      <c r="O113" s="238">
        <v>20441.03</v>
      </c>
      <c r="P113" s="682"/>
      <c r="Q113" s="713">
        <v>20441.03</v>
      </c>
    </row>
    <row r="114" spans="1:17" ht="14.4" customHeight="1" x14ac:dyDescent="0.3">
      <c r="A114" s="680" t="s">
        <v>534</v>
      </c>
      <c r="B114" s="671" t="s">
        <v>3416</v>
      </c>
      <c r="C114" s="671" t="s">
        <v>3461</v>
      </c>
      <c r="D114" s="671" t="s">
        <v>3538</v>
      </c>
      <c r="E114" s="671" t="s">
        <v>3539</v>
      </c>
      <c r="F114" s="238">
        <v>23</v>
      </c>
      <c r="G114" s="238">
        <v>573028.89999999991</v>
      </c>
      <c r="H114" s="238">
        <v>1</v>
      </c>
      <c r="I114" s="238">
        <v>24914.299999999996</v>
      </c>
      <c r="J114" s="238">
        <v>10</v>
      </c>
      <c r="K114" s="238">
        <v>258202.69999999998</v>
      </c>
      <c r="L114" s="238">
        <v>0.45059280605219043</v>
      </c>
      <c r="M114" s="238">
        <v>25820.269999999997</v>
      </c>
      <c r="N114" s="238">
        <v>21</v>
      </c>
      <c r="O114" s="238">
        <v>542225.66999999993</v>
      </c>
      <c r="P114" s="682">
        <v>0.94624489270959988</v>
      </c>
      <c r="Q114" s="713">
        <v>25820.269999999997</v>
      </c>
    </row>
    <row r="115" spans="1:17" ht="14.4" customHeight="1" x14ac:dyDescent="0.3">
      <c r="A115" s="680" t="s">
        <v>534</v>
      </c>
      <c r="B115" s="671" t="s">
        <v>3416</v>
      </c>
      <c r="C115" s="671" t="s">
        <v>3461</v>
      </c>
      <c r="D115" s="671" t="s">
        <v>3540</v>
      </c>
      <c r="E115" s="671" t="s">
        <v>3541</v>
      </c>
      <c r="F115" s="238">
        <v>7</v>
      </c>
      <c r="G115" s="238">
        <v>98000</v>
      </c>
      <c r="H115" s="238">
        <v>1</v>
      </c>
      <c r="I115" s="238">
        <v>14000</v>
      </c>
      <c r="J115" s="238">
        <v>11</v>
      </c>
      <c r="K115" s="238">
        <v>159599.99</v>
      </c>
      <c r="L115" s="238">
        <v>1.6285713265306121</v>
      </c>
      <c r="M115" s="238">
        <v>14509.089999999998</v>
      </c>
      <c r="N115" s="238">
        <v>14</v>
      </c>
      <c r="O115" s="238">
        <v>203127.26</v>
      </c>
      <c r="P115" s="682">
        <v>2.072727142857143</v>
      </c>
      <c r="Q115" s="713">
        <v>14509.09</v>
      </c>
    </row>
    <row r="116" spans="1:17" ht="14.4" customHeight="1" x14ac:dyDescent="0.3">
      <c r="A116" s="680" t="s">
        <v>534</v>
      </c>
      <c r="B116" s="671" t="s">
        <v>3416</v>
      </c>
      <c r="C116" s="671" t="s">
        <v>3461</v>
      </c>
      <c r="D116" s="671" t="s">
        <v>3542</v>
      </c>
      <c r="E116" s="671" t="s">
        <v>3543</v>
      </c>
      <c r="F116" s="238">
        <v>12</v>
      </c>
      <c r="G116" s="238">
        <v>15660</v>
      </c>
      <c r="H116" s="238">
        <v>1</v>
      </c>
      <c r="I116" s="238">
        <v>1305</v>
      </c>
      <c r="J116" s="238">
        <v>31</v>
      </c>
      <c r="K116" s="238">
        <v>40455</v>
      </c>
      <c r="L116" s="238">
        <v>2.5833333333333335</v>
      </c>
      <c r="M116" s="238">
        <v>1305</v>
      </c>
      <c r="N116" s="238">
        <v>31</v>
      </c>
      <c r="O116" s="238">
        <v>40455</v>
      </c>
      <c r="P116" s="682">
        <v>2.5833333333333335</v>
      </c>
      <c r="Q116" s="713">
        <v>1305</v>
      </c>
    </row>
    <row r="117" spans="1:17" ht="14.4" customHeight="1" x14ac:dyDescent="0.3">
      <c r="A117" s="680" t="s">
        <v>534</v>
      </c>
      <c r="B117" s="671" t="s">
        <v>3416</v>
      </c>
      <c r="C117" s="671" t="s">
        <v>3461</v>
      </c>
      <c r="D117" s="671" t="s">
        <v>3544</v>
      </c>
      <c r="E117" s="671" t="s">
        <v>3545</v>
      </c>
      <c r="F117" s="238">
        <v>6</v>
      </c>
      <c r="G117" s="238">
        <v>7830</v>
      </c>
      <c r="H117" s="238">
        <v>1</v>
      </c>
      <c r="I117" s="238">
        <v>1305</v>
      </c>
      <c r="J117" s="238"/>
      <c r="K117" s="238"/>
      <c r="L117" s="238"/>
      <c r="M117" s="238"/>
      <c r="N117" s="238"/>
      <c r="O117" s="238"/>
      <c r="P117" s="682"/>
      <c r="Q117" s="713"/>
    </row>
    <row r="118" spans="1:17" ht="14.4" customHeight="1" x14ac:dyDescent="0.3">
      <c r="A118" s="680" t="s">
        <v>534</v>
      </c>
      <c r="B118" s="671" t="s">
        <v>3416</v>
      </c>
      <c r="C118" s="671" t="s">
        <v>3461</v>
      </c>
      <c r="D118" s="671" t="s">
        <v>3546</v>
      </c>
      <c r="E118" s="671" t="s">
        <v>3547</v>
      </c>
      <c r="F118" s="238">
        <v>29</v>
      </c>
      <c r="G118" s="238">
        <v>31262</v>
      </c>
      <c r="H118" s="238">
        <v>1</v>
      </c>
      <c r="I118" s="238">
        <v>1078</v>
      </c>
      <c r="J118" s="238">
        <v>33</v>
      </c>
      <c r="K118" s="238">
        <v>35574</v>
      </c>
      <c r="L118" s="238">
        <v>1.1379310344827587</v>
      </c>
      <c r="M118" s="238">
        <v>1078</v>
      </c>
      <c r="N118" s="238">
        <v>33</v>
      </c>
      <c r="O118" s="238">
        <v>35574</v>
      </c>
      <c r="P118" s="682">
        <v>1.1379310344827587</v>
      </c>
      <c r="Q118" s="713">
        <v>1078</v>
      </c>
    </row>
    <row r="119" spans="1:17" ht="14.4" customHeight="1" x14ac:dyDescent="0.3">
      <c r="A119" s="680" t="s">
        <v>534</v>
      </c>
      <c r="B119" s="671" t="s">
        <v>3416</v>
      </c>
      <c r="C119" s="671" t="s">
        <v>3461</v>
      </c>
      <c r="D119" s="671" t="s">
        <v>3548</v>
      </c>
      <c r="E119" s="671" t="s">
        <v>3549</v>
      </c>
      <c r="F119" s="238"/>
      <c r="G119" s="238"/>
      <c r="H119" s="238"/>
      <c r="I119" s="238"/>
      <c r="J119" s="238">
        <v>1</v>
      </c>
      <c r="K119" s="238">
        <v>8509</v>
      </c>
      <c r="L119" s="238"/>
      <c r="M119" s="238">
        <v>8509</v>
      </c>
      <c r="N119" s="238">
        <v>2</v>
      </c>
      <c r="O119" s="238">
        <v>17018</v>
      </c>
      <c r="P119" s="682"/>
      <c r="Q119" s="713">
        <v>8509</v>
      </c>
    </row>
    <row r="120" spans="1:17" ht="14.4" customHeight="1" x14ac:dyDescent="0.3">
      <c r="A120" s="680" t="s">
        <v>534</v>
      </c>
      <c r="B120" s="671" t="s">
        <v>3416</v>
      </c>
      <c r="C120" s="671" t="s">
        <v>3461</v>
      </c>
      <c r="D120" s="671" t="s">
        <v>3550</v>
      </c>
      <c r="E120" s="671" t="s">
        <v>3551</v>
      </c>
      <c r="F120" s="238">
        <v>2</v>
      </c>
      <c r="G120" s="238">
        <v>11344</v>
      </c>
      <c r="H120" s="238">
        <v>1</v>
      </c>
      <c r="I120" s="238">
        <v>5672</v>
      </c>
      <c r="J120" s="238">
        <v>2</v>
      </c>
      <c r="K120" s="238">
        <v>11344</v>
      </c>
      <c r="L120" s="238">
        <v>1</v>
      </c>
      <c r="M120" s="238">
        <v>5672</v>
      </c>
      <c r="N120" s="238">
        <v>6</v>
      </c>
      <c r="O120" s="238">
        <v>34032</v>
      </c>
      <c r="P120" s="682">
        <v>3</v>
      </c>
      <c r="Q120" s="713">
        <v>5672</v>
      </c>
    </row>
    <row r="121" spans="1:17" ht="14.4" customHeight="1" x14ac:dyDescent="0.3">
      <c r="A121" s="680" t="s">
        <v>534</v>
      </c>
      <c r="B121" s="671" t="s">
        <v>3416</v>
      </c>
      <c r="C121" s="671" t="s">
        <v>3461</v>
      </c>
      <c r="D121" s="671" t="s">
        <v>3552</v>
      </c>
      <c r="E121" s="671" t="s">
        <v>3553</v>
      </c>
      <c r="F121" s="238">
        <v>1</v>
      </c>
      <c r="G121" s="238">
        <v>1135</v>
      </c>
      <c r="H121" s="238">
        <v>1</v>
      </c>
      <c r="I121" s="238">
        <v>1135</v>
      </c>
      <c r="J121" s="238"/>
      <c r="K121" s="238"/>
      <c r="L121" s="238"/>
      <c r="M121" s="238"/>
      <c r="N121" s="238"/>
      <c r="O121" s="238"/>
      <c r="P121" s="682"/>
      <c r="Q121" s="713"/>
    </row>
    <row r="122" spans="1:17" ht="14.4" customHeight="1" x14ac:dyDescent="0.3">
      <c r="A122" s="680" t="s">
        <v>534</v>
      </c>
      <c r="B122" s="671" t="s">
        <v>3416</v>
      </c>
      <c r="C122" s="671" t="s">
        <v>3461</v>
      </c>
      <c r="D122" s="671" t="s">
        <v>3554</v>
      </c>
      <c r="E122" s="671" t="s">
        <v>3555</v>
      </c>
      <c r="F122" s="238">
        <v>104</v>
      </c>
      <c r="G122" s="238">
        <v>22048</v>
      </c>
      <c r="H122" s="238">
        <v>1</v>
      </c>
      <c r="I122" s="238">
        <v>212</v>
      </c>
      <c r="J122" s="238">
        <v>86</v>
      </c>
      <c r="K122" s="238">
        <v>18232</v>
      </c>
      <c r="L122" s="238">
        <v>0.82692307692307687</v>
      </c>
      <c r="M122" s="238">
        <v>212</v>
      </c>
      <c r="N122" s="238">
        <v>98</v>
      </c>
      <c r="O122" s="238">
        <v>20776</v>
      </c>
      <c r="P122" s="682">
        <v>0.94230769230769229</v>
      </c>
      <c r="Q122" s="713">
        <v>212</v>
      </c>
    </row>
    <row r="123" spans="1:17" ht="14.4" customHeight="1" x14ac:dyDescent="0.3">
      <c r="A123" s="680" t="s">
        <v>534</v>
      </c>
      <c r="B123" s="671" t="s">
        <v>3416</v>
      </c>
      <c r="C123" s="671" t="s">
        <v>3461</v>
      </c>
      <c r="D123" s="671" t="s">
        <v>3556</v>
      </c>
      <c r="E123" s="671" t="s">
        <v>3557</v>
      </c>
      <c r="F123" s="238">
        <v>3</v>
      </c>
      <c r="G123" s="238">
        <v>4140</v>
      </c>
      <c r="H123" s="238">
        <v>1</v>
      </c>
      <c r="I123" s="238">
        <v>1380</v>
      </c>
      <c r="J123" s="238">
        <v>6</v>
      </c>
      <c r="K123" s="238">
        <v>8280</v>
      </c>
      <c r="L123" s="238">
        <v>2</v>
      </c>
      <c r="M123" s="238">
        <v>1380</v>
      </c>
      <c r="N123" s="238"/>
      <c r="O123" s="238"/>
      <c r="P123" s="682"/>
      <c r="Q123" s="713"/>
    </row>
    <row r="124" spans="1:17" ht="14.4" customHeight="1" x14ac:dyDescent="0.3">
      <c r="A124" s="680" t="s">
        <v>534</v>
      </c>
      <c r="B124" s="671" t="s">
        <v>3416</v>
      </c>
      <c r="C124" s="671" t="s">
        <v>3461</v>
      </c>
      <c r="D124" s="671" t="s">
        <v>3558</v>
      </c>
      <c r="E124" s="671" t="s">
        <v>3559</v>
      </c>
      <c r="F124" s="238"/>
      <c r="G124" s="238"/>
      <c r="H124" s="238"/>
      <c r="I124" s="238"/>
      <c r="J124" s="238"/>
      <c r="K124" s="238"/>
      <c r="L124" s="238"/>
      <c r="M124" s="238"/>
      <c r="N124" s="238">
        <v>1</v>
      </c>
      <c r="O124" s="238">
        <v>1404</v>
      </c>
      <c r="P124" s="682"/>
      <c r="Q124" s="713">
        <v>1404</v>
      </c>
    </row>
    <row r="125" spans="1:17" ht="14.4" customHeight="1" x14ac:dyDescent="0.3">
      <c r="A125" s="680" t="s">
        <v>534</v>
      </c>
      <c r="B125" s="671" t="s">
        <v>3416</v>
      </c>
      <c r="C125" s="671" t="s">
        <v>3461</v>
      </c>
      <c r="D125" s="671" t="s">
        <v>3560</v>
      </c>
      <c r="E125" s="671" t="s">
        <v>3561</v>
      </c>
      <c r="F125" s="238">
        <v>1</v>
      </c>
      <c r="G125" s="238">
        <v>1312</v>
      </c>
      <c r="H125" s="238">
        <v>1</v>
      </c>
      <c r="I125" s="238">
        <v>1312</v>
      </c>
      <c r="J125" s="238">
        <v>5</v>
      </c>
      <c r="K125" s="238">
        <v>6560</v>
      </c>
      <c r="L125" s="238">
        <v>5</v>
      </c>
      <c r="M125" s="238">
        <v>1312</v>
      </c>
      <c r="N125" s="238">
        <v>1</v>
      </c>
      <c r="O125" s="238">
        <v>1312</v>
      </c>
      <c r="P125" s="682">
        <v>1</v>
      </c>
      <c r="Q125" s="713">
        <v>1312</v>
      </c>
    </row>
    <row r="126" spans="1:17" ht="14.4" customHeight="1" x14ac:dyDescent="0.3">
      <c r="A126" s="680" t="s">
        <v>534</v>
      </c>
      <c r="B126" s="671" t="s">
        <v>3416</v>
      </c>
      <c r="C126" s="671" t="s">
        <v>3461</v>
      </c>
      <c r="D126" s="671" t="s">
        <v>3562</v>
      </c>
      <c r="E126" s="671" t="s">
        <v>3563</v>
      </c>
      <c r="F126" s="238">
        <v>4</v>
      </c>
      <c r="G126" s="238">
        <v>6240</v>
      </c>
      <c r="H126" s="238">
        <v>1</v>
      </c>
      <c r="I126" s="238">
        <v>1560</v>
      </c>
      <c r="J126" s="238">
        <v>6</v>
      </c>
      <c r="K126" s="238">
        <v>9360</v>
      </c>
      <c r="L126" s="238">
        <v>1.5</v>
      </c>
      <c r="M126" s="238">
        <v>1560</v>
      </c>
      <c r="N126" s="238"/>
      <c r="O126" s="238"/>
      <c r="P126" s="682"/>
      <c r="Q126" s="713"/>
    </row>
    <row r="127" spans="1:17" ht="14.4" customHeight="1" x14ac:dyDescent="0.3">
      <c r="A127" s="680" t="s">
        <v>534</v>
      </c>
      <c r="B127" s="671" t="s">
        <v>3416</v>
      </c>
      <c r="C127" s="671" t="s">
        <v>3461</v>
      </c>
      <c r="D127" s="671" t="s">
        <v>3564</v>
      </c>
      <c r="E127" s="671" t="s">
        <v>3565</v>
      </c>
      <c r="F127" s="238"/>
      <c r="G127" s="238"/>
      <c r="H127" s="238"/>
      <c r="I127" s="238"/>
      <c r="J127" s="238">
        <v>1</v>
      </c>
      <c r="K127" s="238">
        <v>5808.82</v>
      </c>
      <c r="L127" s="238"/>
      <c r="M127" s="238">
        <v>5808.82</v>
      </c>
      <c r="N127" s="238">
        <v>5</v>
      </c>
      <c r="O127" s="238">
        <v>29044.1</v>
      </c>
      <c r="P127" s="682"/>
      <c r="Q127" s="713">
        <v>5808.82</v>
      </c>
    </row>
    <row r="128" spans="1:17" ht="14.4" customHeight="1" x14ac:dyDescent="0.3">
      <c r="A128" s="680" t="s">
        <v>534</v>
      </c>
      <c r="B128" s="671" t="s">
        <v>3416</v>
      </c>
      <c r="C128" s="671" t="s">
        <v>3461</v>
      </c>
      <c r="D128" s="671" t="s">
        <v>3566</v>
      </c>
      <c r="E128" s="671" t="s">
        <v>3567</v>
      </c>
      <c r="F128" s="238"/>
      <c r="G128" s="238"/>
      <c r="H128" s="238"/>
      <c r="I128" s="238"/>
      <c r="J128" s="238">
        <v>1</v>
      </c>
      <c r="K128" s="238">
        <v>8224.58</v>
      </c>
      <c r="L128" s="238"/>
      <c r="M128" s="238">
        <v>8224.58</v>
      </c>
      <c r="N128" s="238">
        <v>5</v>
      </c>
      <c r="O128" s="238">
        <v>41122.9</v>
      </c>
      <c r="P128" s="682"/>
      <c r="Q128" s="713">
        <v>8224.58</v>
      </c>
    </row>
    <row r="129" spans="1:17" ht="14.4" customHeight="1" x14ac:dyDescent="0.3">
      <c r="A129" s="680" t="s">
        <v>534</v>
      </c>
      <c r="B129" s="671" t="s">
        <v>3416</v>
      </c>
      <c r="C129" s="671" t="s">
        <v>3461</v>
      </c>
      <c r="D129" s="671" t="s">
        <v>3568</v>
      </c>
      <c r="E129" s="671" t="s">
        <v>3569</v>
      </c>
      <c r="F129" s="238">
        <v>3</v>
      </c>
      <c r="G129" s="238">
        <v>27478.14</v>
      </c>
      <c r="H129" s="238">
        <v>1</v>
      </c>
      <c r="I129" s="238">
        <v>9159.3799999999992</v>
      </c>
      <c r="J129" s="238"/>
      <c r="K129" s="238"/>
      <c r="L129" s="238"/>
      <c r="M129" s="238"/>
      <c r="N129" s="238">
        <v>2</v>
      </c>
      <c r="O129" s="238">
        <v>18318.759999999998</v>
      </c>
      <c r="P129" s="682">
        <v>0.66666666666666663</v>
      </c>
      <c r="Q129" s="713">
        <v>9159.3799999999992</v>
      </c>
    </row>
    <row r="130" spans="1:17" ht="14.4" customHeight="1" x14ac:dyDescent="0.3">
      <c r="A130" s="680" t="s">
        <v>534</v>
      </c>
      <c r="B130" s="671" t="s">
        <v>3416</v>
      </c>
      <c r="C130" s="671" t="s">
        <v>3461</v>
      </c>
      <c r="D130" s="671" t="s">
        <v>3570</v>
      </c>
      <c r="E130" s="671" t="s">
        <v>3571</v>
      </c>
      <c r="F130" s="238">
        <v>1</v>
      </c>
      <c r="G130" s="238">
        <v>3316.36</v>
      </c>
      <c r="H130" s="238">
        <v>1</v>
      </c>
      <c r="I130" s="238">
        <v>3316.36</v>
      </c>
      <c r="J130" s="238"/>
      <c r="K130" s="238"/>
      <c r="L130" s="238"/>
      <c r="M130" s="238"/>
      <c r="N130" s="238"/>
      <c r="O130" s="238"/>
      <c r="P130" s="682"/>
      <c r="Q130" s="713"/>
    </row>
    <row r="131" spans="1:17" ht="14.4" customHeight="1" x14ac:dyDescent="0.3">
      <c r="A131" s="680" t="s">
        <v>534</v>
      </c>
      <c r="B131" s="671" t="s">
        <v>3416</v>
      </c>
      <c r="C131" s="671" t="s">
        <v>3461</v>
      </c>
      <c r="D131" s="671" t="s">
        <v>3572</v>
      </c>
      <c r="E131" s="671" t="s">
        <v>3573</v>
      </c>
      <c r="F131" s="238">
        <v>43</v>
      </c>
      <c r="G131" s="238">
        <v>53476.52</v>
      </c>
      <c r="H131" s="238">
        <v>1</v>
      </c>
      <c r="I131" s="238">
        <v>1243.6399999999999</v>
      </c>
      <c r="J131" s="238">
        <v>38</v>
      </c>
      <c r="K131" s="238">
        <v>47258.32</v>
      </c>
      <c r="L131" s="238">
        <v>0.88372093023255816</v>
      </c>
      <c r="M131" s="238">
        <v>1243.6400000000001</v>
      </c>
      <c r="N131" s="238">
        <v>52</v>
      </c>
      <c r="O131" s="238">
        <v>64669.279999999999</v>
      </c>
      <c r="P131" s="682">
        <v>1.2093023255813955</v>
      </c>
      <c r="Q131" s="713">
        <v>1243.6399999999999</v>
      </c>
    </row>
    <row r="132" spans="1:17" ht="14.4" customHeight="1" x14ac:dyDescent="0.3">
      <c r="A132" s="680" t="s">
        <v>534</v>
      </c>
      <c r="B132" s="671" t="s">
        <v>3416</v>
      </c>
      <c r="C132" s="671" t="s">
        <v>3461</v>
      </c>
      <c r="D132" s="671" t="s">
        <v>3574</v>
      </c>
      <c r="E132" s="671" t="s">
        <v>3575</v>
      </c>
      <c r="F132" s="238"/>
      <c r="G132" s="238"/>
      <c r="H132" s="238"/>
      <c r="I132" s="238"/>
      <c r="J132" s="238"/>
      <c r="K132" s="238"/>
      <c r="L132" s="238"/>
      <c r="M132" s="238"/>
      <c r="N132" s="238">
        <v>1</v>
      </c>
      <c r="O132" s="238">
        <v>16137.22</v>
      </c>
      <c r="P132" s="682"/>
      <c r="Q132" s="713">
        <v>16137.22</v>
      </c>
    </row>
    <row r="133" spans="1:17" ht="14.4" customHeight="1" x14ac:dyDescent="0.3">
      <c r="A133" s="680" t="s">
        <v>534</v>
      </c>
      <c r="B133" s="671" t="s">
        <v>3416</v>
      </c>
      <c r="C133" s="671" t="s">
        <v>3461</v>
      </c>
      <c r="D133" s="671" t="s">
        <v>3576</v>
      </c>
      <c r="E133" s="671" t="s">
        <v>3577</v>
      </c>
      <c r="F133" s="238"/>
      <c r="G133" s="238"/>
      <c r="H133" s="238"/>
      <c r="I133" s="238"/>
      <c r="J133" s="238">
        <v>15</v>
      </c>
      <c r="K133" s="238">
        <v>24870</v>
      </c>
      <c r="L133" s="238"/>
      <c r="M133" s="238">
        <v>1658</v>
      </c>
      <c r="N133" s="238">
        <v>15</v>
      </c>
      <c r="O133" s="238">
        <v>24870</v>
      </c>
      <c r="P133" s="682"/>
      <c r="Q133" s="713">
        <v>1658</v>
      </c>
    </row>
    <row r="134" spans="1:17" ht="14.4" customHeight="1" x14ac:dyDescent="0.3">
      <c r="A134" s="680" t="s">
        <v>534</v>
      </c>
      <c r="B134" s="671" t="s">
        <v>3416</v>
      </c>
      <c r="C134" s="671" t="s">
        <v>3461</v>
      </c>
      <c r="D134" s="671" t="s">
        <v>3578</v>
      </c>
      <c r="E134" s="671" t="s">
        <v>3579</v>
      </c>
      <c r="F134" s="238">
        <v>1</v>
      </c>
      <c r="G134" s="238">
        <v>8449.4699999999993</v>
      </c>
      <c r="H134" s="238">
        <v>1</v>
      </c>
      <c r="I134" s="238">
        <v>8449.4699999999993</v>
      </c>
      <c r="J134" s="238"/>
      <c r="K134" s="238"/>
      <c r="L134" s="238"/>
      <c r="M134" s="238"/>
      <c r="N134" s="238"/>
      <c r="O134" s="238"/>
      <c r="P134" s="682"/>
      <c r="Q134" s="713"/>
    </row>
    <row r="135" spans="1:17" ht="14.4" customHeight="1" x14ac:dyDescent="0.3">
      <c r="A135" s="680" t="s">
        <v>534</v>
      </c>
      <c r="B135" s="671" t="s">
        <v>3416</v>
      </c>
      <c r="C135" s="671" t="s">
        <v>3461</v>
      </c>
      <c r="D135" s="671" t="s">
        <v>3580</v>
      </c>
      <c r="E135" s="671" t="s">
        <v>3569</v>
      </c>
      <c r="F135" s="238"/>
      <c r="G135" s="238"/>
      <c r="H135" s="238"/>
      <c r="I135" s="238"/>
      <c r="J135" s="238"/>
      <c r="K135" s="238"/>
      <c r="L135" s="238"/>
      <c r="M135" s="238"/>
      <c r="N135" s="238">
        <v>1</v>
      </c>
      <c r="O135" s="238">
        <v>8025.6</v>
      </c>
      <c r="P135" s="682"/>
      <c r="Q135" s="713">
        <v>8025.6</v>
      </c>
    </row>
    <row r="136" spans="1:17" ht="14.4" customHeight="1" x14ac:dyDescent="0.3">
      <c r="A136" s="680" t="s">
        <v>534</v>
      </c>
      <c r="B136" s="671" t="s">
        <v>3416</v>
      </c>
      <c r="C136" s="671" t="s">
        <v>3461</v>
      </c>
      <c r="D136" s="671" t="s">
        <v>3581</v>
      </c>
      <c r="E136" s="671" t="s">
        <v>3582</v>
      </c>
      <c r="F136" s="238">
        <v>35</v>
      </c>
      <c r="G136" s="238">
        <v>39283.300000000003</v>
      </c>
      <c r="H136" s="238">
        <v>1</v>
      </c>
      <c r="I136" s="238">
        <v>1122.3800000000001</v>
      </c>
      <c r="J136" s="238"/>
      <c r="K136" s="238"/>
      <c r="L136" s="238"/>
      <c r="M136" s="238"/>
      <c r="N136" s="238">
        <v>27</v>
      </c>
      <c r="O136" s="238">
        <v>30304.26</v>
      </c>
      <c r="P136" s="682">
        <v>0.77142857142857135</v>
      </c>
      <c r="Q136" s="713">
        <v>1122.3799999999999</v>
      </c>
    </row>
    <row r="137" spans="1:17" ht="14.4" customHeight="1" x14ac:dyDescent="0.3">
      <c r="A137" s="680" t="s">
        <v>534</v>
      </c>
      <c r="B137" s="671" t="s">
        <v>3416</v>
      </c>
      <c r="C137" s="671" t="s">
        <v>3461</v>
      </c>
      <c r="D137" s="671" t="s">
        <v>3583</v>
      </c>
      <c r="E137" s="671" t="s">
        <v>3584</v>
      </c>
      <c r="F137" s="238">
        <v>10</v>
      </c>
      <c r="G137" s="238">
        <v>17876</v>
      </c>
      <c r="H137" s="238">
        <v>1</v>
      </c>
      <c r="I137" s="238">
        <v>1787.6</v>
      </c>
      <c r="J137" s="238">
        <v>15</v>
      </c>
      <c r="K137" s="238">
        <v>26814</v>
      </c>
      <c r="L137" s="238">
        <v>1.5</v>
      </c>
      <c r="M137" s="238">
        <v>1787.6</v>
      </c>
      <c r="N137" s="238">
        <v>60</v>
      </c>
      <c r="O137" s="238">
        <v>107256</v>
      </c>
      <c r="P137" s="682">
        <v>6</v>
      </c>
      <c r="Q137" s="713">
        <v>1787.6</v>
      </c>
    </row>
    <row r="138" spans="1:17" ht="14.4" customHeight="1" x14ac:dyDescent="0.3">
      <c r="A138" s="680" t="s">
        <v>534</v>
      </c>
      <c r="B138" s="671" t="s">
        <v>3416</v>
      </c>
      <c r="C138" s="671" t="s">
        <v>3461</v>
      </c>
      <c r="D138" s="671" t="s">
        <v>3585</v>
      </c>
      <c r="E138" s="671" t="s">
        <v>3586</v>
      </c>
      <c r="F138" s="238">
        <v>1</v>
      </c>
      <c r="G138" s="238">
        <v>58165</v>
      </c>
      <c r="H138" s="238">
        <v>1</v>
      </c>
      <c r="I138" s="238">
        <v>58165</v>
      </c>
      <c r="J138" s="238"/>
      <c r="K138" s="238"/>
      <c r="L138" s="238"/>
      <c r="M138" s="238"/>
      <c r="N138" s="238"/>
      <c r="O138" s="238"/>
      <c r="P138" s="682"/>
      <c r="Q138" s="713"/>
    </row>
    <row r="139" spans="1:17" ht="14.4" customHeight="1" x14ac:dyDescent="0.3">
      <c r="A139" s="680" t="s">
        <v>534</v>
      </c>
      <c r="B139" s="671" t="s">
        <v>3416</v>
      </c>
      <c r="C139" s="671" t="s">
        <v>3461</v>
      </c>
      <c r="D139" s="671" t="s">
        <v>3587</v>
      </c>
      <c r="E139" s="671" t="s">
        <v>3588</v>
      </c>
      <c r="F139" s="238">
        <v>3</v>
      </c>
      <c r="G139" s="238">
        <v>217263.27</v>
      </c>
      <c r="H139" s="238">
        <v>1</v>
      </c>
      <c r="I139" s="238">
        <v>72421.09</v>
      </c>
      <c r="J139" s="238">
        <v>4</v>
      </c>
      <c r="K139" s="238">
        <v>289684.36</v>
      </c>
      <c r="L139" s="238">
        <v>1.3333333333333333</v>
      </c>
      <c r="M139" s="238">
        <v>72421.09</v>
      </c>
      <c r="N139" s="238">
        <v>12</v>
      </c>
      <c r="O139" s="238">
        <v>869053.08000000007</v>
      </c>
      <c r="P139" s="682">
        <v>4.0000000000000009</v>
      </c>
      <c r="Q139" s="713">
        <v>72421.090000000011</v>
      </c>
    </row>
    <row r="140" spans="1:17" ht="14.4" customHeight="1" x14ac:dyDescent="0.3">
      <c r="A140" s="680" t="s">
        <v>534</v>
      </c>
      <c r="B140" s="671" t="s">
        <v>3416</v>
      </c>
      <c r="C140" s="671" t="s">
        <v>3461</v>
      </c>
      <c r="D140" s="671" t="s">
        <v>3589</v>
      </c>
      <c r="E140" s="671" t="s">
        <v>3465</v>
      </c>
      <c r="F140" s="238"/>
      <c r="G140" s="238"/>
      <c r="H140" s="238"/>
      <c r="I140" s="238"/>
      <c r="J140" s="238"/>
      <c r="K140" s="238"/>
      <c r="L140" s="238"/>
      <c r="M140" s="238"/>
      <c r="N140" s="238">
        <v>1</v>
      </c>
      <c r="O140" s="238">
        <v>87846.78</v>
      </c>
      <c r="P140" s="682"/>
      <c r="Q140" s="713">
        <v>87846.78</v>
      </c>
    </row>
    <row r="141" spans="1:17" ht="14.4" customHeight="1" x14ac:dyDescent="0.3">
      <c r="A141" s="680" t="s">
        <v>534</v>
      </c>
      <c r="B141" s="671" t="s">
        <v>3416</v>
      </c>
      <c r="C141" s="671" t="s">
        <v>3461</v>
      </c>
      <c r="D141" s="671" t="s">
        <v>3590</v>
      </c>
      <c r="E141" s="671" t="s">
        <v>3591</v>
      </c>
      <c r="F141" s="238"/>
      <c r="G141" s="238"/>
      <c r="H141" s="238"/>
      <c r="I141" s="238"/>
      <c r="J141" s="238"/>
      <c r="K141" s="238"/>
      <c r="L141" s="238"/>
      <c r="M141" s="238"/>
      <c r="N141" s="238">
        <v>2</v>
      </c>
      <c r="O141" s="238">
        <v>160948.29999999999</v>
      </c>
      <c r="P141" s="682"/>
      <c r="Q141" s="713">
        <v>80474.149999999994</v>
      </c>
    </row>
    <row r="142" spans="1:17" ht="14.4" customHeight="1" x14ac:dyDescent="0.3">
      <c r="A142" s="680" t="s">
        <v>534</v>
      </c>
      <c r="B142" s="671" t="s">
        <v>3416</v>
      </c>
      <c r="C142" s="671" t="s">
        <v>3461</v>
      </c>
      <c r="D142" s="671" t="s">
        <v>3592</v>
      </c>
      <c r="E142" s="671" t="s">
        <v>3593</v>
      </c>
      <c r="F142" s="238">
        <v>1</v>
      </c>
      <c r="G142" s="238">
        <v>12500</v>
      </c>
      <c r="H142" s="238">
        <v>1</v>
      </c>
      <c r="I142" s="238">
        <v>12500</v>
      </c>
      <c r="J142" s="238"/>
      <c r="K142" s="238"/>
      <c r="L142" s="238"/>
      <c r="M142" s="238"/>
      <c r="N142" s="238">
        <v>1</v>
      </c>
      <c r="O142" s="238">
        <v>12500</v>
      </c>
      <c r="P142" s="682">
        <v>1</v>
      </c>
      <c r="Q142" s="713">
        <v>12500</v>
      </c>
    </row>
    <row r="143" spans="1:17" ht="14.4" customHeight="1" x14ac:dyDescent="0.3">
      <c r="A143" s="680" t="s">
        <v>534</v>
      </c>
      <c r="B143" s="671" t="s">
        <v>3416</v>
      </c>
      <c r="C143" s="671" t="s">
        <v>3461</v>
      </c>
      <c r="D143" s="671" t="s">
        <v>3594</v>
      </c>
      <c r="E143" s="671" t="s">
        <v>3595</v>
      </c>
      <c r="F143" s="238">
        <v>2</v>
      </c>
      <c r="G143" s="238">
        <v>115014</v>
      </c>
      <c r="H143" s="238">
        <v>1</v>
      </c>
      <c r="I143" s="238">
        <v>57507</v>
      </c>
      <c r="J143" s="238">
        <v>1</v>
      </c>
      <c r="K143" s="238">
        <v>57507</v>
      </c>
      <c r="L143" s="238">
        <v>0.5</v>
      </c>
      <c r="M143" s="238">
        <v>57507</v>
      </c>
      <c r="N143" s="238"/>
      <c r="O143" s="238"/>
      <c r="P143" s="682"/>
      <c r="Q143" s="713"/>
    </row>
    <row r="144" spans="1:17" ht="14.4" customHeight="1" x14ac:dyDescent="0.3">
      <c r="A144" s="680" t="s">
        <v>534</v>
      </c>
      <c r="B144" s="671" t="s">
        <v>3416</v>
      </c>
      <c r="C144" s="671" t="s">
        <v>3461</v>
      </c>
      <c r="D144" s="671" t="s">
        <v>3596</v>
      </c>
      <c r="E144" s="671" t="s">
        <v>3597</v>
      </c>
      <c r="F144" s="238">
        <v>1</v>
      </c>
      <c r="G144" s="238">
        <v>41638</v>
      </c>
      <c r="H144" s="238">
        <v>1</v>
      </c>
      <c r="I144" s="238">
        <v>41638</v>
      </c>
      <c r="J144" s="238"/>
      <c r="K144" s="238"/>
      <c r="L144" s="238"/>
      <c r="M144" s="238"/>
      <c r="N144" s="238"/>
      <c r="O144" s="238"/>
      <c r="P144" s="682"/>
      <c r="Q144" s="713"/>
    </row>
    <row r="145" spans="1:17" ht="14.4" customHeight="1" x14ac:dyDescent="0.3">
      <c r="A145" s="680" t="s">
        <v>534</v>
      </c>
      <c r="B145" s="671" t="s">
        <v>3416</v>
      </c>
      <c r="C145" s="671" t="s">
        <v>3461</v>
      </c>
      <c r="D145" s="671" t="s">
        <v>3598</v>
      </c>
      <c r="E145" s="671" t="s">
        <v>3599</v>
      </c>
      <c r="F145" s="238"/>
      <c r="G145" s="238"/>
      <c r="H145" s="238"/>
      <c r="I145" s="238"/>
      <c r="J145" s="238"/>
      <c r="K145" s="238"/>
      <c r="L145" s="238"/>
      <c r="M145" s="238"/>
      <c r="N145" s="238">
        <v>4</v>
      </c>
      <c r="O145" s="238">
        <v>54761.440000000002</v>
      </c>
      <c r="P145" s="682"/>
      <c r="Q145" s="713">
        <v>13690.36</v>
      </c>
    </row>
    <row r="146" spans="1:17" ht="14.4" customHeight="1" x14ac:dyDescent="0.3">
      <c r="A146" s="680" t="s">
        <v>534</v>
      </c>
      <c r="B146" s="671" t="s">
        <v>3416</v>
      </c>
      <c r="C146" s="671" t="s">
        <v>3461</v>
      </c>
      <c r="D146" s="671" t="s">
        <v>3600</v>
      </c>
      <c r="E146" s="671" t="s">
        <v>3601</v>
      </c>
      <c r="F146" s="238">
        <v>1</v>
      </c>
      <c r="G146" s="238">
        <v>19400</v>
      </c>
      <c r="H146" s="238">
        <v>1</v>
      </c>
      <c r="I146" s="238">
        <v>19400</v>
      </c>
      <c r="J146" s="238"/>
      <c r="K146" s="238"/>
      <c r="L146" s="238"/>
      <c r="M146" s="238"/>
      <c r="N146" s="238"/>
      <c r="O146" s="238"/>
      <c r="P146" s="682"/>
      <c r="Q146" s="713"/>
    </row>
    <row r="147" spans="1:17" ht="14.4" customHeight="1" x14ac:dyDescent="0.3">
      <c r="A147" s="680" t="s">
        <v>534</v>
      </c>
      <c r="B147" s="671" t="s">
        <v>3416</v>
      </c>
      <c r="C147" s="671" t="s">
        <v>3461</v>
      </c>
      <c r="D147" s="671" t="s">
        <v>3602</v>
      </c>
      <c r="E147" s="671" t="s">
        <v>3603</v>
      </c>
      <c r="F147" s="238"/>
      <c r="G147" s="238"/>
      <c r="H147" s="238"/>
      <c r="I147" s="238"/>
      <c r="J147" s="238">
        <v>1</v>
      </c>
      <c r="K147" s="238">
        <v>53000.05</v>
      </c>
      <c r="L147" s="238"/>
      <c r="M147" s="238">
        <v>53000.05</v>
      </c>
      <c r="N147" s="238"/>
      <c r="O147" s="238"/>
      <c r="P147" s="682"/>
      <c r="Q147" s="713"/>
    </row>
    <row r="148" spans="1:17" ht="14.4" customHeight="1" x14ac:dyDescent="0.3">
      <c r="A148" s="680" t="s">
        <v>534</v>
      </c>
      <c r="B148" s="671" t="s">
        <v>3416</v>
      </c>
      <c r="C148" s="671" t="s">
        <v>3461</v>
      </c>
      <c r="D148" s="671" t="s">
        <v>3604</v>
      </c>
      <c r="E148" s="671" t="s">
        <v>3605</v>
      </c>
      <c r="F148" s="238">
        <v>1</v>
      </c>
      <c r="G148" s="238">
        <v>2487.27</v>
      </c>
      <c r="H148" s="238">
        <v>1</v>
      </c>
      <c r="I148" s="238">
        <v>2487.27</v>
      </c>
      <c r="J148" s="238">
        <v>2</v>
      </c>
      <c r="K148" s="238">
        <v>4974.54</v>
      </c>
      <c r="L148" s="238">
        <v>2</v>
      </c>
      <c r="M148" s="238">
        <v>2487.27</v>
      </c>
      <c r="N148" s="238">
        <v>1</v>
      </c>
      <c r="O148" s="238">
        <v>2487.27</v>
      </c>
      <c r="P148" s="682">
        <v>1</v>
      </c>
      <c r="Q148" s="713">
        <v>2487.27</v>
      </c>
    </row>
    <row r="149" spans="1:17" ht="14.4" customHeight="1" x14ac:dyDescent="0.3">
      <c r="A149" s="680" t="s">
        <v>534</v>
      </c>
      <c r="B149" s="671" t="s">
        <v>3416</v>
      </c>
      <c r="C149" s="671" t="s">
        <v>3303</v>
      </c>
      <c r="D149" s="671" t="s">
        <v>3606</v>
      </c>
      <c r="E149" s="671" t="s">
        <v>3607</v>
      </c>
      <c r="F149" s="238">
        <v>15</v>
      </c>
      <c r="G149" s="238">
        <v>2769</v>
      </c>
      <c r="H149" s="238">
        <v>1</v>
      </c>
      <c r="I149" s="238">
        <v>184.6</v>
      </c>
      <c r="J149" s="238">
        <v>12</v>
      </c>
      <c r="K149" s="238">
        <v>2220</v>
      </c>
      <c r="L149" s="238">
        <v>0.80173347778981585</v>
      </c>
      <c r="M149" s="238">
        <v>185</v>
      </c>
      <c r="N149" s="238">
        <v>15</v>
      </c>
      <c r="O149" s="238">
        <v>2775</v>
      </c>
      <c r="P149" s="682">
        <v>1.0021668472372698</v>
      </c>
      <c r="Q149" s="713">
        <v>185</v>
      </c>
    </row>
    <row r="150" spans="1:17" ht="14.4" customHeight="1" x14ac:dyDescent="0.3">
      <c r="A150" s="680" t="s">
        <v>534</v>
      </c>
      <c r="B150" s="671" t="s">
        <v>3416</v>
      </c>
      <c r="C150" s="671" t="s">
        <v>3303</v>
      </c>
      <c r="D150" s="671" t="s">
        <v>3306</v>
      </c>
      <c r="E150" s="671" t="s">
        <v>3307</v>
      </c>
      <c r="F150" s="238">
        <v>73</v>
      </c>
      <c r="G150" s="238">
        <v>48979</v>
      </c>
      <c r="H150" s="238">
        <v>1</v>
      </c>
      <c r="I150" s="238">
        <v>670.94520547945206</v>
      </c>
      <c r="J150" s="238">
        <v>18</v>
      </c>
      <c r="K150" s="238">
        <v>11610</v>
      </c>
      <c r="L150" s="238">
        <v>0.23704036423773453</v>
      </c>
      <c r="M150" s="238">
        <v>645</v>
      </c>
      <c r="N150" s="238"/>
      <c r="O150" s="238"/>
      <c r="P150" s="682"/>
      <c r="Q150" s="713"/>
    </row>
    <row r="151" spans="1:17" ht="14.4" customHeight="1" x14ac:dyDescent="0.3">
      <c r="A151" s="680" t="s">
        <v>534</v>
      </c>
      <c r="B151" s="671" t="s">
        <v>3416</v>
      </c>
      <c r="C151" s="671" t="s">
        <v>3303</v>
      </c>
      <c r="D151" s="671" t="s">
        <v>3398</v>
      </c>
      <c r="E151" s="671" t="s">
        <v>3399</v>
      </c>
      <c r="F151" s="238">
        <v>2</v>
      </c>
      <c r="G151" s="238">
        <v>602</v>
      </c>
      <c r="H151" s="238">
        <v>1</v>
      </c>
      <c r="I151" s="238">
        <v>301</v>
      </c>
      <c r="J151" s="238">
        <v>4</v>
      </c>
      <c r="K151" s="238">
        <v>1208</v>
      </c>
      <c r="L151" s="238">
        <v>2.0066445182724251</v>
      </c>
      <c r="M151" s="238">
        <v>302</v>
      </c>
      <c r="N151" s="238"/>
      <c r="O151" s="238"/>
      <c r="P151" s="682"/>
      <c r="Q151" s="713"/>
    </row>
    <row r="152" spans="1:17" ht="14.4" customHeight="1" x14ac:dyDescent="0.3">
      <c r="A152" s="680" t="s">
        <v>534</v>
      </c>
      <c r="B152" s="671" t="s">
        <v>3416</v>
      </c>
      <c r="C152" s="671" t="s">
        <v>3303</v>
      </c>
      <c r="D152" s="671" t="s">
        <v>3608</v>
      </c>
      <c r="E152" s="671" t="s">
        <v>3609</v>
      </c>
      <c r="F152" s="238">
        <v>4</v>
      </c>
      <c r="G152" s="238">
        <v>1740</v>
      </c>
      <c r="H152" s="238">
        <v>1</v>
      </c>
      <c r="I152" s="238">
        <v>435</v>
      </c>
      <c r="J152" s="238"/>
      <c r="K152" s="238"/>
      <c r="L152" s="238"/>
      <c r="M152" s="238"/>
      <c r="N152" s="238"/>
      <c r="O152" s="238"/>
      <c r="P152" s="682"/>
      <c r="Q152" s="713"/>
    </row>
    <row r="153" spans="1:17" ht="14.4" customHeight="1" x14ac:dyDescent="0.3">
      <c r="A153" s="680" t="s">
        <v>534</v>
      </c>
      <c r="B153" s="671" t="s">
        <v>3416</v>
      </c>
      <c r="C153" s="671" t="s">
        <v>3303</v>
      </c>
      <c r="D153" s="671" t="s">
        <v>3610</v>
      </c>
      <c r="E153" s="671" t="s">
        <v>3299</v>
      </c>
      <c r="F153" s="238">
        <v>37</v>
      </c>
      <c r="G153" s="238">
        <v>6438</v>
      </c>
      <c r="H153" s="238">
        <v>1</v>
      </c>
      <c r="I153" s="238">
        <v>174</v>
      </c>
      <c r="J153" s="238"/>
      <c r="K153" s="238"/>
      <c r="L153" s="238"/>
      <c r="M153" s="238"/>
      <c r="N153" s="238"/>
      <c r="O153" s="238"/>
      <c r="P153" s="682"/>
      <c r="Q153" s="713"/>
    </row>
    <row r="154" spans="1:17" ht="14.4" customHeight="1" x14ac:dyDescent="0.3">
      <c r="A154" s="680" t="s">
        <v>534</v>
      </c>
      <c r="B154" s="671" t="s">
        <v>3416</v>
      </c>
      <c r="C154" s="671" t="s">
        <v>3303</v>
      </c>
      <c r="D154" s="671" t="s">
        <v>3383</v>
      </c>
      <c r="E154" s="671" t="s">
        <v>3384</v>
      </c>
      <c r="F154" s="238">
        <v>50</v>
      </c>
      <c r="G154" s="238">
        <v>12450</v>
      </c>
      <c r="H154" s="238">
        <v>1</v>
      </c>
      <c r="I154" s="238">
        <v>249</v>
      </c>
      <c r="J154" s="238">
        <v>104</v>
      </c>
      <c r="K154" s="238">
        <v>24128</v>
      </c>
      <c r="L154" s="238">
        <v>1.9379919678714859</v>
      </c>
      <c r="M154" s="238">
        <v>232</v>
      </c>
      <c r="N154" s="238"/>
      <c r="O154" s="238"/>
      <c r="P154" s="682"/>
      <c r="Q154" s="713"/>
    </row>
    <row r="155" spans="1:17" ht="14.4" customHeight="1" x14ac:dyDescent="0.3">
      <c r="A155" s="680" t="s">
        <v>534</v>
      </c>
      <c r="B155" s="671" t="s">
        <v>3416</v>
      </c>
      <c r="C155" s="671" t="s">
        <v>3303</v>
      </c>
      <c r="D155" s="671" t="s">
        <v>3611</v>
      </c>
      <c r="E155" s="671" t="s">
        <v>3612</v>
      </c>
      <c r="F155" s="238">
        <v>1</v>
      </c>
      <c r="G155" s="238">
        <v>935</v>
      </c>
      <c r="H155" s="238">
        <v>1</v>
      </c>
      <c r="I155" s="238">
        <v>935</v>
      </c>
      <c r="J155" s="238">
        <v>1</v>
      </c>
      <c r="K155" s="238">
        <v>939</v>
      </c>
      <c r="L155" s="238">
        <v>1.0042780748663103</v>
      </c>
      <c r="M155" s="238">
        <v>939</v>
      </c>
      <c r="N155" s="238">
        <v>1</v>
      </c>
      <c r="O155" s="238">
        <v>939</v>
      </c>
      <c r="P155" s="682">
        <v>1.0042780748663103</v>
      </c>
      <c r="Q155" s="713">
        <v>939</v>
      </c>
    </row>
    <row r="156" spans="1:17" ht="14.4" customHeight="1" x14ac:dyDescent="0.3">
      <c r="A156" s="680" t="s">
        <v>534</v>
      </c>
      <c r="B156" s="671" t="s">
        <v>3416</v>
      </c>
      <c r="C156" s="671" t="s">
        <v>3303</v>
      </c>
      <c r="D156" s="671" t="s">
        <v>3349</v>
      </c>
      <c r="E156" s="671" t="s">
        <v>3350</v>
      </c>
      <c r="F156" s="238">
        <v>4</v>
      </c>
      <c r="G156" s="238">
        <v>1640</v>
      </c>
      <c r="H156" s="238">
        <v>1</v>
      </c>
      <c r="I156" s="238">
        <v>410</v>
      </c>
      <c r="J156" s="238">
        <v>4</v>
      </c>
      <c r="K156" s="238">
        <v>1644</v>
      </c>
      <c r="L156" s="238">
        <v>1.0024390243902439</v>
      </c>
      <c r="M156" s="238">
        <v>411</v>
      </c>
      <c r="N156" s="238">
        <v>1</v>
      </c>
      <c r="O156" s="238">
        <v>411</v>
      </c>
      <c r="P156" s="682">
        <v>0.25060975609756098</v>
      </c>
      <c r="Q156" s="713">
        <v>411</v>
      </c>
    </row>
    <row r="157" spans="1:17" ht="14.4" customHeight="1" x14ac:dyDescent="0.3">
      <c r="A157" s="680" t="s">
        <v>534</v>
      </c>
      <c r="B157" s="671" t="s">
        <v>3416</v>
      </c>
      <c r="C157" s="671" t="s">
        <v>3303</v>
      </c>
      <c r="D157" s="671" t="s">
        <v>3613</v>
      </c>
      <c r="E157" s="671" t="s">
        <v>3614</v>
      </c>
      <c r="F157" s="238">
        <v>6</v>
      </c>
      <c r="G157" s="238">
        <v>8088</v>
      </c>
      <c r="H157" s="238">
        <v>1</v>
      </c>
      <c r="I157" s="238">
        <v>1348</v>
      </c>
      <c r="J157" s="238">
        <v>1</v>
      </c>
      <c r="K157" s="238">
        <v>1354</v>
      </c>
      <c r="L157" s="238">
        <v>0.16740850642927793</v>
      </c>
      <c r="M157" s="238">
        <v>1354</v>
      </c>
      <c r="N157" s="238"/>
      <c r="O157" s="238"/>
      <c r="P157" s="682"/>
      <c r="Q157" s="713"/>
    </row>
    <row r="158" spans="1:17" ht="14.4" customHeight="1" x14ac:dyDescent="0.3">
      <c r="A158" s="680" t="s">
        <v>534</v>
      </c>
      <c r="B158" s="671" t="s">
        <v>3416</v>
      </c>
      <c r="C158" s="671" t="s">
        <v>3303</v>
      </c>
      <c r="D158" s="671" t="s">
        <v>3615</v>
      </c>
      <c r="E158" s="671" t="s">
        <v>3616</v>
      </c>
      <c r="F158" s="238">
        <v>5</v>
      </c>
      <c r="G158" s="238">
        <v>3984</v>
      </c>
      <c r="H158" s="238">
        <v>1</v>
      </c>
      <c r="I158" s="238">
        <v>796.8</v>
      </c>
      <c r="J158" s="238">
        <v>3</v>
      </c>
      <c r="K158" s="238">
        <v>2412</v>
      </c>
      <c r="L158" s="238">
        <v>0.60542168674698793</v>
      </c>
      <c r="M158" s="238">
        <v>804</v>
      </c>
      <c r="N158" s="238">
        <v>3</v>
      </c>
      <c r="O158" s="238">
        <v>2418</v>
      </c>
      <c r="P158" s="682">
        <v>0.60692771084337349</v>
      </c>
      <c r="Q158" s="713">
        <v>806</v>
      </c>
    </row>
    <row r="159" spans="1:17" ht="14.4" customHeight="1" x14ac:dyDescent="0.3">
      <c r="A159" s="680" t="s">
        <v>534</v>
      </c>
      <c r="B159" s="671" t="s">
        <v>3416</v>
      </c>
      <c r="C159" s="671" t="s">
        <v>3303</v>
      </c>
      <c r="D159" s="671" t="s">
        <v>3617</v>
      </c>
      <c r="E159" s="671" t="s">
        <v>3618</v>
      </c>
      <c r="F159" s="238">
        <v>84</v>
      </c>
      <c r="G159" s="238">
        <v>19402</v>
      </c>
      <c r="H159" s="238">
        <v>1</v>
      </c>
      <c r="I159" s="238">
        <v>230.97619047619048</v>
      </c>
      <c r="J159" s="238">
        <v>39</v>
      </c>
      <c r="K159" s="238">
        <v>9045</v>
      </c>
      <c r="L159" s="238">
        <v>0.46618905267498195</v>
      </c>
      <c r="M159" s="238">
        <v>231.92307692307693</v>
      </c>
      <c r="N159" s="238"/>
      <c r="O159" s="238"/>
      <c r="P159" s="682"/>
      <c r="Q159" s="713"/>
    </row>
    <row r="160" spans="1:17" ht="14.4" customHeight="1" x14ac:dyDescent="0.3">
      <c r="A160" s="680" t="s">
        <v>534</v>
      </c>
      <c r="B160" s="671" t="s">
        <v>3416</v>
      </c>
      <c r="C160" s="671" t="s">
        <v>3303</v>
      </c>
      <c r="D160" s="671" t="s">
        <v>3619</v>
      </c>
      <c r="E160" s="671" t="s">
        <v>3620</v>
      </c>
      <c r="F160" s="238">
        <v>73</v>
      </c>
      <c r="G160" s="238">
        <v>8467</v>
      </c>
      <c r="H160" s="238">
        <v>1</v>
      </c>
      <c r="I160" s="238">
        <v>115.98630136986301</v>
      </c>
      <c r="J160" s="238">
        <v>40</v>
      </c>
      <c r="K160" s="238">
        <v>4640</v>
      </c>
      <c r="L160" s="238">
        <v>0.54800992086925715</v>
      </c>
      <c r="M160" s="238">
        <v>116</v>
      </c>
      <c r="N160" s="238"/>
      <c r="O160" s="238"/>
      <c r="P160" s="682"/>
      <c r="Q160" s="713"/>
    </row>
    <row r="161" spans="1:17" ht="14.4" customHeight="1" x14ac:dyDescent="0.3">
      <c r="A161" s="680" t="s">
        <v>534</v>
      </c>
      <c r="B161" s="671" t="s">
        <v>3416</v>
      </c>
      <c r="C161" s="671" t="s">
        <v>3303</v>
      </c>
      <c r="D161" s="671" t="s">
        <v>3621</v>
      </c>
      <c r="E161" s="671" t="s">
        <v>3622</v>
      </c>
      <c r="F161" s="238">
        <v>45</v>
      </c>
      <c r="G161" s="238">
        <v>40183</v>
      </c>
      <c r="H161" s="238">
        <v>1</v>
      </c>
      <c r="I161" s="238">
        <v>892.95555555555552</v>
      </c>
      <c r="J161" s="238">
        <v>22</v>
      </c>
      <c r="K161" s="238">
        <v>19684</v>
      </c>
      <c r="L161" s="238">
        <v>0.48985889555284573</v>
      </c>
      <c r="M161" s="238">
        <v>894.72727272727275</v>
      </c>
      <c r="N161" s="238"/>
      <c r="O161" s="238"/>
      <c r="P161" s="682"/>
      <c r="Q161" s="713"/>
    </row>
    <row r="162" spans="1:17" ht="14.4" customHeight="1" x14ac:dyDescent="0.3">
      <c r="A162" s="680" t="s">
        <v>534</v>
      </c>
      <c r="B162" s="671" t="s">
        <v>3416</v>
      </c>
      <c r="C162" s="671" t="s">
        <v>3303</v>
      </c>
      <c r="D162" s="671" t="s">
        <v>3623</v>
      </c>
      <c r="E162" s="671" t="s">
        <v>3624</v>
      </c>
      <c r="F162" s="238">
        <v>213</v>
      </c>
      <c r="G162" s="238">
        <v>11928</v>
      </c>
      <c r="H162" s="238">
        <v>1</v>
      </c>
      <c r="I162" s="238">
        <v>56</v>
      </c>
      <c r="J162" s="238">
        <v>56</v>
      </c>
      <c r="K162" s="238">
        <v>3136</v>
      </c>
      <c r="L162" s="238">
        <v>0.26291079812206575</v>
      </c>
      <c r="M162" s="238">
        <v>56</v>
      </c>
      <c r="N162" s="238"/>
      <c r="O162" s="238"/>
      <c r="P162" s="682"/>
      <c r="Q162" s="713"/>
    </row>
    <row r="163" spans="1:17" ht="14.4" customHeight="1" x14ac:dyDescent="0.3">
      <c r="A163" s="680" t="s">
        <v>534</v>
      </c>
      <c r="B163" s="671" t="s">
        <v>3416</v>
      </c>
      <c r="C163" s="671" t="s">
        <v>3303</v>
      </c>
      <c r="D163" s="671" t="s">
        <v>3625</v>
      </c>
      <c r="E163" s="671" t="s">
        <v>3626</v>
      </c>
      <c r="F163" s="238">
        <v>213</v>
      </c>
      <c r="G163" s="238">
        <v>12993</v>
      </c>
      <c r="H163" s="238">
        <v>1</v>
      </c>
      <c r="I163" s="238">
        <v>61</v>
      </c>
      <c r="J163" s="238">
        <v>56</v>
      </c>
      <c r="K163" s="238">
        <v>3416</v>
      </c>
      <c r="L163" s="238">
        <v>0.26291079812206575</v>
      </c>
      <c r="M163" s="238">
        <v>61</v>
      </c>
      <c r="N163" s="238"/>
      <c r="O163" s="238"/>
      <c r="P163" s="682"/>
      <c r="Q163" s="713"/>
    </row>
    <row r="164" spans="1:17" ht="14.4" customHeight="1" x14ac:dyDescent="0.3">
      <c r="A164" s="680" t="s">
        <v>534</v>
      </c>
      <c r="B164" s="671" t="s">
        <v>3416</v>
      </c>
      <c r="C164" s="671" t="s">
        <v>3303</v>
      </c>
      <c r="D164" s="671" t="s">
        <v>3627</v>
      </c>
      <c r="E164" s="671" t="s">
        <v>3628</v>
      </c>
      <c r="F164" s="238">
        <v>0</v>
      </c>
      <c r="G164" s="238">
        <v>0</v>
      </c>
      <c r="H164" s="238"/>
      <c r="I164" s="238"/>
      <c r="J164" s="238">
        <v>0</v>
      </c>
      <c r="K164" s="238">
        <v>0</v>
      </c>
      <c r="L164" s="238"/>
      <c r="M164" s="238"/>
      <c r="N164" s="238">
        <v>0</v>
      </c>
      <c r="O164" s="238">
        <v>0</v>
      </c>
      <c r="P164" s="682"/>
      <c r="Q164" s="713"/>
    </row>
    <row r="165" spans="1:17" ht="14.4" customHeight="1" x14ac:dyDescent="0.3">
      <c r="A165" s="680" t="s">
        <v>534</v>
      </c>
      <c r="B165" s="671" t="s">
        <v>3416</v>
      </c>
      <c r="C165" s="671" t="s">
        <v>3303</v>
      </c>
      <c r="D165" s="671" t="s">
        <v>3629</v>
      </c>
      <c r="E165" s="671" t="s">
        <v>3630</v>
      </c>
      <c r="F165" s="238">
        <v>397</v>
      </c>
      <c r="G165" s="238">
        <v>0</v>
      </c>
      <c r="H165" s="238"/>
      <c r="I165" s="238">
        <v>0</v>
      </c>
      <c r="J165" s="238">
        <v>391</v>
      </c>
      <c r="K165" s="238">
        <v>0</v>
      </c>
      <c r="L165" s="238"/>
      <c r="M165" s="238">
        <v>0</v>
      </c>
      <c r="N165" s="238">
        <v>364</v>
      </c>
      <c r="O165" s="238">
        <v>0</v>
      </c>
      <c r="P165" s="682"/>
      <c r="Q165" s="713">
        <v>0</v>
      </c>
    </row>
    <row r="166" spans="1:17" ht="14.4" customHeight="1" x14ac:dyDescent="0.3">
      <c r="A166" s="680" t="s">
        <v>534</v>
      </c>
      <c r="B166" s="671" t="s">
        <v>3416</v>
      </c>
      <c r="C166" s="671" t="s">
        <v>3303</v>
      </c>
      <c r="D166" s="671" t="s">
        <v>3631</v>
      </c>
      <c r="E166" s="671" t="s">
        <v>3632</v>
      </c>
      <c r="F166" s="238">
        <v>1</v>
      </c>
      <c r="G166" s="238">
        <v>0</v>
      </c>
      <c r="H166" s="238"/>
      <c r="I166" s="238">
        <v>0</v>
      </c>
      <c r="J166" s="238"/>
      <c r="K166" s="238"/>
      <c r="L166" s="238"/>
      <c r="M166" s="238"/>
      <c r="N166" s="238"/>
      <c r="O166" s="238"/>
      <c r="P166" s="682"/>
      <c r="Q166" s="713"/>
    </row>
    <row r="167" spans="1:17" ht="14.4" customHeight="1" x14ac:dyDescent="0.3">
      <c r="A167" s="680" t="s">
        <v>534</v>
      </c>
      <c r="B167" s="671" t="s">
        <v>3416</v>
      </c>
      <c r="C167" s="671" t="s">
        <v>3303</v>
      </c>
      <c r="D167" s="671" t="s">
        <v>3633</v>
      </c>
      <c r="E167" s="671" t="s">
        <v>3299</v>
      </c>
      <c r="F167" s="238">
        <v>20</v>
      </c>
      <c r="G167" s="238">
        <v>0</v>
      </c>
      <c r="H167" s="238"/>
      <c r="I167" s="238">
        <v>0</v>
      </c>
      <c r="J167" s="238">
        <v>1</v>
      </c>
      <c r="K167" s="238">
        <v>0</v>
      </c>
      <c r="L167" s="238"/>
      <c r="M167" s="238">
        <v>0</v>
      </c>
      <c r="N167" s="238"/>
      <c r="O167" s="238"/>
      <c r="P167" s="682"/>
      <c r="Q167" s="713"/>
    </row>
    <row r="168" spans="1:17" ht="14.4" customHeight="1" x14ac:dyDescent="0.3">
      <c r="A168" s="680" t="s">
        <v>534</v>
      </c>
      <c r="B168" s="671" t="s">
        <v>3416</v>
      </c>
      <c r="C168" s="671" t="s">
        <v>3303</v>
      </c>
      <c r="D168" s="671" t="s">
        <v>3634</v>
      </c>
      <c r="E168" s="671" t="s">
        <v>3635</v>
      </c>
      <c r="F168" s="238"/>
      <c r="G168" s="238"/>
      <c r="H168" s="238"/>
      <c r="I168" s="238"/>
      <c r="J168" s="238">
        <v>67</v>
      </c>
      <c r="K168" s="238">
        <v>0</v>
      </c>
      <c r="L168" s="238"/>
      <c r="M168" s="238">
        <v>0</v>
      </c>
      <c r="N168" s="238">
        <v>69</v>
      </c>
      <c r="O168" s="238">
        <v>0</v>
      </c>
      <c r="P168" s="682"/>
      <c r="Q168" s="713">
        <v>0</v>
      </c>
    </row>
    <row r="169" spans="1:17" ht="14.4" customHeight="1" x14ac:dyDescent="0.3">
      <c r="A169" s="680" t="s">
        <v>534</v>
      </c>
      <c r="B169" s="671" t="s">
        <v>3416</v>
      </c>
      <c r="C169" s="671" t="s">
        <v>3303</v>
      </c>
      <c r="D169" s="671" t="s">
        <v>3636</v>
      </c>
      <c r="E169" s="671" t="s">
        <v>3637</v>
      </c>
      <c r="F169" s="238"/>
      <c r="G169" s="238"/>
      <c r="H169" s="238"/>
      <c r="I169" s="238"/>
      <c r="J169" s="238"/>
      <c r="K169" s="238"/>
      <c r="L169" s="238"/>
      <c r="M169" s="238"/>
      <c r="N169" s="238">
        <v>1</v>
      </c>
      <c r="O169" s="238">
        <v>0</v>
      </c>
      <c r="P169" s="682"/>
      <c r="Q169" s="713">
        <v>0</v>
      </c>
    </row>
    <row r="170" spans="1:17" ht="14.4" customHeight="1" x14ac:dyDescent="0.3">
      <c r="A170" s="680" t="s">
        <v>534</v>
      </c>
      <c r="B170" s="671" t="s">
        <v>3416</v>
      </c>
      <c r="C170" s="671" t="s">
        <v>3303</v>
      </c>
      <c r="D170" s="671" t="s">
        <v>3638</v>
      </c>
      <c r="E170" s="671" t="s">
        <v>3639</v>
      </c>
      <c r="F170" s="238"/>
      <c r="G170" s="238"/>
      <c r="H170" s="238"/>
      <c r="I170" s="238"/>
      <c r="J170" s="238">
        <v>3</v>
      </c>
      <c r="K170" s="238">
        <v>0</v>
      </c>
      <c r="L170" s="238"/>
      <c r="M170" s="238">
        <v>0</v>
      </c>
      <c r="N170" s="238">
        <v>7</v>
      </c>
      <c r="O170" s="238">
        <v>0</v>
      </c>
      <c r="P170" s="682"/>
      <c r="Q170" s="713">
        <v>0</v>
      </c>
    </row>
    <row r="171" spans="1:17" ht="14.4" customHeight="1" x14ac:dyDescent="0.3">
      <c r="A171" s="680" t="s">
        <v>534</v>
      </c>
      <c r="B171" s="671" t="s">
        <v>3416</v>
      </c>
      <c r="C171" s="671" t="s">
        <v>3303</v>
      </c>
      <c r="D171" s="671" t="s">
        <v>3640</v>
      </c>
      <c r="E171" s="671" t="s">
        <v>3641</v>
      </c>
      <c r="F171" s="238"/>
      <c r="G171" s="238"/>
      <c r="H171" s="238"/>
      <c r="I171" s="238"/>
      <c r="J171" s="238">
        <v>31</v>
      </c>
      <c r="K171" s="238">
        <v>0</v>
      </c>
      <c r="L171" s="238"/>
      <c r="M171" s="238">
        <v>0</v>
      </c>
      <c r="N171" s="238">
        <v>34</v>
      </c>
      <c r="O171" s="238">
        <v>0</v>
      </c>
      <c r="P171" s="682"/>
      <c r="Q171" s="713">
        <v>0</v>
      </c>
    </row>
    <row r="172" spans="1:17" ht="14.4" customHeight="1" x14ac:dyDescent="0.3">
      <c r="A172" s="680" t="s">
        <v>534</v>
      </c>
      <c r="B172" s="671" t="s">
        <v>3416</v>
      </c>
      <c r="C172" s="671" t="s">
        <v>3303</v>
      </c>
      <c r="D172" s="671" t="s">
        <v>3642</v>
      </c>
      <c r="E172" s="671" t="s">
        <v>3643</v>
      </c>
      <c r="F172" s="238"/>
      <c r="G172" s="238"/>
      <c r="H172" s="238"/>
      <c r="I172" s="238"/>
      <c r="J172" s="238">
        <v>5</v>
      </c>
      <c r="K172" s="238">
        <v>0</v>
      </c>
      <c r="L172" s="238"/>
      <c r="M172" s="238">
        <v>0</v>
      </c>
      <c r="N172" s="238">
        <v>4</v>
      </c>
      <c r="O172" s="238">
        <v>0</v>
      </c>
      <c r="P172" s="682"/>
      <c r="Q172" s="713">
        <v>0</v>
      </c>
    </row>
    <row r="173" spans="1:17" ht="14.4" customHeight="1" x14ac:dyDescent="0.3">
      <c r="A173" s="680" t="s">
        <v>534</v>
      </c>
      <c r="B173" s="671" t="s">
        <v>3416</v>
      </c>
      <c r="C173" s="671" t="s">
        <v>3303</v>
      </c>
      <c r="D173" s="671" t="s">
        <v>3644</v>
      </c>
      <c r="E173" s="671" t="s">
        <v>3645</v>
      </c>
      <c r="F173" s="238"/>
      <c r="G173" s="238"/>
      <c r="H173" s="238"/>
      <c r="I173" s="238"/>
      <c r="J173" s="238"/>
      <c r="K173" s="238"/>
      <c r="L173" s="238"/>
      <c r="M173" s="238"/>
      <c r="N173" s="238">
        <v>2</v>
      </c>
      <c r="O173" s="238">
        <v>0</v>
      </c>
      <c r="P173" s="682"/>
      <c r="Q173" s="713">
        <v>0</v>
      </c>
    </row>
    <row r="174" spans="1:17" ht="14.4" customHeight="1" x14ac:dyDescent="0.3">
      <c r="A174" s="680" t="s">
        <v>534</v>
      </c>
      <c r="B174" s="671" t="s">
        <v>3416</v>
      </c>
      <c r="C174" s="671" t="s">
        <v>3303</v>
      </c>
      <c r="D174" s="671" t="s">
        <v>3646</v>
      </c>
      <c r="E174" s="671" t="s">
        <v>3647</v>
      </c>
      <c r="F174" s="238"/>
      <c r="G174" s="238"/>
      <c r="H174" s="238"/>
      <c r="I174" s="238"/>
      <c r="J174" s="238">
        <v>5</v>
      </c>
      <c r="K174" s="238">
        <v>0</v>
      </c>
      <c r="L174" s="238"/>
      <c r="M174" s="238">
        <v>0</v>
      </c>
      <c r="N174" s="238">
        <v>3</v>
      </c>
      <c r="O174" s="238">
        <v>0</v>
      </c>
      <c r="P174" s="682"/>
      <c r="Q174" s="713">
        <v>0</v>
      </c>
    </row>
    <row r="175" spans="1:17" ht="14.4" customHeight="1" x14ac:dyDescent="0.3">
      <c r="A175" s="680" t="s">
        <v>534</v>
      </c>
      <c r="B175" s="671" t="s">
        <v>3416</v>
      </c>
      <c r="C175" s="671" t="s">
        <v>3303</v>
      </c>
      <c r="D175" s="671" t="s">
        <v>3648</v>
      </c>
      <c r="E175" s="671" t="s">
        <v>3649</v>
      </c>
      <c r="F175" s="238"/>
      <c r="G175" s="238"/>
      <c r="H175" s="238"/>
      <c r="I175" s="238"/>
      <c r="J175" s="238">
        <v>6</v>
      </c>
      <c r="K175" s="238">
        <v>0</v>
      </c>
      <c r="L175" s="238"/>
      <c r="M175" s="238">
        <v>0</v>
      </c>
      <c r="N175" s="238">
        <v>1</v>
      </c>
      <c r="O175" s="238">
        <v>0</v>
      </c>
      <c r="P175" s="682"/>
      <c r="Q175" s="713">
        <v>0</v>
      </c>
    </row>
    <row r="176" spans="1:17" ht="14.4" customHeight="1" x14ac:dyDescent="0.3">
      <c r="A176" s="680" t="s">
        <v>534</v>
      </c>
      <c r="B176" s="671" t="s">
        <v>3416</v>
      </c>
      <c r="C176" s="671" t="s">
        <v>3303</v>
      </c>
      <c r="D176" s="671" t="s">
        <v>3650</v>
      </c>
      <c r="E176" s="671" t="s">
        <v>3651</v>
      </c>
      <c r="F176" s="238"/>
      <c r="G176" s="238"/>
      <c r="H176" s="238"/>
      <c r="I176" s="238"/>
      <c r="J176" s="238">
        <v>35</v>
      </c>
      <c r="K176" s="238">
        <v>0</v>
      </c>
      <c r="L176" s="238"/>
      <c r="M176" s="238">
        <v>0</v>
      </c>
      <c r="N176" s="238">
        <v>46</v>
      </c>
      <c r="O176" s="238">
        <v>0</v>
      </c>
      <c r="P176" s="682"/>
      <c r="Q176" s="713">
        <v>0</v>
      </c>
    </row>
    <row r="177" spans="1:17" ht="14.4" customHeight="1" x14ac:dyDescent="0.3">
      <c r="A177" s="680" t="s">
        <v>534</v>
      </c>
      <c r="B177" s="671" t="s">
        <v>3416</v>
      </c>
      <c r="C177" s="671" t="s">
        <v>3303</v>
      </c>
      <c r="D177" s="671" t="s">
        <v>3652</v>
      </c>
      <c r="E177" s="671" t="s">
        <v>3653</v>
      </c>
      <c r="F177" s="238"/>
      <c r="G177" s="238"/>
      <c r="H177" s="238"/>
      <c r="I177" s="238"/>
      <c r="J177" s="238">
        <v>21</v>
      </c>
      <c r="K177" s="238">
        <v>0</v>
      </c>
      <c r="L177" s="238"/>
      <c r="M177" s="238">
        <v>0</v>
      </c>
      <c r="N177" s="238">
        <v>25</v>
      </c>
      <c r="O177" s="238">
        <v>0</v>
      </c>
      <c r="P177" s="682"/>
      <c r="Q177" s="713">
        <v>0</v>
      </c>
    </row>
    <row r="178" spans="1:17" ht="14.4" customHeight="1" x14ac:dyDescent="0.3">
      <c r="A178" s="680" t="s">
        <v>534</v>
      </c>
      <c r="B178" s="671" t="s">
        <v>3416</v>
      </c>
      <c r="C178" s="671" t="s">
        <v>3303</v>
      </c>
      <c r="D178" s="671" t="s">
        <v>3654</v>
      </c>
      <c r="E178" s="671" t="s">
        <v>3655</v>
      </c>
      <c r="F178" s="238"/>
      <c r="G178" s="238"/>
      <c r="H178" s="238"/>
      <c r="I178" s="238"/>
      <c r="J178" s="238"/>
      <c r="K178" s="238"/>
      <c r="L178" s="238"/>
      <c r="M178" s="238"/>
      <c r="N178" s="238">
        <v>1</v>
      </c>
      <c r="O178" s="238">
        <v>0</v>
      </c>
      <c r="P178" s="682"/>
      <c r="Q178" s="713">
        <v>0</v>
      </c>
    </row>
    <row r="179" spans="1:17" ht="14.4" customHeight="1" x14ac:dyDescent="0.3">
      <c r="A179" s="680" t="s">
        <v>534</v>
      </c>
      <c r="B179" s="671" t="s">
        <v>3416</v>
      </c>
      <c r="C179" s="671" t="s">
        <v>3303</v>
      </c>
      <c r="D179" s="671" t="s">
        <v>3656</v>
      </c>
      <c r="E179" s="671" t="s">
        <v>3657</v>
      </c>
      <c r="F179" s="238"/>
      <c r="G179" s="238"/>
      <c r="H179" s="238"/>
      <c r="I179" s="238"/>
      <c r="J179" s="238">
        <v>1</v>
      </c>
      <c r="K179" s="238">
        <v>0</v>
      </c>
      <c r="L179" s="238"/>
      <c r="M179" s="238">
        <v>0</v>
      </c>
      <c r="N179" s="238">
        <v>1</v>
      </c>
      <c r="O179" s="238">
        <v>0</v>
      </c>
      <c r="P179" s="682"/>
      <c r="Q179" s="713">
        <v>0</v>
      </c>
    </row>
    <row r="180" spans="1:17" ht="14.4" customHeight="1" x14ac:dyDescent="0.3">
      <c r="A180" s="680" t="s">
        <v>534</v>
      </c>
      <c r="B180" s="671" t="s">
        <v>3416</v>
      </c>
      <c r="C180" s="671" t="s">
        <v>3303</v>
      </c>
      <c r="D180" s="671" t="s">
        <v>3658</v>
      </c>
      <c r="E180" s="671" t="s">
        <v>3659</v>
      </c>
      <c r="F180" s="238"/>
      <c r="G180" s="238"/>
      <c r="H180" s="238"/>
      <c r="I180" s="238"/>
      <c r="J180" s="238">
        <v>1</v>
      </c>
      <c r="K180" s="238">
        <v>0</v>
      </c>
      <c r="L180" s="238"/>
      <c r="M180" s="238">
        <v>0</v>
      </c>
      <c r="N180" s="238">
        <v>1</v>
      </c>
      <c r="O180" s="238">
        <v>0</v>
      </c>
      <c r="P180" s="682"/>
      <c r="Q180" s="713">
        <v>0</v>
      </c>
    </row>
    <row r="181" spans="1:17" ht="14.4" customHeight="1" x14ac:dyDescent="0.3">
      <c r="A181" s="680" t="s">
        <v>534</v>
      </c>
      <c r="B181" s="671" t="s">
        <v>3416</v>
      </c>
      <c r="C181" s="671" t="s">
        <v>3303</v>
      </c>
      <c r="D181" s="671" t="s">
        <v>3660</v>
      </c>
      <c r="E181" s="671" t="s">
        <v>3661</v>
      </c>
      <c r="F181" s="238"/>
      <c r="G181" s="238"/>
      <c r="H181" s="238"/>
      <c r="I181" s="238"/>
      <c r="J181" s="238">
        <v>1</v>
      </c>
      <c r="K181" s="238">
        <v>0</v>
      </c>
      <c r="L181" s="238"/>
      <c r="M181" s="238">
        <v>0</v>
      </c>
      <c r="N181" s="238">
        <v>1</v>
      </c>
      <c r="O181" s="238">
        <v>0</v>
      </c>
      <c r="P181" s="682"/>
      <c r="Q181" s="713">
        <v>0</v>
      </c>
    </row>
    <row r="182" spans="1:17" ht="14.4" customHeight="1" x14ac:dyDescent="0.3">
      <c r="A182" s="680" t="s">
        <v>534</v>
      </c>
      <c r="B182" s="671" t="s">
        <v>3416</v>
      </c>
      <c r="C182" s="671" t="s">
        <v>3303</v>
      </c>
      <c r="D182" s="671" t="s">
        <v>3662</v>
      </c>
      <c r="E182" s="671" t="s">
        <v>3663</v>
      </c>
      <c r="F182" s="238"/>
      <c r="G182" s="238"/>
      <c r="H182" s="238"/>
      <c r="I182" s="238"/>
      <c r="J182" s="238">
        <v>16</v>
      </c>
      <c r="K182" s="238">
        <v>0</v>
      </c>
      <c r="L182" s="238"/>
      <c r="M182" s="238">
        <v>0</v>
      </c>
      <c r="N182" s="238">
        <v>18</v>
      </c>
      <c r="O182" s="238">
        <v>0</v>
      </c>
      <c r="P182" s="682"/>
      <c r="Q182" s="713">
        <v>0</v>
      </c>
    </row>
    <row r="183" spans="1:17" ht="14.4" customHeight="1" x14ac:dyDescent="0.3">
      <c r="A183" s="680" t="s">
        <v>534</v>
      </c>
      <c r="B183" s="671" t="s">
        <v>3416</v>
      </c>
      <c r="C183" s="671" t="s">
        <v>3303</v>
      </c>
      <c r="D183" s="671" t="s">
        <v>3664</v>
      </c>
      <c r="E183" s="671" t="s">
        <v>3665</v>
      </c>
      <c r="F183" s="238"/>
      <c r="G183" s="238"/>
      <c r="H183" s="238"/>
      <c r="I183" s="238"/>
      <c r="J183" s="238"/>
      <c r="K183" s="238"/>
      <c r="L183" s="238"/>
      <c r="M183" s="238"/>
      <c r="N183" s="238">
        <v>1</v>
      </c>
      <c r="O183" s="238">
        <v>0</v>
      </c>
      <c r="P183" s="682"/>
      <c r="Q183" s="713">
        <v>0</v>
      </c>
    </row>
    <row r="184" spans="1:17" ht="14.4" customHeight="1" x14ac:dyDescent="0.3">
      <c r="A184" s="680" t="s">
        <v>534</v>
      </c>
      <c r="B184" s="671" t="s">
        <v>3416</v>
      </c>
      <c r="C184" s="671" t="s">
        <v>3303</v>
      </c>
      <c r="D184" s="671" t="s">
        <v>3666</v>
      </c>
      <c r="E184" s="671" t="s">
        <v>3667</v>
      </c>
      <c r="F184" s="238"/>
      <c r="G184" s="238"/>
      <c r="H184" s="238"/>
      <c r="I184" s="238"/>
      <c r="J184" s="238">
        <v>1</v>
      </c>
      <c r="K184" s="238">
        <v>0</v>
      </c>
      <c r="L184" s="238"/>
      <c r="M184" s="238">
        <v>0</v>
      </c>
      <c r="N184" s="238"/>
      <c r="O184" s="238"/>
      <c r="P184" s="682"/>
      <c r="Q184" s="713"/>
    </row>
    <row r="185" spans="1:17" ht="14.4" customHeight="1" x14ac:dyDescent="0.3">
      <c r="A185" s="680" t="s">
        <v>534</v>
      </c>
      <c r="B185" s="671" t="s">
        <v>3416</v>
      </c>
      <c r="C185" s="671" t="s">
        <v>3303</v>
      </c>
      <c r="D185" s="671" t="s">
        <v>3668</v>
      </c>
      <c r="E185" s="671" t="s">
        <v>3669</v>
      </c>
      <c r="F185" s="238"/>
      <c r="G185" s="238"/>
      <c r="H185" s="238"/>
      <c r="I185" s="238"/>
      <c r="J185" s="238">
        <v>2</v>
      </c>
      <c r="K185" s="238">
        <v>0</v>
      </c>
      <c r="L185" s="238"/>
      <c r="M185" s="238">
        <v>0</v>
      </c>
      <c r="N185" s="238"/>
      <c r="O185" s="238"/>
      <c r="P185" s="682"/>
      <c r="Q185" s="713"/>
    </row>
    <row r="186" spans="1:17" ht="14.4" customHeight="1" x14ac:dyDescent="0.3">
      <c r="A186" s="680" t="s">
        <v>534</v>
      </c>
      <c r="B186" s="671" t="s">
        <v>3416</v>
      </c>
      <c r="C186" s="671" t="s">
        <v>3303</v>
      </c>
      <c r="D186" s="671" t="s">
        <v>3670</v>
      </c>
      <c r="E186" s="671" t="s">
        <v>3671</v>
      </c>
      <c r="F186" s="238"/>
      <c r="G186" s="238"/>
      <c r="H186" s="238"/>
      <c r="I186" s="238"/>
      <c r="J186" s="238">
        <v>1</v>
      </c>
      <c r="K186" s="238">
        <v>0</v>
      </c>
      <c r="L186" s="238"/>
      <c r="M186" s="238">
        <v>0</v>
      </c>
      <c r="N186" s="238"/>
      <c r="O186" s="238"/>
      <c r="P186" s="682"/>
      <c r="Q186" s="713"/>
    </row>
    <row r="187" spans="1:17" ht="14.4" customHeight="1" x14ac:dyDescent="0.3">
      <c r="A187" s="680" t="s">
        <v>534</v>
      </c>
      <c r="B187" s="671" t="s">
        <v>3416</v>
      </c>
      <c r="C187" s="671" t="s">
        <v>3303</v>
      </c>
      <c r="D187" s="671" t="s">
        <v>3672</v>
      </c>
      <c r="E187" s="671" t="s">
        <v>3673</v>
      </c>
      <c r="F187" s="238"/>
      <c r="G187" s="238"/>
      <c r="H187" s="238"/>
      <c r="I187" s="238"/>
      <c r="J187" s="238">
        <v>1</v>
      </c>
      <c r="K187" s="238">
        <v>0</v>
      </c>
      <c r="L187" s="238"/>
      <c r="M187" s="238">
        <v>0</v>
      </c>
      <c r="N187" s="238"/>
      <c r="O187" s="238"/>
      <c r="P187" s="682"/>
      <c r="Q187" s="713"/>
    </row>
    <row r="188" spans="1:17" ht="14.4" customHeight="1" x14ac:dyDescent="0.3">
      <c r="A188" s="680" t="s">
        <v>534</v>
      </c>
      <c r="B188" s="671" t="s">
        <v>3416</v>
      </c>
      <c r="C188" s="671" t="s">
        <v>3303</v>
      </c>
      <c r="D188" s="671" t="s">
        <v>3674</v>
      </c>
      <c r="E188" s="671" t="s">
        <v>3675</v>
      </c>
      <c r="F188" s="238"/>
      <c r="G188" s="238"/>
      <c r="H188" s="238"/>
      <c r="I188" s="238"/>
      <c r="J188" s="238">
        <v>2</v>
      </c>
      <c r="K188" s="238">
        <v>0</v>
      </c>
      <c r="L188" s="238"/>
      <c r="M188" s="238">
        <v>0</v>
      </c>
      <c r="N188" s="238"/>
      <c r="O188" s="238"/>
      <c r="P188" s="682"/>
      <c r="Q188" s="713"/>
    </row>
    <row r="189" spans="1:17" ht="14.4" customHeight="1" x14ac:dyDescent="0.3">
      <c r="A189" s="680" t="s">
        <v>534</v>
      </c>
      <c r="B189" s="671" t="s">
        <v>3416</v>
      </c>
      <c r="C189" s="671" t="s">
        <v>3303</v>
      </c>
      <c r="D189" s="671" t="s">
        <v>3676</v>
      </c>
      <c r="E189" s="671" t="s">
        <v>3677</v>
      </c>
      <c r="F189" s="238"/>
      <c r="G189" s="238"/>
      <c r="H189" s="238"/>
      <c r="I189" s="238"/>
      <c r="J189" s="238">
        <v>1</v>
      </c>
      <c r="K189" s="238">
        <v>0</v>
      </c>
      <c r="L189" s="238"/>
      <c r="M189" s="238">
        <v>0</v>
      </c>
      <c r="N189" s="238"/>
      <c r="O189" s="238"/>
      <c r="P189" s="682"/>
      <c r="Q189" s="713"/>
    </row>
    <row r="190" spans="1:17" ht="14.4" customHeight="1" x14ac:dyDescent="0.3">
      <c r="A190" s="680" t="s">
        <v>534</v>
      </c>
      <c r="B190" s="671" t="s">
        <v>3416</v>
      </c>
      <c r="C190" s="671" t="s">
        <v>3303</v>
      </c>
      <c r="D190" s="671" t="s">
        <v>3678</v>
      </c>
      <c r="E190" s="671" t="s">
        <v>3679</v>
      </c>
      <c r="F190" s="238"/>
      <c r="G190" s="238"/>
      <c r="H190" s="238"/>
      <c r="I190" s="238"/>
      <c r="J190" s="238">
        <v>11</v>
      </c>
      <c r="K190" s="238">
        <v>0</v>
      </c>
      <c r="L190" s="238"/>
      <c r="M190" s="238">
        <v>0</v>
      </c>
      <c r="N190" s="238">
        <v>1</v>
      </c>
      <c r="O190" s="238">
        <v>0</v>
      </c>
      <c r="P190" s="682"/>
      <c r="Q190" s="713">
        <v>0</v>
      </c>
    </row>
    <row r="191" spans="1:17" ht="14.4" customHeight="1" x14ac:dyDescent="0.3">
      <c r="A191" s="680" t="s">
        <v>534</v>
      </c>
      <c r="B191" s="671" t="s">
        <v>3416</v>
      </c>
      <c r="C191" s="671" t="s">
        <v>3303</v>
      </c>
      <c r="D191" s="671" t="s">
        <v>3680</v>
      </c>
      <c r="E191" s="671" t="s">
        <v>3681</v>
      </c>
      <c r="F191" s="238"/>
      <c r="G191" s="238"/>
      <c r="H191" s="238"/>
      <c r="I191" s="238"/>
      <c r="J191" s="238">
        <v>1</v>
      </c>
      <c r="K191" s="238">
        <v>0</v>
      </c>
      <c r="L191" s="238"/>
      <c r="M191" s="238">
        <v>0</v>
      </c>
      <c r="N191" s="238"/>
      <c r="O191" s="238"/>
      <c r="P191" s="682"/>
      <c r="Q191" s="713"/>
    </row>
    <row r="192" spans="1:17" ht="14.4" customHeight="1" x14ac:dyDescent="0.3">
      <c r="A192" s="680" t="s">
        <v>534</v>
      </c>
      <c r="B192" s="671" t="s">
        <v>3416</v>
      </c>
      <c r="C192" s="671" t="s">
        <v>3303</v>
      </c>
      <c r="D192" s="671" t="s">
        <v>3682</v>
      </c>
      <c r="E192" s="671" t="s">
        <v>3683</v>
      </c>
      <c r="F192" s="238"/>
      <c r="G192" s="238"/>
      <c r="H192" s="238"/>
      <c r="I192" s="238"/>
      <c r="J192" s="238">
        <v>1</v>
      </c>
      <c r="K192" s="238">
        <v>0</v>
      </c>
      <c r="L192" s="238"/>
      <c r="M192" s="238">
        <v>0</v>
      </c>
      <c r="N192" s="238"/>
      <c r="O192" s="238"/>
      <c r="P192" s="682"/>
      <c r="Q192" s="713"/>
    </row>
    <row r="193" spans="1:17" ht="14.4" customHeight="1" x14ac:dyDescent="0.3">
      <c r="A193" s="680" t="s">
        <v>534</v>
      </c>
      <c r="B193" s="671" t="s">
        <v>3416</v>
      </c>
      <c r="C193" s="671" t="s">
        <v>3303</v>
      </c>
      <c r="D193" s="671" t="s">
        <v>3684</v>
      </c>
      <c r="E193" s="671" t="s">
        <v>3685</v>
      </c>
      <c r="F193" s="238"/>
      <c r="G193" s="238"/>
      <c r="H193" s="238"/>
      <c r="I193" s="238"/>
      <c r="J193" s="238">
        <v>1</v>
      </c>
      <c r="K193" s="238">
        <v>0</v>
      </c>
      <c r="L193" s="238"/>
      <c r="M193" s="238">
        <v>0</v>
      </c>
      <c r="N193" s="238"/>
      <c r="O193" s="238"/>
      <c r="P193" s="682"/>
      <c r="Q193" s="713"/>
    </row>
    <row r="194" spans="1:17" ht="14.4" customHeight="1" x14ac:dyDescent="0.3">
      <c r="A194" s="680" t="s">
        <v>534</v>
      </c>
      <c r="B194" s="671" t="s">
        <v>3416</v>
      </c>
      <c r="C194" s="671" t="s">
        <v>3303</v>
      </c>
      <c r="D194" s="671" t="s">
        <v>3686</v>
      </c>
      <c r="E194" s="671" t="s">
        <v>3687</v>
      </c>
      <c r="F194" s="238"/>
      <c r="G194" s="238"/>
      <c r="H194" s="238"/>
      <c r="I194" s="238"/>
      <c r="J194" s="238">
        <v>1</v>
      </c>
      <c r="K194" s="238">
        <v>0</v>
      </c>
      <c r="L194" s="238"/>
      <c r="M194" s="238">
        <v>0</v>
      </c>
      <c r="N194" s="238"/>
      <c r="O194" s="238"/>
      <c r="P194" s="682"/>
      <c r="Q194" s="713"/>
    </row>
    <row r="195" spans="1:17" ht="14.4" customHeight="1" x14ac:dyDescent="0.3">
      <c r="A195" s="680" t="s">
        <v>534</v>
      </c>
      <c r="B195" s="671" t="s">
        <v>3416</v>
      </c>
      <c r="C195" s="671" t="s">
        <v>3303</v>
      </c>
      <c r="D195" s="671" t="s">
        <v>3688</v>
      </c>
      <c r="E195" s="671" t="s">
        <v>3689</v>
      </c>
      <c r="F195" s="238"/>
      <c r="G195" s="238"/>
      <c r="H195" s="238"/>
      <c r="I195" s="238"/>
      <c r="J195" s="238"/>
      <c r="K195" s="238"/>
      <c r="L195" s="238"/>
      <c r="M195" s="238"/>
      <c r="N195" s="238">
        <v>2</v>
      </c>
      <c r="O195" s="238">
        <v>0</v>
      </c>
      <c r="P195" s="682"/>
      <c r="Q195" s="713">
        <v>0</v>
      </c>
    </row>
    <row r="196" spans="1:17" ht="14.4" customHeight="1" x14ac:dyDescent="0.3">
      <c r="A196" s="680" t="s">
        <v>534</v>
      </c>
      <c r="B196" s="671" t="s">
        <v>3416</v>
      </c>
      <c r="C196" s="671" t="s">
        <v>3303</v>
      </c>
      <c r="D196" s="671" t="s">
        <v>3690</v>
      </c>
      <c r="E196" s="671" t="s">
        <v>3691</v>
      </c>
      <c r="F196" s="238"/>
      <c r="G196" s="238"/>
      <c r="H196" s="238"/>
      <c r="I196" s="238"/>
      <c r="J196" s="238"/>
      <c r="K196" s="238"/>
      <c r="L196" s="238"/>
      <c r="M196" s="238"/>
      <c r="N196" s="238">
        <v>1</v>
      </c>
      <c r="O196" s="238">
        <v>0</v>
      </c>
      <c r="P196" s="682"/>
      <c r="Q196" s="713">
        <v>0</v>
      </c>
    </row>
    <row r="197" spans="1:17" ht="14.4" customHeight="1" x14ac:dyDescent="0.3">
      <c r="A197" s="680" t="s">
        <v>534</v>
      </c>
      <c r="B197" s="671" t="s">
        <v>3416</v>
      </c>
      <c r="C197" s="671" t="s">
        <v>3303</v>
      </c>
      <c r="D197" s="671" t="s">
        <v>3692</v>
      </c>
      <c r="E197" s="671" t="s">
        <v>3693</v>
      </c>
      <c r="F197" s="238">
        <v>1000</v>
      </c>
      <c r="G197" s="238">
        <v>80969</v>
      </c>
      <c r="H197" s="238">
        <v>1</v>
      </c>
      <c r="I197" s="238">
        <v>80.968999999999994</v>
      </c>
      <c r="J197" s="238">
        <v>474</v>
      </c>
      <c r="K197" s="238">
        <v>38805</v>
      </c>
      <c r="L197" s="238">
        <v>0.47925749360866504</v>
      </c>
      <c r="M197" s="238">
        <v>81.867088607594937</v>
      </c>
      <c r="N197" s="238"/>
      <c r="O197" s="238"/>
      <c r="P197" s="682"/>
      <c r="Q197" s="713"/>
    </row>
    <row r="198" spans="1:17" ht="14.4" customHeight="1" x14ac:dyDescent="0.3">
      <c r="A198" s="680" t="s">
        <v>534</v>
      </c>
      <c r="B198" s="671" t="s">
        <v>3416</v>
      </c>
      <c r="C198" s="671" t="s">
        <v>3303</v>
      </c>
      <c r="D198" s="671" t="s">
        <v>3694</v>
      </c>
      <c r="E198" s="671" t="s">
        <v>3695</v>
      </c>
      <c r="F198" s="238">
        <v>213</v>
      </c>
      <c r="G198" s="238">
        <v>6177</v>
      </c>
      <c r="H198" s="238">
        <v>1</v>
      </c>
      <c r="I198" s="238">
        <v>29</v>
      </c>
      <c r="J198" s="238">
        <v>56</v>
      </c>
      <c r="K198" s="238">
        <v>1624</v>
      </c>
      <c r="L198" s="238">
        <v>0.26291079812206575</v>
      </c>
      <c r="M198" s="238">
        <v>29</v>
      </c>
      <c r="N198" s="238"/>
      <c r="O198" s="238"/>
      <c r="P198" s="682"/>
      <c r="Q198" s="713"/>
    </row>
    <row r="199" spans="1:17" ht="14.4" customHeight="1" x14ac:dyDescent="0.3">
      <c r="A199" s="680" t="s">
        <v>534</v>
      </c>
      <c r="B199" s="671" t="s">
        <v>3416</v>
      </c>
      <c r="C199" s="671" t="s">
        <v>3303</v>
      </c>
      <c r="D199" s="671" t="s">
        <v>3696</v>
      </c>
      <c r="E199" s="671" t="s">
        <v>3697</v>
      </c>
      <c r="F199" s="238">
        <v>2</v>
      </c>
      <c r="G199" s="238">
        <v>1702</v>
      </c>
      <c r="H199" s="238">
        <v>1</v>
      </c>
      <c r="I199" s="238">
        <v>851</v>
      </c>
      <c r="J199" s="238"/>
      <c r="K199" s="238"/>
      <c r="L199" s="238"/>
      <c r="M199" s="238"/>
      <c r="N199" s="238"/>
      <c r="O199" s="238"/>
      <c r="P199" s="682"/>
      <c r="Q199" s="713"/>
    </row>
    <row r="200" spans="1:17" ht="14.4" customHeight="1" x14ac:dyDescent="0.3">
      <c r="A200" s="680" t="s">
        <v>534</v>
      </c>
      <c r="B200" s="671" t="s">
        <v>3416</v>
      </c>
      <c r="C200" s="671" t="s">
        <v>3303</v>
      </c>
      <c r="D200" s="671" t="s">
        <v>3698</v>
      </c>
      <c r="E200" s="671" t="s">
        <v>3699</v>
      </c>
      <c r="F200" s="238">
        <v>213</v>
      </c>
      <c r="G200" s="238">
        <v>15123</v>
      </c>
      <c r="H200" s="238">
        <v>1</v>
      </c>
      <c r="I200" s="238">
        <v>71</v>
      </c>
      <c r="J200" s="238">
        <v>56</v>
      </c>
      <c r="K200" s="238">
        <v>3976</v>
      </c>
      <c r="L200" s="238">
        <v>0.26291079812206575</v>
      </c>
      <c r="M200" s="238">
        <v>71</v>
      </c>
      <c r="N200" s="238"/>
      <c r="O200" s="238"/>
      <c r="P200" s="682"/>
      <c r="Q200" s="713"/>
    </row>
    <row r="201" spans="1:17" ht="14.4" customHeight="1" x14ac:dyDescent="0.3">
      <c r="A201" s="680" t="s">
        <v>534</v>
      </c>
      <c r="B201" s="671" t="s">
        <v>3416</v>
      </c>
      <c r="C201" s="671" t="s">
        <v>3303</v>
      </c>
      <c r="D201" s="671" t="s">
        <v>3700</v>
      </c>
      <c r="E201" s="671" t="s">
        <v>3701</v>
      </c>
      <c r="F201" s="238">
        <v>213</v>
      </c>
      <c r="G201" s="238">
        <v>6177</v>
      </c>
      <c r="H201" s="238">
        <v>1</v>
      </c>
      <c r="I201" s="238">
        <v>29</v>
      </c>
      <c r="J201" s="238">
        <v>56</v>
      </c>
      <c r="K201" s="238">
        <v>1624</v>
      </c>
      <c r="L201" s="238">
        <v>0.26291079812206575</v>
      </c>
      <c r="M201" s="238">
        <v>29</v>
      </c>
      <c r="N201" s="238"/>
      <c r="O201" s="238"/>
      <c r="P201" s="682"/>
      <c r="Q201" s="713"/>
    </row>
    <row r="202" spans="1:17" ht="14.4" customHeight="1" x14ac:dyDescent="0.3">
      <c r="A202" s="680" t="s">
        <v>534</v>
      </c>
      <c r="B202" s="671" t="s">
        <v>3416</v>
      </c>
      <c r="C202" s="671" t="s">
        <v>3303</v>
      </c>
      <c r="D202" s="671" t="s">
        <v>3702</v>
      </c>
      <c r="E202" s="671" t="s">
        <v>3703</v>
      </c>
      <c r="F202" s="238"/>
      <c r="G202" s="238"/>
      <c r="H202" s="238"/>
      <c r="I202" s="238"/>
      <c r="J202" s="238">
        <v>79</v>
      </c>
      <c r="K202" s="238">
        <v>0</v>
      </c>
      <c r="L202" s="238"/>
      <c r="M202" s="238">
        <v>0</v>
      </c>
      <c r="N202" s="238">
        <v>82</v>
      </c>
      <c r="O202" s="238">
        <v>0</v>
      </c>
      <c r="P202" s="682"/>
      <c r="Q202" s="713">
        <v>0</v>
      </c>
    </row>
    <row r="203" spans="1:17" ht="14.4" customHeight="1" x14ac:dyDescent="0.3">
      <c r="A203" s="680" t="s">
        <v>534</v>
      </c>
      <c r="B203" s="671" t="s">
        <v>3416</v>
      </c>
      <c r="C203" s="671" t="s">
        <v>3303</v>
      </c>
      <c r="D203" s="671" t="s">
        <v>3704</v>
      </c>
      <c r="E203" s="671" t="s">
        <v>3705</v>
      </c>
      <c r="F203" s="238">
        <v>944</v>
      </c>
      <c r="G203" s="238">
        <v>0</v>
      </c>
      <c r="H203" s="238"/>
      <c r="I203" s="238">
        <v>0</v>
      </c>
      <c r="J203" s="238">
        <v>820</v>
      </c>
      <c r="K203" s="238">
        <v>0</v>
      </c>
      <c r="L203" s="238"/>
      <c r="M203" s="238">
        <v>0</v>
      </c>
      <c r="N203" s="238"/>
      <c r="O203" s="238"/>
      <c r="P203" s="682"/>
      <c r="Q203" s="713"/>
    </row>
    <row r="204" spans="1:17" ht="14.4" customHeight="1" x14ac:dyDescent="0.3">
      <c r="A204" s="680" t="s">
        <v>534</v>
      </c>
      <c r="B204" s="671" t="s">
        <v>3416</v>
      </c>
      <c r="C204" s="671" t="s">
        <v>3303</v>
      </c>
      <c r="D204" s="671" t="s">
        <v>3353</v>
      </c>
      <c r="E204" s="671" t="s">
        <v>3354</v>
      </c>
      <c r="F204" s="238">
        <v>10</v>
      </c>
      <c r="G204" s="238">
        <v>750</v>
      </c>
      <c r="H204" s="238">
        <v>1</v>
      </c>
      <c r="I204" s="238">
        <v>75</v>
      </c>
      <c r="J204" s="238">
        <v>6</v>
      </c>
      <c r="K204" s="238">
        <v>486</v>
      </c>
      <c r="L204" s="238">
        <v>0.64800000000000002</v>
      </c>
      <c r="M204" s="238">
        <v>81</v>
      </c>
      <c r="N204" s="238">
        <v>5</v>
      </c>
      <c r="O204" s="238">
        <v>405</v>
      </c>
      <c r="P204" s="682">
        <v>0.54</v>
      </c>
      <c r="Q204" s="713">
        <v>81</v>
      </c>
    </row>
    <row r="205" spans="1:17" ht="14.4" customHeight="1" x14ac:dyDescent="0.3">
      <c r="A205" s="680" t="s">
        <v>534</v>
      </c>
      <c r="B205" s="671" t="s">
        <v>3416</v>
      </c>
      <c r="C205" s="671" t="s">
        <v>3303</v>
      </c>
      <c r="D205" s="671" t="s">
        <v>3706</v>
      </c>
      <c r="E205" s="671" t="s">
        <v>3707</v>
      </c>
      <c r="F205" s="238">
        <v>1000</v>
      </c>
      <c r="G205" s="238">
        <v>522969</v>
      </c>
      <c r="H205" s="238">
        <v>1</v>
      </c>
      <c r="I205" s="238">
        <v>522.96900000000005</v>
      </c>
      <c r="J205" s="238">
        <v>474</v>
      </c>
      <c r="K205" s="238">
        <v>248313</v>
      </c>
      <c r="L205" s="238">
        <v>0.47481399471096758</v>
      </c>
      <c r="M205" s="238">
        <v>523.86708860759495</v>
      </c>
      <c r="N205" s="238"/>
      <c r="O205" s="238"/>
      <c r="P205" s="682"/>
      <c r="Q205" s="713"/>
    </row>
    <row r="206" spans="1:17" ht="14.4" customHeight="1" x14ac:dyDescent="0.3">
      <c r="A206" s="680" t="s">
        <v>534</v>
      </c>
      <c r="B206" s="671" t="s">
        <v>3416</v>
      </c>
      <c r="C206" s="671" t="s">
        <v>3303</v>
      </c>
      <c r="D206" s="671" t="s">
        <v>3708</v>
      </c>
      <c r="E206" s="671" t="s">
        <v>3709</v>
      </c>
      <c r="F206" s="238">
        <v>213</v>
      </c>
      <c r="G206" s="238">
        <v>4899</v>
      </c>
      <c r="H206" s="238">
        <v>1</v>
      </c>
      <c r="I206" s="238">
        <v>23</v>
      </c>
      <c r="J206" s="238">
        <v>56</v>
      </c>
      <c r="K206" s="238">
        <v>1288</v>
      </c>
      <c r="L206" s="238">
        <v>0.26291079812206575</v>
      </c>
      <c r="M206" s="238">
        <v>23</v>
      </c>
      <c r="N206" s="238"/>
      <c r="O206" s="238"/>
      <c r="P206" s="682"/>
      <c r="Q206" s="713"/>
    </row>
    <row r="207" spans="1:17" ht="14.4" customHeight="1" x14ac:dyDescent="0.3">
      <c r="A207" s="680" t="s">
        <v>534</v>
      </c>
      <c r="B207" s="671" t="s">
        <v>3416</v>
      </c>
      <c r="C207" s="671" t="s">
        <v>3303</v>
      </c>
      <c r="D207" s="671" t="s">
        <v>3710</v>
      </c>
      <c r="E207" s="671" t="s">
        <v>3711</v>
      </c>
      <c r="F207" s="238">
        <v>44</v>
      </c>
      <c r="G207" s="238">
        <v>22214</v>
      </c>
      <c r="H207" s="238">
        <v>1</v>
      </c>
      <c r="I207" s="238">
        <v>504.86363636363637</v>
      </c>
      <c r="J207" s="238">
        <v>40</v>
      </c>
      <c r="K207" s="238">
        <v>20352</v>
      </c>
      <c r="L207" s="238">
        <v>0.91617898622490324</v>
      </c>
      <c r="M207" s="238">
        <v>508.8</v>
      </c>
      <c r="N207" s="238">
        <v>38</v>
      </c>
      <c r="O207" s="238">
        <v>19342</v>
      </c>
      <c r="P207" s="682">
        <v>0.87071216350049518</v>
      </c>
      <c r="Q207" s="713">
        <v>509</v>
      </c>
    </row>
    <row r="208" spans="1:17" ht="14.4" customHeight="1" x14ac:dyDescent="0.3">
      <c r="A208" s="680" t="s">
        <v>534</v>
      </c>
      <c r="B208" s="671" t="s">
        <v>3416</v>
      </c>
      <c r="C208" s="671" t="s">
        <v>3303</v>
      </c>
      <c r="D208" s="671" t="s">
        <v>3712</v>
      </c>
      <c r="E208" s="671" t="s">
        <v>3713</v>
      </c>
      <c r="F208" s="238">
        <v>2</v>
      </c>
      <c r="G208" s="238">
        <v>589</v>
      </c>
      <c r="H208" s="238">
        <v>1</v>
      </c>
      <c r="I208" s="238">
        <v>294.5</v>
      </c>
      <c r="J208" s="238"/>
      <c r="K208" s="238"/>
      <c r="L208" s="238"/>
      <c r="M208" s="238"/>
      <c r="N208" s="238"/>
      <c r="O208" s="238"/>
      <c r="P208" s="682"/>
      <c r="Q208" s="713"/>
    </row>
    <row r="209" spans="1:17" ht="14.4" customHeight="1" x14ac:dyDescent="0.3">
      <c r="A209" s="680" t="s">
        <v>534</v>
      </c>
      <c r="B209" s="671" t="s">
        <v>3416</v>
      </c>
      <c r="C209" s="671" t="s">
        <v>3303</v>
      </c>
      <c r="D209" s="671" t="s">
        <v>3400</v>
      </c>
      <c r="E209" s="671" t="s">
        <v>3401</v>
      </c>
      <c r="F209" s="238">
        <v>18</v>
      </c>
      <c r="G209" s="238">
        <v>159642</v>
      </c>
      <c r="H209" s="238">
        <v>1</v>
      </c>
      <c r="I209" s="238">
        <v>8869</v>
      </c>
      <c r="J209" s="238">
        <v>6</v>
      </c>
      <c r="K209" s="238">
        <v>53234</v>
      </c>
      <c r="L209" s="238">
        <v>0.33345861364803747</v>
      </c>
      <c r="M209" s="238">
        <v>8872.3333333333339</v>
      </c>
      <c r="N209" s="238"/>
      <c r="O209" s="238"/>
      <c r="P209" s="682"/>
      <c r="Q209" s="713"/>
    </row>
    <row r="210" spans="1:17" ht="14.4" customHeight="1" x14ac:dyDescent="0.3">
      <c r="A210" s="680" t="s">
        <v>534</v>
      </c>
      <c r="B210" s="671" t="s">
        <v>3416</v>
      </c>
      <c r="C210" s="671" t="s">
        <v>3303</v>
      </c>
      <c r="D210" s="671" t="s">
        <v>3714</v>
      </c>
      <c r="E210" s="671" t="s">
        <v>3715</v>
      </c>
      <c r="F210" s="238">
        <v>83</v>
      </c>
      <c r="G210" s="238">
        <v>14274</v>
      </c>
      <c r="H210" s="238">
        <v>1</v>
      </c>
      <c r="I210" s="238">
        <v>171.97590361445782</v>
      </c>
      <c r="J210" s="238">
        <v>39</v>
      </c>
      <c r="K210" s="238">
        <v>6708</v>
      </c>
      <c r="L210" s="238">
        <v>0.46994535519125685</v>
      </c>
      <c r="M210" s="238">
        <v>172</v>
      </c>
      <c r="N210" s="238"/>
      <c r="O210" s="238"/>
      <c r="P210" s="682"/>
      <c r="Q210" s="713"/>
    </row>
    <row r="211" spans="1:17" ht="14.4" customHeight="1" x14ac:dyDescent="0.3">
      <c r="A211" s="680" t="s">
        <v>534</v>
      </c>
      <c r="B211" s="671" t="s">
        <v>3416</v>
      </c>
      <c r="C211" s="671" t="s">
        <v>3303</v>
      </c>
      <c r="D211" s="671" t="s">
        <v>3716</v>
      </c>
      <c r="E211" s="671" t="s">
        <v>3717</v>
      </c>
      <c r="F211" s="238">
        <v>713</v>
      </c>
      <c r="G211" s="238">
        <v>692992</v>
      </c>
      <c r="H211" s="238">
        <v>1</v>
      </c>
      <c r="I211" s="238">
        <v>971.93828892005615</v>
      </c>
      <c r="J211" s="238">
        <v>655</v>
      </c>
      <c r="K211" s="238">
        <v>650801</v>
      </c>
      <c r="L211" s="238">
        <v>0.93911762329146653</v>
      </c>
      <c r="M211" s="238">
        <v>993.58931297709921</v>
      </c>
      <c r="N211" s="238">
        <v>712</v>
      </c>
      <c r="O211" s="238">
        <v>700326</v>
      </c>
      <c r="P211" s="682">
        <v>1.0105830947543406</v>
      </c>
      <c r="Q211" s="713">
        <v>983.60393258426961</v>
      </c>
    </row>
    <row r="212" spans="1:17" ht="14.4" customHeight="1" x14ac:dyDescent="0.3">
      <c r="A212" s="680" t="s">
        <v>534</v>
      </c>
      <c r="B212" s="671" t="s">
        <v>3416</v>
      </c>
      <c r="C212" s="671" t="s">
        <v>3303</v>
      </c>
      <c r="D212" s="671" t="s">
        <v>3326</v>
      </c>
      <c r="E212" s="671" t="s">
        <v>3327</v>
      </c>
      <c r="F212" s="238">
        <v>17</v>
      </c>
      <c r="G212" s="238">
        <v>6035</v>
      </c>
      <c r="H212" s="238">
        <v>1</v>
      </c>
      <c r="I212" s="238">
        <v>355</v>
      </c>
      <c r="J212" s="238">
        <v>3</v>
      </c>
      <c r="K212" s="238">
        <v>981</v>
      </c>
      <c r="L212" s="238">
        <v>0.16255178127589065</v>
      </c>
      <c r="M212" s="238">
        <v>327</v>
      </c>
      <c r="N212" s="238"/>
      <c r="O212" s="238"/>
      <c r="P212" s="682"/>
      <c r="Q212" s="713"/>
    </row>
    <row r="213" spans="1:17" ht="14.4" customHeight="1" x14ac:dyDescent="0.3">
      <c r="A213" s="680" t="s">
        <v>534</v>
      </c>
      <c r="B213" s="671" t="s">
        <v>3416</v>
      </c>
      <c r="C213" s="671" t="s">
        <v>3303</v>
      </c>
      <c r="D213" s="671" t="s">
        <v>3718</v>
      </c>
      <c r="E213" s="671" t="s">
        <v>3719</v>
      </c>
      <c r="F213" s="238">
        <v>12</v>
      </c>
      <c r="G213" s="238">
        <v>573012</v>
      </c>
      <c r="H213" s="238">
        <v>1</v>
      </c>
      <c r="I213" s="238">
        <v>47751</v>
      </c>
      <c r="J213" s="238">
        <v>14</v>
      </c>
      <c r="K213" s="238">
        <v>669554</v>
      </c>
      <c r="L213" s="238">
        <v>1.1684816373828122</v>
      </c>
      <c r="M213" s="238">
        <v>47825.285714285717</v>
      </c>
      <c r="N213" s="238">
        <v>16</v>
      </c>
      <c r="O213" s="238">
        <v>765296</v>
      </c>
      <c r="P213" s="682">
        <v>1.3355671434455125</v>
      </c>
      <c r="Q213" s="713">
        <v>47831</v>
      </c>
    </row>
    <row r="214" spans="1:17" ht="14.4" customHeight="1" x14ac:dyDescent="0.3">
      <c r="A214" s="680" t="s">
        <v>534</v>
      </c>
      <c r="B214" s="671" t="s">
        <v>3416</v>
      </c>
      <c r="C214" s="671" t="s">
        <v>3303</v>
      </c>
      <c r="D214" s="671" t="s">
        <v>3720</v>
      </c>
      <c r="E214" s="671" t="s">
        <v>3721</v>
      </c>
      <c r="F214" s="238">
        <v>7</v>
      </c>
      <c r="G214" s="238">
        <v>12726</v>
      </c>
      <c r="H214" s="238">
        <v>1</v>
      </c>
      <c r="I214" s="238">
        <v>1818</v>
      </c>
      <c r="J214" s="238">
        <v>3</v>
      </c>
      <c r="K214" s="238">
        <v>5472</v>
      </c>
      <c r="L214" s="238">
        <v>0.42998585572843001</v>
      </c>
      <c r="M214" s="238">
        <v>1824</v>
      </c>
      <c r="N214" s="238">
        <v>2</v>
      </c>
      <c r="O214" s="238">
        <v>3648</v>
      </c>
      <c r="P214" s="682">
        <v>0.28665723715228664</v>
      </c>
      <c r="Q214" s="713">
        <v>1824</v>
      </c>
    </row>
    <row r="215" spans="1:17" ht="14.4" customHeight="1" x14ac:dyDescent="0.3">
      <c r="A215" s="680" t="s">
        <v>534</v>
      </c>
      <c r="B215" s="671" t="s">
        <v>3416</v>
      </c>
      <c r="C215" s="671" t="s">
        <v>3303</v>
      </c>
      <c r="D215" s="671" t="s">
        <v>3402</v>
      </c>
      <c r="E215" s="671" t="s">
        <v>3403</v>
      </c>
      <c r="F215" s="238">
        <v>438</v>
      </c>
      <c r="G215" s="238">
        <v>316208</v>
      </c>
      <c r="H215" s="238">
        <v>1</v>
      </c>
      <c r="I215" s="238">
        <v>721.93607305936075</v>
      </c>
      <c r="J215" s="238">
        <v>123</v>
      </c>
      <c r="K215" s="238">
        <v>89175</v>
      </c>
      <c r="L215" s="238">
        <v>0.28201373779284522</v>
      </c>
      <c r="M215" s="238">
        <v>725</v>
      </c>
      <c r="N215" s="238"/>
      <c r="O215" s="238"/>
      <c r="P215" s="682"/>
      <c r="Q215" s="713"/>
    </row>
    <row r="216" spans="1:17" ht="14.4" customHeight="1" x14ac:dyDescent="0.3">
      <c r="A216" s="680" t="s">
        <v>534</v>
      </c>
      <c r="B216" s="671" t="s">
        <v>3416</v>
      </c>
      <c r="C216" s="671" t="s">
        <v>3303</v>
      </c>
      <c r="D216" s="671" t="s">
        <v>3359</v>
      </c>
      <c r="E216" s="671" t="s">
        <v>3360</v>
      </c>
      <c r="F216" s="238"/>
      <c r="G216" s="238"/>
      <c r="H216" s="238"/>
      <c r="I216" s="238"/>
      <c r="J216" s="238">
        <v>4</v>
      </c>
      <c r="K216" s="238">
        <v>1722</v>
      </c>
      <c r="L216" s="238"/>
      <c r="M216" s="238">
        <v>430.5</v>
      </c>
      <c r="N216" s="238">
        <v>3</v>
      </c>
      <c r="O216" s="238">
        <v>1293</v>
      </c>
      <c r="P216" s="682"/>
      <c r="Q216" s="713">
        <v>431</v>
      </c>
    </row>
    <row r="217" spans="1:17" ht="14.4" customHeight="1" x14ac:dyDescent="0.3">
      <c r="A217" s="680" t="s">
        <v>534</v>
      </c>
      <c r="B217" s="671" t="s">
        <v>3416</v>
      </c>
      <c r="C217" s="671" t="s">
        <v>3303</v>
      </c>
      <c r="D217" s="671" t="s">
        <v>3722</v>
      </c>
      <c r="E217" s="671" t="s">
        <v>3723</v>
      </c>
      <c r="F217" s="238">
        <v>1</v>
      </c>
      <c r="G217" s="238">
        <v>333</v>
      </c>
      <c r="H217" s="238">
        <v>1</v>
      </c>
      <c r="I217" s="238">
        <v>333</v>
      </c>
      <c r="J217" s="238">
        <v>9</v>
      </c>
      <c r="K217" s="238">
        <v>3009</v>
      </c>
      <c r="L217" s="238">
        <v>9.0360360360360357</v>
      </c>
      <c r="M217" s="238">
        <v>334.33333333333331</v>
      </c>
      <c r="N217" s="238"/>
      <c r="O217" s="238"/>
      <c r="P217" s="682"/>
      <c r="Q217" s="713"/>
    </row>
    <row r="218" spans="1:17" ht="14.4" customHeight="1" x14ac:dyDescent="0.3">
      <c r="A218" s="680" t="s">
        <v>534</v>
      </c>
      <c r="B218" s="671" t="s">
        <v>3416</v>
      </c>
      <c r="C218" s="671" t="s">
        <v>3303</v>
      </c>
      <c r="D218" s="671" t="s">
        <v>3724</v>
      </c>
      <c r="E218" s="671" t="s">
        <v>3725</v>
      </c>
      <c r="F218" s="238">
        <v>4</v>
      </c>
      <c r="G218" s="238">
        <v>3368</v>
      </c>
      <c r="H218" s="238">
        <v>1</v>
      </c>
      <c r="I218" s="238">
        <v>842</v>
      </c>
      <c r="J218" s="238">
        <v>11</v>
      </c>
      <c r="K218" s="238">
        <v>9280</v>
      </c>
      <c r="L218" s="238">
        <v>2.7553444180522564</v>
      </c>
      <c r="M218" s="238">
        <v>843.63636363636363</v>
      </c>
      <c r="N218" s="238">
        <v>1</v>
      </c>
      <c r="O218" s="238">
        <v>845</v>
      </c>
      <c r="P218" s="682">
        <v>0.25089073634204273</v>
      </c>
      <c r="Q218" s="713">
        <v>845</v>
      </c>
    </row>
    <row r="219" spans="1:17" ht="14.4" customHeight="1" x14ac:dyDescent="0.3">
      <c r="A219" s="680" t="s">
        <v>534</v>
      </c>
      <c r="B219" s="671" t="s">
        <v>3416</v>
      </c>
      <c r="C219" s="671" t="s">
        <v>3303</v>
      </c>
      <c r="D219" s="671" t="s">
        <v>3363</v>
      </c>
      <c r="E219" s="671" t="s">
        <v>3364</v>
      </c>
      <c r="F219" s="238"/>
      <c r="G219" s="238"/>
      <c r="H219" s="238"/>
      <c r="I219" s="238"/>
      <c r="J219" s="238">
        <v>56</v>
      </c>
      <c r="K219" s="238">
        <v>19264</v>
      </c>
      <c r="L219" s="238"/>
      <c r="M219" s="238">
        <v>344</v>
      </c>
      <c r="N219" s="238"/>
      <c r="O219" s="238"/>
      <c r="P219" s="682"/>
      <c r="Q219" s="713"/>
    </row>
    <row r="220" spans="1:17" ht="14.4" customHeight="1" x14ac:dyDescent="0.3">
      <c r="A220" s="680" t="s">
        <v>534</v>
      </c>
      <c r="B220" s="671" t="s">
        <v>3416</v>
      </c>
      <c r="C220" s="671" t="s">
        <v>3303</v>
      </c>
      <c r="D220" s="671" t="s">
        <v>3726</v>
      </c>
      <c r="E220" s="671" t="s">
        <v>3727</v>
      </c>
      <c r="F220" s="238">
        <v>110</v>
      </c>
      <c r="G220" s="238">
        <v>42455</v>
      </c>
      <c r="H220" s="238">
        <v>1</v>
      </c>
      <c r="I220" s="238">
        <v>385.95454545454544</v>
      </c>
      <c r="J220" s="238">
        <v>68</v>
      </c>
      <c r="K220" s="238">
        <v>26313</v>
      </c>
      <c r="L220" s="238">
        <v>0.6197856553998351</v>
      </c>
      <c r="M220" s="238">
        <v>386.95588235294116</v>
      </c>
      <c r="N220" s="238"/>
      <c r="O220" s="238"/>
      <c r="P220" s="682"/>
      <c r="Q220" s="713"/>
    </row>
    <row r="221" spans="1:17" ht="14.4" customHeight="1" x14ac:dyDescent="0.3">
      <c r="A221" s="680" t="s">
        <v>534</v>
      </c>
      <c r="B221" s="671" t="s">
        <v>3416</v>
      </c>
      <c r="C221" s="671" t="s">
        <v>3303</v>
      </c>
      <c r="D221" s="671" t="s">
        <v>3728</v>
      </c>
      <c r="E221" s="671" t="s">
        <v>3729</v>
      </c>
      <c r="F221" s="238">
        <v>28</v>
      </c>
      <c r="G221" s="238">
        <v>24052</v>
      </c>
      <c r="H221" s="238">
        <v>1</v>
      </c>
      <c r="I221" s="238">
        <v>859</v>
      </c>
      <c r="J221" s="238">
        <v>11</v>
      </c>
      <c r="K221" s="238">
        <v>9460</v>
      </c>
      <c r="L221" s="238">
        <v>0.39331448528188923</v>
      </c>
      <c r="M221" s="238">
        <v>860</v>
      </c>
      <c r="N221" s="238"/>
      <c r="O221" s="238"/>
      <c r="P221" s="682"/>
      <c r="Q221" s="713"/>
    </row>
    <row r="222" spans="1:17" ht="14.4" customHeight="1" x14ac:dyDescent="0.3">
      <c r="A222" s="680" t="s">
        <v>534</v>
      </c>
      <c r="B222" s="671" t="s">
        <v>3416</v>
      </c>
      <c r="C222" s="671" t="s">
        <v>3303</v>
      </c>
      <c r="D222" s="671" t="s">
        <v>3730</v>
      </c>
      <c r="E222" s="671" t="s">
        <v>3731</v>
      </c>
      <c r="F222" s="238"/>
      <c r="G222" s="238"/>
      <c r="H222" s="238"/>
      <c r="I222" s="238"/>
      <c r="J222" s="238">
        <v>6</v>
      </c>
      <c r="K222" s="238">
        <v>0</v>
      </c>
      <c r="L222" s="238"/>
      <c r="M222" s="238">
        <v>0</v>
      </c>
      <c r="N222" s="238">
        <v>7</v>
      </c>
      <c r="O222" s="238">
        <v>0</v>
      </c>
      <c r="P222" s="682"/>
      <c r="Q222" s="713">
        <v>0</v>
      </c>
    </row>
    <row r="223" spans="1:17" ht="14.4" customHeight="1" x14ac:dyDescent="0.3">
      <c r="A223" s="680" t="s">
        <v>534</v>
      </c>
      <c r="B223" s="671" t="s">
        <v>3416</v>
      </c>
      <c r="C223" s="671" t="s">
        <v>3303</v>
      </c>
      <c r="D223" s="671" t="s">
        <v>3732</v>
      </c>
      <c r="E223" s="671" t="s">
        <v>3733</v>
      </c>
      <c r="F223" s="238"/>
      <c r="G223" s="238"/>
      <c r="H223" s="238"/>
      <c r="I223" s="238"/>
      <c r="J223" s="238">
        <v>65</v>
      </c>
      <c r="K223" s="238">
        <v>0</v>
      </c>
      <c r="L223" s="238"/>
      <c r="M223" s="238">
        <v>0</v>
      </c>
      <c r="N223" s="238">
        <v>75</v>
      </c>
      <c r="O223" s="238">
        <v>0</v>
      </c>
      <c r="P223" s="682"/>
      <c r="Q223" s="713">
        <v>0</v>
      </c>
    </row>
    <row r="224" spans="1:17" ht="14.4" customHeight="1" x14ac:dyDescent="0.3">
      <c r="A224" s="680" t="s">
        <v>534</v>
      </c>
      <c r="B224" s="671" t="s">
        <v>3416</v>
      </c>
      <c r="C224" s="671" t="s">
        <v>3303</v>
      </c>
      <c r="D224" s="671" t="s">
        <v>3734</v>
      </c>
      <c r="E224" s="671" t="s">
        <v>3735</v>
      </c>
      <c r="F224" s="238">
        <v>69</v>
      </c>
      <c r="G224" s="238">
        <v>2598792</v>
      </c>
      <c r="H224" s="238">
        <v>1</v>
      </c>
      <c r="I224" s="238">
        <v>37663.65217391304</v>
      </c>
      <c r="J224" s="238">
        <v>59</v>
      </c>
      <c r="K224" s="238">
        <v>2226227</v>
      </c>
      <c r="L224" s="238">
        <v>0.85663916157968778</v>
      </c>
      <c r="M224" s="238">
        <v>37732.661016949154</v>
      </c>
      <c r="N224" s="238">
        <v>62</v>
      </c>
      <c r="O224" s="238">
        <v>2339570</v>
      </c>
      <c r="P224" s="682">
        <v>0.90025288672583259</v>
      </c>
      <c r="Q224" s="713">
        <v>37735</v>
      </c>
    </row>
    <row r="225" spans="1:17" ht="14.4" customHeight="1" x14ac:dyDescent="0.3">
      <c r="A225" s="680" t="s">
        <v>534</v>
      </c>
      <c r="B225" s="671" t="s">
        <v>3416</v>
      </c>
      <c r="C225" s="671" t="s">
        <v>3303</v>
      </c>
      <c r="D225" s="671" t="s">
        <v>3736</v>
      </c>
      <c r="E225" s="671" t="s">
        <v>3729</v>
      </c>
      <c r="F225" s="238">
        <v>972</v>
      </c>
      <c r="G225" s="238">
        <v>915593</v>
      </c>
      <c r="H225" s="238">
        <v>1</v>
      </c>
      <c r="I225" s="238">
        <v>941.9681069958848</v>
      </c>
      <c r="J225" s="238">
        <v>463</v>
      </c>
      <c r="K225" s="238">
        <v>436546</v>
      </c>
      <c r="L225" s="238">
        <v>0.47679045165264478</v>
      </c>
      <c r="M225" s="238">
        <v>942.86393088552916</v>
      </c>
      <c r="N225" s="238"/>
      <c r="O225" s="238"/>
      <c r="P225" s="682"/>
      <c r="Q225" s="713"/>
    </row>
    <row r="226" spans="1:17" ht="14.4" customHeight="1" x14ac:dyDescent="0.3">
      <c r="A226" s="680" t="s">
        <v>534</v>
      </c>
      <c r="B226" s="671" t="s">
        <v>3416</v>
      </c>
      <c r="C226" s="671" t="s">
        <v>3303</v>
      </c>
      <c r="D226" s="671" t="s">
        <v>3737</v>
      </c>
      <c r="E226" s="671" t="s">
        <v>3738</v>
      </c>
      <c r="F226" s="238"/>
      <c r="G226" s="238"/>
      <c r="H226" s="238"/>
      <c r="I226" s="238"/>
      <c r="J226" s="238">
        <v>32</v>
      </c>
      <c r="K226" s="238">
        <v>0</v>
      </c>
      <c r="L226" s="238"/>
      <c r="M226" s="238">
        <v>0</v>
      </c>
      <c r="N226" s="238">
        <v>42</v>
      </c>
      <c r="O226" s="238">
        <v>0</v>
      </c>
      <c r="P226" s="682"/>
      <c r="Q226" s="713">
        <v>0</v>
      </c>
    </row>
    <row r="227" spans="1:17" ht="14.4" customHeight="1" x14ac:dyDescent="0.3">
      <c r="A227" s="680" t="s">
        <v>534</v>
      </c>
      <c r="B227" s="671" t="s">
        <v>3416</v>
      </c>
      <c r="C227" s="671" t="s">
        <v>3303</v>
      </c>
      <c r="D227" s="671" t="s">
        <v>3739</v>
      </c>
      <c r="E227" s="671" t="s">
        <v>3740</v>
      </c>
      <c r="F227" s="238"/>
      <c r="G227" s="238"/>
      <c r="H227" s="238"/>
      <c r="I227" s="238"/>
      <c r="J227" s="238"/>
      <c r="K227" s="238"/>
      <c r="L227" s="238"/>
      <c r="M227" s="238"/>
      <c r="N227" s="238">
        <v>86</v>
      </c>
      <c r="O227" s="238">
        <v>29584</v>
      </c>
      <c r="P227" s="682"/>
      <c r="Q227" s="713">
        <v>344</v>
      </c>
    </row>
    <row r="228" spans="1:17" ht="14.4" customHeight="1" x14ac:dyDescent="0.3">
      <c r="A228" s="680" t="s">
        <v>534</v>
      </c>
      <c r="B228" s="671" t="s">
        <v>3416</v>
      </c>
      <c r="C228" s="671" t="s">
        <v>3303</v>
      </c>
      <c r="D228" s="671" t="s">
        <v>3741</v>
      </c>
      <c r="E228" s="671" t="s">
        <v>3299</v>
      </c>
      <c r="F228" s="238">
        <v>64</v>
      </c>
      <c r="G228" s="238">
        <v>0</v>
      </c>
      <c r="H228" s="238"/>
      <c r="I228" s="238">
        <v>0</v>
      </c>
      <c r="J228" s="238">
        <v>2</v>
      </c>
      <c r="K228" s="238">
        <v>0</v>
      </c>
      <c r="L228" s="238"/>
      <c r="M228" s="238">
        <v>0</v>
      </c>
      <c r="N228" s="238"/>
      <c r="O228" s="238"/>
      <c r="P228" s="682"/>
      <c r="Q228" s="713"/>
    </row>
    <row r="229" spans="1:17" ht="14.4" customHeight="1" x14ac:dyDescent="0.3">
      <c r="A229" s="680" t="s">
        <v>534</v>
      </c>
      <c r="B229" s="671" t="s">
        <v>3416</v>
      </c>
      <c r="C229" s="671" t="s">
        <v>3303</v>
      </c>
      <c r="D229" s="671" t="s">
        <v>3742</v>
      </c>
      <c r="E229" s="671" t="s">
        <v>3743</v>
      </c>
      <c r="F229" s="238">
        <v>27</v>
      </c>
      <c r="G229" s="238">
        <v>0</v>
      </c>
      <c r="H229" s="238"/>
      <c r="I229" s="238">
        <v>0</v>
      </c>
      <c r="J229" s="238">
        <v>34</v>
      </c>
      <c r="K229" s="238">
        <v>0</v>
      </c>
      <c r="L229" s="238"/>
      <c r="M229" s="238">
        <v>0</v>
      </c>
      <c r="N229" s="238">
        <v>45</v>
      </c>
      <c r="O229" s="238">
        <v>0</v>
      </c>
      <c r="P229" s="682"/>
      <c r="Q229" s="713">
        <v>0</v>
      </c>
    </row>
    <row r="230" spans="1:17" ht="14.4" customHeight="1" x14ac:dyDescent="0.3">
      <c r="A230" s="680" t="s">
        <v>534</v>
      </c>
      <c r="B230" s="671" t="s">
        <v>3416</v>
      </c>
      <c r="C230" s="671" t="s">
        <v>3303</v>
      </c>
      <c r="D230" s="671" t="s">
        <v>3744</v>
      </c>
      <c r="E230" s="671" t="s">
        <v>3745</v>
      </c>
      <c r="F230" s="238"/>
      <c r="G230" s="238"/>
      <c r="H230" s="238"/>
      <c r="I230" s="238"/>
      <c r="J230" s="238">
        <v>7</v>
      </c>
      <c r="K230" s="238">
        <v>0</v>
      </c>
      <c r="L230" s="238"/>
      <c r="M230" s="238">
        <v>0</v>
      </c>
      <c r="N230" s="238">
        <v>4</v>
      </c>
      <c r="O230" s="238">
        <v>0</v>
      </c>
      <c r="P230" s="682"/>
      <c r="Q230" s="713">
        <v>0</v>
      </c>
    </row>
    <row r="231" spans="1:17" ht="14.4" customHeight="1" x14ac:dyDescent="0.3">
      <c r="A231" s="680" t="s">
        <v>534</v>
      </c>
      <c r="B231" s="671" t="s">
        <v>3416</v>
      </c>
      <c r="C231" s="671" t="s">
        <v>3303</v>
      </c>
      <c r="D231" s="671" t="s">
        <v>3746</v>
      </c>
      <c r="E231" s="671" t="s">
        <v>3747</v>
      </c>
      <c r="F231" s="238"/>
      <c r="G231" s="238"/>
      <c r="H231" s="238"/>
      <c r="I231" s="238"/>
      <c r="J231" s="238">
        <v>3</v>
      </c>
      <c r="K231" s="238">
        <v>0</v>
      </c>
      <c r="L231" s="238"/>
      <c r="M231" s="238">
        <v>0</v>
      </c>
      <c r="N231" s="238">
        <v>6</v>
      </c>
      <c r="O231" s="238">
        <v>0</v>
      </c>
      <c r="P231" s="682"/>
      <c r="Q231" s="713">
        <v>0</v>
      </c>
    </row>
    <row r="232" spans="1:17" ht="14.4" customHeight="1" x14ac:dyDescent="0.3">
      <c r="A232" s="680" t="s">
        <v>534</v>
      </c>
      <c r="B232" s="671" t="s">
        <v>3416</v>
      </c>
      <c r="C232" s="671" t="s">
        <v>3303</v>
      </c>
      <c r="D232" s="671" t="s">
        <v>3748</v>
      </c>
      <c r="E232" s="671" t="s">
        <v>3749</v>
      </c>
      <c r="F232" s="238"/>
      <c r="G232" s="238"/>
      <c r="H232" s="238"/>
      <c r="I232" s="238"/>
      <c r="J232" s="238"/>
      <c r="K232" s="238"/>
      <c r="L232" s="238"/>
      <c r="M232" s="238"/>
      <c r="N232" s="238">
        <v>1</v>
      </c>
      <c r="O232" s="238">
        <v>0</v>
      </c>
      <c r="P232" s="682"/>
      <c r="Q232" s="713">
        <v>0</v>
      </c>
    </row>
    <row r="233" spans="1:17" ht="14.4" customHeight="1" x14ac:dyDescent="0.3">
      <c r="A233" s="680" t="s">
        <v>534</v>
      </c>
      <c r="B233" s="671" t="s">
        <v>3416</v>
      </c>
      <c r="C233" s="671" t="s">
        <v>3303</v>
      </c>
      <c r="D233" s="671" t="s">
        <v>3750</v>
      </c>
      <c r="E233" s="671" t="s">
        <v>3751</v>
      </c>
      <c r="F233" s="238"/>
      <c r="G233" s="238"/>
      <c r="H233" s="238"/>
      <c r="I233" s="238"/>
      <c r="J233" s="238">
        <v>11</v>
      </c>
      <c r="K233" s="238">
        <v>0</v>
      </c>
      <c r="L233" s="238"/>
      <c r="M233" s="238">
        <v>0</v>
      </c>
      <c r="N233" s="238">
        <v>17</v>
      </c>
      <c r="O233" s="238">
        <v>0</v>
      </c>
      <c r="P233" s="682"/>
      <c r="Q233" s="713">
        <v>0</v>
      </c>
    </row>
    <row r="234" spans="1:17" ht="14.4" customHeight="1" x14ac:dyDescent="0.3">
      <c r="A234" s="680" t="s">
        <v>534</v>
      </c>
      <c r="B234" s="671" t="s">
        <v>3416</v>
      </c>
      <c r="C234" s="671" t="s">
        <v>3303</v>
      </c>
      <c r="D234" s="671" t="s">
        <v>3752</v>
      </c>
      <c r="E234" s="671" t="s">
        <v>3753</v>
      </c>
      <c r="F234" s="238">
        <v>3</v>
      </c>
      <c r="G234" s="238">
        <v>5010</v>
      </c>
      <c r="H234" s="238">
        <v>1</v>
      </c>
      <c r="I234" s="238">
        <v>1670</v>
      </c>
      <c r="J234" s="238">
        <v>2</v>
      </c>
      <c r="K234" s="238">
        <v>3351</v>
      </c>
      <c r="L234" s="238">
        <v>0.66886227544910182</v>
      </c>
      <c r="M234" s="238">
        <v>1675.5</v>
      </c>
      <c r="N234" s="238"/>
      <c r="O234" s="238"/>
      <c r="P234" s="682"/>
      <c r="Q234" s="713"/>
    </row>
    <row r="235" spans="1:17" ht="14.4" customHeight="1" x14ac:dyDescent="0.3">
      <c r="A235" s="680" t="s">
        <v>534</v>
      </c>
      <c r="B235" s="671" t="s">
        <v>3416</v>
      </c>
      <c r="C235" s="671" t="s">
        <v>3303</v>
      </c>
      <c r="D235" s="671" t="s">
        <v>3754</v>
      </c>
      <c r="E235" s="671" t="s">
        <v>3755</v>
      </c>
      <c r="F235" s="238">
        <v>8</v>
      </c>
      <c r="G235" s="238">
        <v>54546</v>
      </c>
      <c r="H235" s="238">
        <v>1</v>
      </c>
      <c r="I235" s="238">
        <v>6818.25</v>
      </c>
      <c r="J235" s="238">
        <v>7</v>
      </c>
      <c r="K235" s="238">
        <v>47859</v>
      </c>
      <c r="L235" s="238">
        <v>0.87740622593774065</v>
      </c>
      <c r="M235" s="238">
        <v>6837</v>
      </c>
      <c r="N235" s="238">
        <v>2</v>
      </c>
      <c r="O235" s="238">
        <v>13674</v>
      </c>
      <c r="P235" s="682">
        <v>0.25068749312506877</v>
      </c>
      <c r="Q235" s="713">
        <v>6837</v>
      </c>
    </row>
    <row r="236" spans="1:17" ht="14.4" customHeight="1" x14ac:dyDescent="0.3">
      <c r="A236" s="680" t="s">
        <v>534</v>
      </c>
      <c r="B236" s="671" t="s">
        <v>3416</v>
      </c>
      <c r="C236" s="671" t="s">
        <v>3303</v>
      </c>
      <c r="D236" s="671" t="s">
        <v>3756</v>
      </c>
      <c r="E236" s="671" t="s">
        <v>3757</v>
      </c>
      <c r="F236" s="238"/>
      <c r="G236" s="238"/>
      <c r="H236" s="238"/>
      <c r="I236" s="238"/>
      <c r="J236" s="238">
        <v>3</v>
      </c>
      <c r="K236" s="238">
        <v>0</v>
      </c>
      <c r="L236" s="238"/>
      <c r="M236" s="238">
        <v>0</v>
      </c>
      <c r="N236" s="238">
        <v>1</v>
      </c>
      <c r="O236" s="238">
        <v>0</v>
      </c>
      <c r="P236" s="682"/>
      <c r="Q236" s="713">
        <v>0</v>
      </c>
    </row>
    <row r="237" spans="1:17" ht="14.4" customHeight="1" x14ac:dyDescent="0.3">
      <c r="A237" s="680" t="s">
        <v>534</v>
      </c>
      <c r="B237" s="671" t="s">
        <v>3416</v>
      </c>
      <c r="C237" s="671" t="s">
        <v>3303</v>
      </c>
      <c r="D237" s="671" t="s">
        <v>3391</v>
      </c>
      <c r="E237" s="671" t="s">
        <v>3392</v>
      </c>
      <c r="F237" s="238"/>
      <c r="G237" s="238"/>
      <c r="H237" s="238"/>
      <c r="I237" s="238"/>
      <c r="J237" s="238"/>
      <c r="K237" s="238"/>
      <c r="L237" s="238"/>
      <c r="M237" s="238"/>
      <c r="N237" s="238">
        <v>98</v>
      </c>
      <c r="O237" s="238">
        <v>22736</v>
      </c>
      <c r="P237" s="682"/>
      <c r="Q237" s="713">
        <v>232</v>
      </c>
    </row>
    <row r="238" spans="1:17" ht="14.4" customHeight="1" x14ac:dyDescent="0.3">
      <c r="A238" s="680" t="s">
        <v>534</v>
      </c>
      <c r="B238" s="671" t="s">
        <v>3416</v>
      </c>
      <c r="C238" s="671" t="s">
        <v>3303</v>
      </c>
      <c r="D238" s="671" t="s">
        <v>3758</v>
      </c>
      <c r="E238" s="671" t="s">
        <v>3299</v>
      </c>
      <c r="F238" s="238"/>
      <c r="G238" s="238"/>
      <c r="H238" s="238"/>
      <c r="I238" s="238"/>
      <c r="J238" s="238">
        <v>1</v>
      </c>
      <c r="K238" s="238">
        <v>247</v>
      </c>
      <c r="L238" s="238"/>
      <c r="M238" s="238">
        <v>247</v>
      </c>
      <c r="N238" s="238"/>
      <c r="O238" s="238"/>
      <c r="P238" s="682"/>
      <c r="Q238" s="713"/>
    </row>
    <row r="239" spans="1:17" ht="14.4" customHeight="1" x14ac:dyDescent="0.3">
      <c r="A239" s="680" t="s">
        <v>534</v>
      </c>
      <c r="B239" s="671" t="s">
        <v>3416</v>
      </c>
      <c r="C239" s="671" t="s">
        <v>3303</v>
      </c>
      <c r="D239" s="671" t="s">
        <v>3759</v>
      </c>
      <c r="E239" s="671" t="s">
        <v>3760</v>
      </c>
      <c r="F239" s="238">
        <v>3</v>
      </c>
      <c r="G239" s="238">
        <v>38193</v>
      </c>
      <c r="H239" s="238">
        <v>1</v>
      </c>
      <c r="I239" s="238">
        <v>12731</v>
      </c>
      <c r="J239" s="238">
        <v>5</v>
      </c>
      <c r="K239" s="238">
        <v>63800</v>
      </c>
      <c r="L239" s="238">
        <v>1.6704631738800304</v>
      </c>
      <c r="M239" s="238">
        <v>12760</v>
      </c>
      <c r="N239" s="238">
        <v>3</v>
      </c>
      <c r="O239" s="238">
        <v>38280</v>
      </c>
      <c r="P239" s="682">
        <v>1.0022779043280183</v>
      </c>
      <c r="Q239" s="713">
        <v>12760</v>
      </c>
    </row>
    <row r="240" spans="1:17" ht="14.4" customHeight="1" x14ac:dyDescent="0.3">
      <c r="A240" s="680" t="s">
        <v>534</v>
      </c>
      <c r="B240" s="671" t="s">
        <v>3416</v>
      </c>
      <c r="C240" s="671" t="s">
        <v>3303</v>
      </c>
      <c r="D240" s="671" t="s">
        <v>3761</v>
      </c>
      <c r="E240" s="671" t="s">
        <v>3762</v>
      </c>
      <c r="F240" s="238">
        <v>2</v>
      </c>
      <c r="G240" s="238">
        <v>8375</v>
      </c>
      <c r="H240" s="238">
        <v>1</v>
      </c>
      <c r="I240" s="238">
        <v>4187.5</v>
      </c>
      <c r="J240" s="238">
        <v>3</v>
      </c>
      <c r="K240" s="238">
        <v>12600</v>
      </c>
      <c r="L240" s="238">
        <v>1.5044776119402985</v>
      </c>
      <c r="M240" s="238">
        <v>4200</v>
      </c>
      <c r="N240" s="238"/>
      <c r="O240" s="238"/>
      <c r="P240" s="682"/>
      <c r="Q240" s="713"/>
    </row>
    <row r="241" spans="1:17" ht="14.4" customHeight="1" x14ac:dyDescent="0.3">
      <c r="A241" s="680" t="s">
        <v>534</v>
      </c>
      <c r="B241" s="671" t="s">
        <v>3416</v>
      </c>
      <c r="C241" s="671" t="s">
        <v>3303</v>
      </c>
      <c r="D241" s="671" t="s">
        <v>3763</v>
      </c>
      <c r="E241" s="671" t="s">
        <v>3764</v>
      </c>
      <c r="F241" s="238"/>
      <c r="G241" s="238"/>
      <c r="H241" s="238"/>
      <c r="I241" s="238"/>
      <c r="J241" s="238">
        <v>5</v>
      </c>
      <c r="K241" s="238">
        <v>0</v>
      </c>
      <c r="L241" s="238"/>
      <c r="M241" s="238">
        <v>0</v>
      </c>
      <c r="N241" s="238">
        <v>1</v>
      </c>
      <c r="O241" s="238">
        <v>0</v>
      </c>
      <c r="P241" s="682"/>
      <c r="Q241" s="713">
        <v>0</v>
      </c>
    </row>
    <row r="242" spans="1:17" ht="14.4" customHeight="1" x14ac:dyDescent="0.3">
      <c r="A242" s="680" t="s">
        <v>534</v>
      </c>
      <c r="B242" s="671" t="s">
        <v>3416</v>
      </c>
      <c r="C242" s="671" t="s">
        <v>3303</v>
      </c>
      <c r="D242" s="671" t="s">
        <v>3765</v>
      </c>
      <c r="E242" s="671" t="s">
        <v>3766</v>
      </c>
      <c r="F242" s="238"/>
      <c r="G242" s="238"/>
      <c r="H242" s="238"/>
      <c r="I242" s="238"/>
      <c r="J242" s="238">
        <v>48</v>
      </c>
      <c r="K242" s="238">
        <v>0</v>
      </c>
      <c r="L242" s="238"/>
      <c r="M242" s="238">
        <v>0</v>
      </c>
      <c r="N242" s="238">
        <v>42</v>
      </c>
      <c r="O242" s="238">
        <v>0</v>
      </c>
      <c r="P242" s="682"/>
      <c r="Q242" s="713">
        <v>0</v>
      </c>
    </row>
    <row r="243" spans="1:17" ht="14.4" customHeight="1" x14ac:dyDescent="0.3">
      <c r="A243" s="680" t="s">
        <v>534</v>
      </c>
      <c r="B243" s="671" t="s">
        <v>3416</v>
      </c>
      <c r="C243" s="671" t="s">
        <v>3303</v>
      </c>
      <c r="D243" s="671" t="s">
        <v>3767</v>
      </c>
      <c r="E243" s="671" t="s">
        <v>3768</v>
      </c>
      <c r="F243" s="238"/>
      <c r="G243" s="238"/>
      <c r="H243" s="238"/>
      <c r="I243" s="238"/>
      <c r="J243" s="238">
        <v>2</v>
      </c>
      <c r="K243" s="238">
        <v>0</v>
      </c>
      <c r="L243" s="238"/>
      <c r="M243" s="238">
        <v>0</v>
      </c>
      <c r="N243" s="238">
        <v>4</v>
      </c>
      <c r="O243" s="238">
        <v>0</v>
      </c>
      <c r="P243" s="682"/>
      <c r="Q243" s="713">
        <v>0</v>
      </c>
    </row>
    <row r="244" spans="1:17" ht="14.4" customHeight="1" x14ac:dyDescent="0.3">
      <c r="A244" s="680" t="s">
        <v>534</v>
      </c>
      <c r="B244" s="671" t="s">
        <v>3416</v>
      </c>
      <c r="C244" s="671" t="s">
        <v>3303</v>
      </c>
      <c r="D244" s="671" t="s">
        <v>3769</v>
      </c>
      <c r="E244" s="671" t="s">
        <v>3770</v>
      </c>
      <c r="F244" s="238">
        <v>1</v>
      </c>
      <c r="G244" s="238">
        <v>604</v>
      </c>
      <c r="H244" s="238">
        <v>1</v>
      </c>
      <c r="I244" s="238">
        <v>604</v>
      </c>
      <c r="J244" s="238"/>
      <c r="K244" s="238"/>
      <c r="L244" s="238"/>
      <c r="M244" s="238"/>
      <c r="N244" s="238"/>
      <c r="O244" s="238"/>
      <c r="P244" s="682"/>
      <c r="Q244" s="713"/>
    </row>
    <row r="245" spans="1:17" ht="14.4" customHeight="1" x14ac:dyDescent="0.3">
      <c r="A245" s="680" t="s">
        <v>534</v>
      </c>
      <c r="B245" s="671" t="s">
        <v>3416</v>
      </c>
      <c r="C245" s="671" t="s">
        <v>3303</v>
      </c>
      <c r="D245" s="671" t="s">
        <v>3771</v>
      </c>
      <c r="E245" s="671" t="s">
        <v>3770</v>
      </c>
      <c r="F245" s="238">
        <v>1</v>
      </c>
      <c r="G245" s="238">
        <v>518</v>
      </c>
      <c r="H245" s="238">
        <v>1</v>
      </c>
      <c r="I245" s="238">
        <v>518</v>
      </c>
      <c r="J245" s="238"/>
      <c r="K245" s="238"/>
      <c r="L245" s="238"/>
      <c r="M245" s="238"/>
      <c r="N245" s="238"/>
      <c r="O245" s="238"/>
      <c r="P245" s="682"/>
      <c r="Q245" s="713"/>
    </row>
    <row r="246" spans="1:17" ht="14.4" customHeight="1" x14ac:dyDescent="0.3">
      <c r="A246" s="680" t="s">
        <v>534</v>
      </c>
      <c r="B246" s="671" t="s">
        <v>3416</v>
      </c>
      <c r="C246" s="671" t="s">
        <v>3303</v>
      </c>
      <c r="D246" s="671" t="s">
        <v>3772</v>
      </c>
      <c r="E246" s="671" t="s">
        <v>3773</v>
      </c>
      <c r="F246" s="238"/>
      <c r="G246" s="238"/>
      <c r="H246" s="238"/>
      <c r="I246" s="238"/>
      <c r="J246" s="238">
        <v>1</v>
      </c>
      <c r="K246" s="238">
        <v>4617</v>
      </c>
      <c r="L246" s="238"/>
      <c r="M246" s="238">
        <v>4617</v>
      </c>
      <c r="N246" s="238"/>
      <c r="O246" s="238"/>
      <c r="P246" s="682"/>
      <c r="Q246" s="713"/>
    </row>
    <row r="247" spans="1:17" ht="14.4" customHeight="1" x14ac:dyDescent="0.3">
      <c r="A247" s="680" t="s">
        <v>534</v>
      </c>
      <c r="B247" s="671" t="s">
        <v>3416</v>
      </c>
      <c r="C247" s="671" t="s">
        <v>3303</v>
      </c>
      <c r="D247" s="671" t="s">
        <v>3774</v>
      </c>
      <c r="E247" s="671" t="s">
        <v>3775</v>
      </c>
      <c r="F247" s="238"/>
      <c r="G247" s="238"/>
      <c r="H247" s="238"/>
      <c r="I247" s="238"/>
      <c r="J247" s="238">
        <v>14</v>
      </c>
      <c r="K247" s="238">
        <v>0</v>
      </c>
      <c r="L247" s="238"/>
      <c r="M247" s="238">
        <v>0</v>
      </c>
      <c r="N247" s="238"/>
      <c r="O247" s="238"/>
      <c r="P247" s="682"/>
      <c r="Q247" s="713"/>
    </row>
    <row r="248" spans="1:17" ht="14.4" customHeight="1" x14ac:dyDescent="0.3">
      <c r="A248" s="680" t="s">
        <v>534</v>
      </c>
      <c r="B248" s="671" t="s">
        <v>3416</v>
      </c>
      <c r="C248" s="671" t="s">
        <v>3303</v>
      </c>
      <c r="D248" s="671" t="s">
        <v>3776</v>
      </c>
      <c r="E248" s="671" t="s">
        <v>3777</v>
      </c>
      <c r="F248" s="238"/>
      <c r="G248" s="238"/>
      <c r="H248" s="238"/>
      <c r="I248" s="238"/>
      <c r="J248" s="238">
        <v>2</v>
      </c>
      <c r="K248" s="238">
        <v>36671</v>
      </c>
      <c r="L248" s="238"/>
      <c r="M248" s="238">
        <v>18335.5</v>
      </c>
      <c r="N248" s="238">
        <v>1</v>
      </c>
      <c r="O248" s="238">
        <v>18350</v>
      </c>
      <c r="P248" s="682"/>
      <c r="Q248" s="713">
        <v>18350</v>
      </c>
    </row>
    <row r="249" spans="1:17" ht="14.4" customHeight="1" x14ac:dyDescent="0.3">
      <c r="A249" s="680" t="s">
        <v>534</v>
      </c>
      <c r="B249" s="671" t="s">
        <v>3416</v>
      </c>
      <c r="C249" s="671" t="s">
        <v>3303</v>
      </c>
      <c r="D249" s="671" t="s">
        <v>3778</v>
      </c>
      <c r="E249" s="671" t="s">
        <v>3779</v>
      </c>
      <c r="F249" s="238"/>
      <c r="G249" s="238"/>
      <c r="H249" s="238"/>
      <c r="I249" s="238"/>
      <c r="J249" s="238">
        <v>1</v>
      </c>
      <c r="K249" s="238">
        <v>0</v>
      </c>
      <c r="L249" s="238"/>
      <c r="M249" s="238">
        <v>0</v>
      </c>
      <c r="N249" s="238"/>
      <c r="O249" s="238"/>
      <c r="P249" s="682"/>
      <c r="Q249" s="713"/>
    </row>
    <row r="250" spans="1:17" ht="14.4" customHeight="1" x14ac:dyDescent="0.3">
      <c r="A250" s="680" t="s">
        <v>534</v>
      </c>
      <c r="B250" s="671" t="s">
        <v>3416</v>
      </c>
      <c r="C250" s="671" t="s">
        <v>3303</v>
      </c>
      <c r="D250" s="671" t="s">
        <v>3780</v>
      </c>
      <c r="E250" s="671" t="s">
        <v>3781</v>
      </c>
      <c r="F250" s="238"/>
      <c r="G250" s="238"/>
      <c r="H250" s="238"/>
      <c r="I250" s="238"/>
      <c r="J250" s="238">
        <v>2</v>
      </c>
      <c r="K250" s="238">
        <v>0</v>
      </c>
      <c r="L250" s="238"/>
      <c r="M250" s="238">
        <v>0</v>
      </c>
      <c r="N250" s="238">
        <v>1</v>
      </c>
      <c r="O250" s="238">
        <v>0</v>
      </c>
      <c r="P250" s="682"/>
      <c r="Q250" s="713">
        <v>0</v>
      </c>
    </row>
    <row r="251" spans="1:17" ht="14.4" customHeight="1" x14ac:dyDescent="0.3">
      <c r="A251" s="680" t="s">
        <v>534</v>
      </c>
      <c r="B251" s="671" t="s">
        <v>3416</v>
      </c>
      <c r="C251" s="671" t="s">
        <v>3303</v>
      </c>
      <c r="D251" s="671" t="s">
        <v>3782</v>
      </c>
      <c r="E251" s="671" t="s">
        <v>3783</v>
      </c>
      <c r="F251" s="238"/>
      <c r="G251" s="238"/>
      <c r="H251" s="238"/>
      <c r="I251" s="238"/>
      <c r="J251" s="238">
        <v>4</v>
      </c>
      <c r="K251" s="238">
        <v>0</v>
      </c>
      <c r="L251" s="238"/>
      <c r="M251" s="238">
        <v>0</v>
      </c>
      <c r="N251" s="238">
        <v>2</v>
      </c>
      <c r="O251" s="238">
        <v>0</v>
      </c>
      <c r="P251" s="682"/>
      <c r="Q251" s="713">
        <v>0</v>
      </c>
    </row>
    <row r="252" spans="1:17" ht="14.4" customHeight="1" x14ac:dyDescent="0.3">
      <c r="A252" s="680" t="s">
        <v>534</v>
      </c>
      <c r="B252" s="671" t="s">
        <v>3416</v>
      </c>
      <c r="C252" s="671" t="s">
        <v>3303</v>
      </c>
      <c r="D252" s="671" t="s">
        <v>3784</v>
      </c>
      <c r="E252" s="671" t="s">
        <v>3785</v>
      </c>
      <c r="F252" s="238"/>
      <c r="G252" s="238"/>
      <c r="H252" s="238"/>
      <c r="I252" s="238"/>
      <c r="J252" s="238">
        <v>3</v>
      </c>
      <c r="K252" s="238">
        <v>0</v>
      </c>
      <c r="L252" s="238"/>
      <c r="M252" s="238">
        <v>0</v>
      </c>
      <c r="N252" s="238"/>
      <c r="O252" s="238"/>
      <c r="P252" s="682"/>
      <c r="Q252" s="713"/>
    </row>
    <row r="253" spans="1:17" ht="14.4" customHeight="1" x14ac:dyDescent="0.3">
      <c r="A253" s="680" t="s">
        <v>534</v>
      </c>
      <c r="B253" s="671" t="s">
        <v>3416</v>
      </c>
      <c r="C253" s="671" t="s">
        <v>3303</v>
      </c>
      <c r="D253" s="671" t="s">
        <v>3786</v>
      </c>
      <c r="E253" s="671" t="s">
        <v>3649</v>
      </c>
      <c r="F253" s="238"/>
      <c r="G253" s="238"/>
      <c r="H253" s="238"/>
      <c r="I253" s="238"/>
      <c r="J253" s="238">
        <v>1</v>
      </c>
      <c r="K253" s="238">
        <v>0</v>
      </c>
      <c r="L253" s="238"/>
      <c r="M253" s="238">
        <v>0</v>
      </c>
      <c r="N253" s="238"/>
      <c r="O253" s="238"/>
      <c r="P253" s="682"/>
      <c r="Q253" s="713"/>
    </row>
    <row r="254" spans="1:17" ht="14.4" customHeight="1" x14ac:dyDescent="0.3">
      <c r="A254" s="680" t="s">
        <v>534</v>
      </c>
      <c r="B254" s="671" t="s">
        <v>3416</v>
      </c>
      <c r="C254" s="671" t="s">
        <v>3303</v>
      </c>
      <c r="D254" s="671" t="s">
        <v>3787</v>
      </c>
      <c r="E254" s="671" t="s">
        <v>3788</v>
      </c>
      <c r="F254" s="238"/>
      <c r="G254" s="238"/>
      <c r="H254" s="238"/>
      <c r="I254" s="238"/>
      <c r="J254" s="238">
        <v>2</v>
      </c>
      <c r="K254" s="238">
        <v>0</v>
      </c>
      <c r="L254" s="238"/>
      <c r="M254" s="238">
        <v>0</v>
      </c>
      <c r="N254" s="238">
        <v>24</v>
      </c>
      <c r="O254" s="238">
        <v>0</v>
      </c>
      <c r="P254" s="682"/>
      <c r="Q254" s="713">
        <v>0</v>
      </c>
    </row>
    <row r="255" spans="1:17" ht="14.4" customHeight="1" x14ac:dyDescent="0.3">
      <c r="A255" s="680" t="s">
        <v>534</v>
      </c>
      <c r="B255" s="671" t="s">
        <v>3416</v>
      </c>
      <c r="C255" s="671" t="s">
        <v>3303</v>
      </c>
      <c r="D255" s="671" t="s">
        <v>3789</v>
      </c>
      <c r="E255" s="671" t="s">
        <v>3790</v>
      </c>
      <c r="F255" s="238"/>
      <c r="G255" s="238"/>
      <c r="H255" s="238"/>
      <c r="I255" s="238"/>
      <c r="J255" s="238"/>
      <c r="K255" s="238"/>
      <c r="L255" s="238"/>
      <c r="M255" s="238"/>
      <c r="N255" s="238">
        <v>1</v>
      </c>
      <c r="O255" s="238">
        <v>0</v>
      </c>
      <c r="P255" s="682"/>
      <c r="Q255" s="713">
        <v>0</v>
      </c>
    </row>
    <row r="256" spans="1:17" ht="14.4" customHeight="1" x14ac:dyDescent="0.3">
      <c r="A256" s="680" t="s">
        <v>534</v>
      </c>
      <c r="B256" s="671" t="s">
        <v>3416</v>
      </c>
      <c r="C256" s="671" t="s">
        <v>3303</v>
      </c>
      <c r="D256" s="671" t="s">
        <v>3791</v>
      </c>
      <c r="E256" s="671" t="s">
        <v>3785</v>
      </c>
      <c r="F256" s="238"/>
      <c r="G256" s="238"/>
      <c r="H256" s="238"/>
      <c r="I256" s="238"/>
      <c r="J256" s="238">
        <v>3</v>
      </c>
      <c r="K256" s="238">
        <v>0</v>
      </c>
      <c r="L256" s="238"/>
      <c r="M256" s="238">
        <v>0</v>
      </c>
      <c r="N256" s="238"/>
      <c r="O256" s="238"/>
      <c r="P256" s="682"/>
      <c r="Q256" s="713"/>
    </row>
    <row r="257" spans="1:17" ht="14.4" customHeight="1" x14ac:dyDescent="0.3">
      <c r="A257" s="680" t="s">
        <v>534</v>
      </c>
      <c r="B257" s="671" t="s">
        <v>3416</v>
      </c>
      <c r="C257" s="671" t="s">
        <v>3303</v>
      </c>
      <c r="D257" s="671" t="s">
        <v>3406</v>
      </c>
      <c r="E257" s="671" t="s">
        <v>3407</v>
      </c>
      <c r="F257" s="238">
        <v>1</v>
      </c>
      <c r="G257" s="238">
        <v>1209</v>
      </c>
      <c r="H257" s="238">
        <v>1</v>
      </c>
      <c r="I257" s="238">
        <v>1209</v>
      </c>
      <c r="J257" s="238">
        <v>2</v>
      </c>
      <c r="K257" s="238">
        <v>2422</v>
      </c>
      <c r="L257" s="238">
        <v>2.0033085194375517</v>
      </c>
      <c r="M257" s="238">
        <v>1211</v>
      </c>
      <c r="N257" s="238"/>
      <c r="O257" s="238"/>
      <c r="P257" s="682"/>
      <c r="Q257" s="713"/>
    </row>
    <row r="258" spans="1:17" ht="14.4" customHeight="1" x14ac:dyDescent="0.3">
      <c r="A258" s="680" t="s">
        <v>534</v>
      </c>
      <c r="B258" s="671" t="s">
        <v>3416</v>
      </c>
      <c r="C258" s="671" t="s">
        <v>3303</v>
      </c>
      <c r="D258" s="671" t="s">
        <v>3792</v>
      </c>
      <c r="E258" s="671" t="s">
        <v>3793</v>
      </c>
      <c r="F258" s="238"/>
      <c r="G258" s="238"/>
      <c r="H258" s="238"/>
      <c r="I258" s="238"/>
      <c r="J258" s="238">
        <v>3</v>
      </c>
      <c r="K258" s="238">
        <v>0</v>
      </c>
      <c r="L258" s="238"/>
      <c r="M258" s="238">
        <v>0</v>
      </c>
      <c r="N258" s="238">
        <v>6</v>
      </c>
      <c r="O258" s="238">
        <v>0</v>
      </c>
      <c r="P258" s="682"/>
      <c r="Q258" s="713">
        <v>0</v>
      </c>
    </row>
    <row r="259" spans="1:17" ht="14.4" customHeight="1" x14ac:dyDescent="0.3">
      <c r="A259" s="680" t="s">
        <v>534</v>
      </c>
      <c r="B259" s="671" t="s">
        <v>3416</v>
      </c>
      <c r="C259" s="671" t="s">
        <v>3303</v>
      </c>
      <c r="D259" s="671" t="s">
        <v>3794</v>
      </c>
      <c r="E259" s="671" t="s">
        <v>3795</v>
      </c>
      <c r="F259" s="238"/>
      <c r="G259" s="238"/>
      <c r="H259" s="238"/>
      <c r="I259" s="238"/>
      <c r="J259" s="238">
        <v>1</v>
      </c>
      <c r="K259" s="238">
        <v>0</v>
      </c>
      <c r="L259" s="238"/>
      <c r="M259" s="238">
        <v>0</v>
      </c>
      <c r="N259" s="238">
        <v>3</v>
      </c>
      <c r="O259" s="238">
        <v>0</v>
      </c>
      <c r="P259" s="682"/>
      <c r="Q259" s="713">
        <v>0</v>
      </c>
    </row>
    <row r="260" spans="1:17" ht="14.4" customHeight="1" x14ac:dyDescent="0.3">
      <c r="A260" s="680" t="s">
        <v>534</v>
      </c>
      <c r="B260" s="671" t="s">
        <v>3416</v>
      </c>
      <c r="C260" s="671" t="s">
        <v>3303</v>
      </c>
      <c r="D260" s="671" t="s">
        <v>3796</v>
      </c>
      <c r="E260" s="671" t="s">
        <v>3797</v>
      </c>
      <c r="F260" s="238"/>
      <c r="G260" s="238"/>
      <c r="H260" s="238"/>
      <c r="I260" s="238"/>
      <c r="J260" s="238">
        <v>3</v>
      </c>
      <c r="K260" s="238">
        <v>143964</v>
      </c>
      <c r="L260" s="238"/>
      <c r="M260" s="238">
        <v>47988</v>
      </c>
      <c r="N260" s="238">
        <v>3</v>
      </c>
      <c r="O260" s="238">
        <v>143964</v>
      </c>
      <c r="P260" s="682"/>
      <c r="Q260" s="713">
        <v>47988</v>
      </c>
    </row>
    <row r="261" spans="1:17" ht="14.4" customHeight="1" x14ac:dyDescent="0.3">
      <c r="A261" s="680" t="s">
        <v>534</v>
      </c>
      <c r="B261" s="671" t="s">
        <v>3416</v>
      </c>
      <c r="C261" s="671" t="s">
        <v>3303</v>
      </c>
      <c r="D261" s="671" t="s">
        <v>3798</v>
      </c>
      <c r="E261" s="671" t="s">
        <v>3671</v>
      </c>
      <c r="F261" s="238"/>
      <c r="G261" s="238"/>
      <c r="H261" s="238"/>
      <c r="I261" s="238"/>
      <c r="J261" s="238">
        <v>1</v>
      </c>
      <c r="K261" s="238">
        <v>0</v>
      </c>
      <c r="L261" s="238"/>
      <c r="M261" s="238">
        <v>0</v>
      </c>
      <c r="N261" s="238"/>
      <c r="O261" s="238"/>
      <c r="P261" s="682"/>
      <c r="Q261" s="713"/>
    </row>
    <row r="262" spans="1:17" ht="14.4" customHeight="1" x14ac:dyDescent="0.3">
      <c r="A262" s="680" t="s">
        <v>534</v>
      </c>
      <c r="B262" s="671" t="s">
        <v>3416</v>
      </c>
      <c r="C262" s="671" t="s">
        <v>3303</v>
      </c>
      <c r="D262" s="671" t="s">
        <v>3799</v>
      </c>
      <c r="E262" s="671" t="s">
        <v>3800</v>
      </c>
      <c r="F262" s="238"/>
      <c r="G262" s="238"/>
      <c r="H262" s="238"/>
      <c r="I262" s="238"/>
      <c r="J262" s="238">
        <v>2</v>
      </c>
      <c r="K262" s="238">
        <v>0</v>
      </c>
      <c r="L262" s="238"/>
      <c r="M262" s="238">
        <v>0</v>
      </c>
      <c r="N262" s="238">
        <v>1</v>
      </c>
      <c r="O262" s="238">
        <v>0</v>
      </c>
      <c r="P262" s="682"/>
      <c r="Q262" s="713">
        <v>0</v>
      </c>
    </row>
    <row r="263" spans="1:17" ht="14.4" customHeight="1" x14ac:dyDescent="0.3">
      <c r="A263" s="680" t="s">
        <v>534</v>
      </c>
      <c r="B263" s="671" t="s">
        <v>3416</v>
      </c>
      <c r="C263" s="671" t="s">
        <v>3303</v>
      </c>
      <c r="D263" s="671" t="s">
        <v>3801</v>
      </c>
      <c r="E263" s="671" t="s">
        <v>3719</v>
      </c>
      <c r="F263" s="238"/>
      <c r="G263" s="238"/>
      <c r="H263" s="238"/>
      <c r="I263" s="238"/>
      <c r="J263" s="238">
        <v>1</v>
      </c>
      <c r="K263" s="238">
        <v>60858</v>
      </c>
      <c r="L263" s="238"/>
      <c r="M263" s="238">
        <v>60858</v>
      </c>
      <c r="N263" s="238">
        <v>2</v>
      </c>
      <c r="O263" s="238">
        <v>121716</v>
      </c>
      <c r="P263" s="682"/>
      <c r="Q263" s="713">
        <v>60858</v>
      </c>
    </row>
    <row r="264" spans="1:17" ht="14.4" customHeight="1" x14ac:dyDescent="0.3">
      <c r="A264" s="680" t="s">
        <v>534</v>
      </c>
      <c r="B264" s="671" t="s">
        <v>3416</v>
      </c>
      <c r="C264" s="671" t="s">
        <v>3303</v>
      </c>
      <c r="D264" s="671" t="s">
        <v>3802</v>
      </c>
      <c r="E264" s="671" t="s">
        <v>3803</v>
      </c>
      <c r="F264" s="238"/>
      <c r="G264" s="238"/>
      <c r="H264" s="238"/>
      <c r="I264" s="238"/>
      <c r="J264" s="238">
        <v>1</v>
      </c>
      <c r="K264" s="238">
        <v>0</v>
      </c>
      <c r="L264" s="238"/>
      <c r="M264" s="238">
        <v>0</v>
      </c>
      <c r="N264" s="238"/>
      <c r="O264" s="238"/>
      <c r="P264" s="682"/>
      <c r="Q264" s="713"/>
    </row>
    <row r="265" spans="1:17" ht="14.4" customHeight="1" x14ac:dyDescent="0.3">
      <c r="A265" s="680" t="s">
        <v>534</v>
      </c>
      <c r="B265" s="671" t="s">
        <v>3416</v>
      </c>
      <c r="C265" s="671" t="s">
        <v>3303</v>
      </c>
      <c r="D265" s="671" t="s">
        <v>3804</v>
      </c>
      <c r="E265" s="671" t="s">
        <v>3805</v>
      </c>
      <c r="F265" s="238"/>
      <c r="G265" s="238"/>
      <c r="H265" s="238"/>
      <c r="I265" s="238"/>
      <c r="J265" s="238"/>
      <c r="K265" s="238"/>
      <c r="L265" s="238"/>
      <c r="M265" s="238"/>
      <c r="N265" s="238">
        <v>1</v>
      </c>
      <c r="O265" s="238">
        <v>0</v>
      </c>
      <c r="P265" s="682"/>
      <c r="Q265" s="713">
        <v>0</v>
      </c>
    </row>
    <row r="266" spans="1:17" ht="14.4" customHeight="1" x14ac:dyDescent="0.3">
      <c r="A266" s="680" t="s">
        <v>534</v>
      </c>
      <c r="B266" s="671" t="s">
        <v>3416</v>
      </c>
      <c r="C266" s="671" t="s">
        <v>3303</v>
      </c>
      <c r="D266" s="671" t="s">
        <v>3806</v>
      </c>
      <c r="E266" s="671" t="s">
        <v>3807</v>
      </c>
      <c r="F266" s="238"/>
      <c r="G266" s="238"/>
      <c r="H266" s="238"/>
      <c r="I266" s="238"/>
      <c r="J266" s="238"/>
      <c r="K266" s="238"/>
      <c r="L266" s="238"/>
      <c r="M266" s="238"/>
      <c r="N266" s="238">
        <v>2</v>
      </c>
      <c r="O266" s="238">
        <v>0</v>
      </c>
      <c r="P266" s="682"/>
      <c r="Q266" s="713">
        <v>0</v>
      </c>
    </row>
    <row r="267" spans="1:17" ht="14.4" customHeight="1" x14ac:dyDescent="0.3">
      <c r="A267" s="680" t="s">
        <v>534</v>
      </c>
      <c r="B267" s="671" t="s">
        <v>3416</v>
      </c>
      <c r="C267" s="671" t="s">
        <v>3303</v>
      </c>
      <c r="D267" s="671" t="s">
        <v>3808</v>
      </c>
      <c r="E267" s="671" t="s">
        <v>3809</v>
      </c>
      <c r="F267" s="238"/>
      <c r="G267" s="238"/>
      <c r="H267" s="238"/>
      <c r="I267" s="238"/>
      <c r="J267" s="238"/>
      <c r="K267" s="238"/>
      <c r="L267" s="238"/>
      <c r="M267" s="238"/>
      <c r="N267" s="238">
        <v>1</v>
      </c>
      <c r="O267" s="238">
        <v>0</v>
      </c>
      <c r="P267" s="682"/>
      <c r="Q267" s="713">
        <v>0</v>
      </c>
    </row>
    <row r="268" spans="1:17" ht="14.4" customHeight="1" x14ac:dyDescent="0.3">
      <c r="A268" s="680" t="s">
        <v>534</v>
      </c>
      <c r="B268" s="671" t="s">
        <v>3416</v>
      </c>
      <c r="C268" s="671" t="s">
        <v>3303</v>
      </c>
      <c r="D268" s="671" t="s">
        <v>3810</v>
      </c>
      <c r="E268" s="671" t="s">
        <v>3811</v>
      </c>
      <c r="F268" s="238"/>
      <c r="G268" s="238"/>
      <c r="H268" s="238"/>
      <c r="I268" s="238"/>
      <c r="J268" s="238"/>
      <c r="K268" s="238"/>
      <c r="L268" s="238"/>
      <c r="M268" s="238"/>
      <c r="N268" s="238">
        <v>1</v>
      </c>
      <c r="O268" s="238">
        <v>0</v>
      </c>
      <c r="P268" s="682"/>
      <c r="Q268" s="713">
        <v>0</v>
      </c>
    </row>
    <row r="269" spans="1:17" ht="14.4" customHeight="1" x14ac:dyDescent="0.3">
      <c r="A269" s="680" t="s">
        <v>534</v>
      </c>
      <c r="B269" s="671" t="s">
        <v>3416</v>
      </c>
      <c r="C269" s="671" t="s">
        <v>3303</v>
      </c>
      <c r="D269" s="671" t="s">
        <v>3812</v>
      </c>
      <c r="E269" s="671" t="s">
        <v>3813</v>
      </c>
      <c r="F269" s="238"/>
      <c r="G269" s="238"/>
      <c r="H269" s="238"/>
      <c r="I269" s="238"/>
      <c r="J269" s="238"/>
      <c r="K269" s="238"/>
      <c r="L269" s="238"/>
      <c r="M269" s="238"/>
      <c r="N269" s="238">
        <v>1</v>
      </c>
      <c r="O269" s="238">
        <v>0</v>
      </c>
      <c r="P269" s="682"/>
      <c r="Q269" s="713">
        <v>0</v>
      </c>
    </row>
    <row r="270" spans="1:17" ht="14.4" customHeight="1" x14ac:dyDescent="0.3">
      <c r="A270" s="680" t="s">
        <v>534</v>
      </c>
      <c r="B270" s="671" t="s">
        <v>3416</v>
      </c>
      <c r="C270" s="671" t="s">
        <v>3303</v>
      </c>
      <c r="D270" s="671" t="s">
        <v>3814</v>
      </c>
      <c r="E270" s="671" t="s">
        <v>3815</v>
      </c>
      <c r="F270" s="238"/>
      <c r="G270" s="238"/>
      <c r="H270" s="238"/>
      <c r="I270" s="238"/>
      <c r="J270" s="238"/>
      <c r="K270" s="238"/>
      <c r="L270" s="238"/>
      <c r="M270" s="238"/>
      <c r="N270" s="238">
        <v>1</v>
      </c>
      <c r="O270" s="238">
        <v>0</v>
      </c>
      <c r="P270" s="682"/>
      <c r="Q270" s="713">
        <v>0</v>
      </c>
    </row>
    <row r="271" spans="1:17" ht="14.4" customHeight="1" x14ac:dyDescent="0.3">
      <c r="A271" s="680" t="s">
        <v>534</v>
      </c>
      <c r="B271" s="671" t="s">
        <v>3416</v>
      </c>
      <c r="C271" s="671" t="s">
        <v>3303</v>
      </c>
      <c r="D271" s="671" t="s">
        <v>3816</v>
      </c>
      <c r="E271" s="671" t="s">
        <v>3817</v>
      </c>
      <c r="F271" s="238"/>
      <c r="G271" s="238"/>
      <c r="H271" s="238"/>
      <c r="I271" s="238"/>
      <c r="J271" s="238"/>
      <c r="K271" s="238"/>
      <c r="L271" s="238"/>
      <c r="M271" s="238"/>
      <c r="N271" s="238">
        <v>2</v>
      </c>
      <c r="O271" s="238">
        <v>0</v>
      </c>
      <c r="P271" s="682"/>
      <c r="Q271" s="713">
        <v>0</v>
      </c>
    </row>
    <row r="272" spans="1:17" ht="14.4" customHeight="1" x14ac:dyDescent="0.3">
      <c r="A272" s="680" t="s">
        <v>534</v>
      </c>
      <c r="B272" s="671" t="s">
        <v>3818</v>
      </c>
      <c r="C272" s="671" t="s">
        <v>3303</v>
      </c>
      <c r="D272" s="671" t="s">
        <v>3819</v>
      </c>
      <c r="E272" s="671" t="s">
        <v>3820</v>
      </c>
      <c r="F272" s="238">
        <v>1</v>
      </c>
      <c r="G272" s="238">
        <v>5332</v>
      </c>
      <c r="H272" s="238">
        <v>1</v>
      </c>
      <c r="I272" s="238">
        <v>5332</v>
      </c>
      <c r="J272" s="238"/>
      <c r="K272" s="238"/>
      <c r="L272" s="238"/>
      <c r="M272" s="238"/>
      <c r="N272" s="238"/>
      <c r="O272" s="238"/>
      <c r="P272" s="682"/>
      <c r="Q272" s="713"/>
    </row>
    <row r="273" spans="1:17" ht="14.4" customHeight="1" x14ac:dyDescent="0.3">
      <c r="A273" s="680" t="s">
        <v>534</v>
      </c>
      <c r="B273" s="671" t="s">
        <v>3818</v>
      </c>
      <c r="C273" s="671" t="s">
        <v>3303</v>
      </c>
      <c r="D273" s="671" t="s">
        <v>3821</v>
      </c>
      <c r="E273" s="671" t="s">
        <v>3822</v>
      </c>
      <c r="F273" s="238">
        <v>2</v>
      </c>
      <c r="G273" s="238">
        <v>4374</v>
      </c>
      <c r="H273" s="238">
        <v>1</v>
      </c>
      <c r="I273" s="238">
        <v>2187</v>
      </c>
      <c r="J273" s="238"/>
      <c r="K273" s="238"/>
      <c r="L273" s="238"/>
      <c r="M273" s="238"/>
      <c r="N273" s="238"/>
      <c r="O273" s="238"/>
      <c r="P273" s="682"/>
      <c r="Q273" s="713"/>
    </row>
    <row r="274" spans="1:17" ht="14.4" customHeight="1" x14ac:dyDescent="0.3">
      <c r="A274" s="680" t="s">
        <v>534</v>
      </c>
      <c r="B274" s="671" t="s">
        <v>3818</v>
      </c>
      <c r="C274" s="671" t="s">
        <v>3303</v>
      </c>
      <c r="D274" s="671" t="s">
        <v>3823</v>
      </c>
      <c r="E274" s="671" t="s">
        <v>3824</v>
      </c>
      <c r="F274" s="238"/>
      <c r="G274" s="238"/>
      <c r="H274" s="238"/>
      <c r="I274" s="238"/>
      <c r="J274" s="238"/>
      <c r="K274" s="238"/>
      <c r="L274" s="238"/>
      <c r="M274" s="238"/>
      <c r="N274" s="238">
        <v>4</v>
      </c>
      <c r="O274" s="238">
        <v>688</v>
      </c>
      <c r="P274" s="682"/>
      <c r="Q274" s="713">
        <v>172</v>
      </c>
    </row>
    <row r="275" spans="1:17" ht="14.4" customHeight="1" x14ac:dyDescent="0.3">
      <c r="A275" s="680" t="s">
        <v>534</v>
      </c>
      <c r="B275" s="671" t="s">
        <v>3818</v>
      </c>
      <c r="C275" s="671" t="s">
        <v>3303</v>
      </c>
      <c r="D275" s="671" t="s">
        <v>3825</v>
      </c>
      <c r="E275" s="671" t="s">
        <v>3826</v>
      </c>
      <c r="F275" s="238">
        <v>1</v>
      </c>
      <c r="G275" s="238">
        <v>5165</v>
      </c>
      <c r="H275" s="238">
        <v>1</v>
      </c>
      <c r="I275" s="238">
        <v>5165</v>
      </c>
      <c r="J275" s="238"/>
      <c r="K275" s="238"/>
      <c r="L275" s="238"/>
      <c r="M275" s="238"/>
      <c r="N275" s="238"/>
      <c r="O275" s="238"/>
      <c r="P275" s="682"/>
      <c r="Q275" s="713"/>
    </row>
    <row r="276" spans="1:17" ht="14.4" customHeight="1" x14ac:dyDescent="0.3">
      <c r="A276" s="680" t="s">
        <v>534</v>
      </c>
      <c r="B276" s="671" t="s">
        <v>3818</v>
      </c>
      <c r="C276" s="671" t="s">
        <v>3303</v>
      </c>
      <c r="D276" s="671" t="s">
        <v>3827</v>
      </c>
      <c r="E276" s="671" t="s">
        <v>3828</v>
      </c>
      <c r="F276" s="238"/>
      <c r="G276" s="238"/>
      <c r="H276" s="238"/>
      <c r="I276" s="238"/>
      <c r="J276" s="238"/>
      <c r="K276" s="238"/>
      <c r="L276" s="238"/>
      <c r="M276" s="238"/>
      <c r="N276" s="238">
        <v>2</v>
      </c>
      <c r="O276" s="238">
        <v>7142</v>
      </c>
      <c r="P276" s="682"/>
      <c r="Q276" s="713">
        <v>3571</v>
      </c>
    </row>
    <row r="277" spans="1:17" ht="14.4" customHeight="1" x14ac:dyDescent="0.3">
      <c r="A277" s="680" t="s">
        <v>534</v>
      </c>
      <c r="B277" s="671" t="s">
        <v>3818</v>
      </c>
      <c r="C277" s="671" t="s">
        <v>3303</v>
      </c>
      <c r="D277" s="671" t="s">
        <v>3829</v>
      </c>
      <c r="E277" s="671" t="s">
        <v>3830</v>
      </c>
      <c r="F277" s="238"/>
      <c r="G277" s="238"/>
      <c r="H277" s="238"/>
      <c r="I277" s="238"/>
      <c r="J277" s="238"/>
      <c r="K277" s="238"/>
      <c r="L277" s="238"/>
      <c r="M277" s="238"/>
      <c r="N277" s="238">
        <v>2</v>
      </c>
      <c r="O277" s="238">
        <v>2976</v>
      </c>
      <c r="P277" s="682"/>
      <c r="Q277" s="713">
        <v>1488</v>
      </c>
    </row>
    <row r="278" spans="1:17" ht="14.4" customHeight="1" x14ac:dyDescent="0.3">
      <c r="A278" s="680" t="s">
        <v>534</v>
      </c>
      <c r="B278" s="671" t="s">
        <v>3818</v>
      </c>
      <c r="C278" s="671" t="s">
        <v>3303</v>
      </c>
      <c r="D278" s="671" t="s">
        <v>3831</v>
      </c>
      <c r="E278" s="671" t="s">
        <v>3832</v>
      </c>
      <c r="F278" s="238"/>
      <c r="G278" s="238"/>
      <c r="H278" s="238"/>
      <c r="I278" s="238"/>
      <c r="J278" s="238"/>
      <c r="K278" s="238"/>
      <c r="L278" s="238"/>
      <c r="M278" s="238"/>
      <c r="N278" s="238">
        <v>1</v>
      </c>
      <c r="O278" s="238">
        <v>2678</v>
      </c>
      <c r="P278" s="682"/>
      <c r="Q278" s="713">
        <v>2678</v>
      </c>
    </row>
    <row r="279" spans="1:17" ht="14.4" customHeight="1" x14ac:dyDescent="0.3">
      <c r="A279" s="680" t="s">
        <v>534</v>
      </c>
      <c r="B279" s="671" t="s">
        <v>3818</v>
      </c>
      <c r="C279" s="671" t="s">
        <v>3303</v>
      </c>
      <c r="D279" s="671" t="s">
        <v>3833</v>
      </c>
      <c r="E279" s="671" t="s">
        <v>3834</v>
      </c>
      <c r="F279" s="238"/>
      <c r="G279" s="238"/>
      <c r="H279" s="238"/>
      <c r="I279" s="238"/>
      <c r="J279" s="238"/>
      <c r="K279" s="238"/>
      <c r="L279" s="238"/>
      <c r="M279" s="238"/>
      <c r="N279" s="238">
        <v>2</v>
      </c>
      <c r="O279" s="238">
        <v>2208</v>
      </c>
      <c r="P279" s="682"/>
      <c r="Q279" s="713">
        <v>1104</v>
      </c>
    </row>
    <row r="280" spans="1:17" ht="14.4" customHeight="1" x14ac:dyDescent="0.3">
      <c r="A280" s="680" t="s">
        <v>534</v>
      </c>
      <c r="B280" s="671" t="s">
        <v>3818</v>
      </c>
      <c r="C280" s="671" t="s">
        <v>3303</v>
      </c>
      <c r="D280" s="671" t="s">
        <v>3835</v>
      </c>
      <c r="E280" s="671" t="s">
        <v>3836</v>
      </c>
      <c r="F280" s="238"/>
      <c r="G280" s="238"/>
      <c r="H280" s="238"/>
      <c r="I280" s="238"/>
      <c r="J280" s="238"/>
      <c r="K280" s="238"/>
      <c r="L280" s="238"/>
      <c r="M280" s="238"/>
      <c r="N280" s="238">
        <v>1</v>
      </c>
      <c r="O280" s="238">
        <v>5298</v>
      </c>
      <c r="P280" s="682"/>
      <c r="Q280" s="713">
        <v>5298</v>
      </c>
    </row>
    <row r="281" spans="1:17" ht="14.4" customHeight="1" x14ac:dyDescent="0.3">
      <c r="A281" s="680" t="s">
        <v>534</v>
      </c>
      <c r="B281" s="671" t="s">
        <v>3818</v>
      </c>
      <c r="C281" s="671" t="s">
        <v>3303</v>
      </c>
      <c r="D281" s="671" t="s">
        <v>3837</v>
      </c>
      <c r="E281" s="671" t="s">
        <v>3838</v>
      </c>
      <c r="F281" s="238"/>
      <c r="G281" s="238"/>
      <c r="H281" s="238"/>
      <c r="I281" s="238"/>
      <c r="J281" s="238"/>
      <c r="K281" s="238"/>
      <c r="L281" s="238"/>
      <c r="M281" s="238"/>
      <c r="N281" s="238">
        <v>4</v>
      </c>
      <c r="O281" s="238">
        <v>4956</v>
      </c>
      <c r="P281" s="682"/>
      <c r="Q281" s="713">
        <v>1239</v>
      </c>
    </row>
    <row r="282" spans="1:17" ht="14.4" customHeight="1" x14ac:dyDescent="0.3">
      <c r="A282" s="680" t="s">
        <v>534</v>
      </c>
      <c r="B282" s="671" t="s">
        <v>3818</v>
      </c>
      <c r="C282" s="671" t="s">
        <v>3303</v>
      </c>
      <c r="D282" s="671" t="s">
        <v>3839</v>
      </c>
      <c r="E282" s="671" t="s">
        <v>3840</v>
      </c>
      <c r="F282" s="238"/>
      <c r="G282" s="238"/>
      <c r="H282" s="238"/>
      <c r="I282" s="238"/>
      <c r="J282" s="238"/>
      <c r="K282" s="238"/>
      <c r="L282" s="238"/>
      <c r="M282" s="238"/>
      <c r="N282" s="238">
        <v>3</v>
      </c>
      <c r="O282" s="238">
        <v>1326</v>
      </c>
      <c r="P282" s="682"/>
      <c r="Q282" s="713">
        <v>442</v>
      </c>
    </row>
    <row r="283" spans="1:17" ht="14.4" customHeight="1" x14ac:dyDescent="0.3">
      <c r="A283" s="680" t="s">
        <v>534</v>
      </c>
      <c r="B283" s="671" t="s">
        <v>3818</v>
      </c>
      <c r="C283" s="671" t="s">
        <v>3303</v>
      </c>
      <c r="D283" s="671" t="s">
        <v>3841</v>
      </c>
      <c r="E283" s="671" t="s">
        <v>3842</v>
      </c>
      <c r="F283" s="238">
        <v>1</v>
      </c>
      <c r="G283" s="238">
        <v>3900</v>
      </c>
      <c r="H283" s="238">
        <v>1</v>
      </c>
      <c r="I283" s="238">
        <v>3900</v>
      </c>
      <c r="J283" s="238"/>
      <c r="K283" s="238"/>
      <c r="L283" s="238"/>
      <c r="M283" s="238"/>
      <c r="N283" s="238"/>
      <c r="O283" s="238"/>
      <c r="P283" s="682"/>
      <c r="Q283" s="713"/>
    </row>
    <row r="284" spans="1:17" ht="14.4" customHeight="1" x14ac:dyDescent="0.3">
      <c r="A284" s="680" t="s">
        <v>534</v>
      </c>
      <c r="B284" s="671" t="s">
        <v>3818</v>
      </c>
      <c r="C284" s="671" t="s">
        <v>3303</v>
      </c>
      <c r="D284" s="671" t="s">
        <v>3843</v>
      </c>
      <c r="E284" s="671" t="s">
        <v>3844</v>
      </c>
      <c r="F284" s="238">
        <v>1</v>
      </c>
      <c r="G284" s="238">
        <v>1756</v>
      </c>
      <c r="H284" s="238">
        <v>1</v>
      </c>
      <c r="I284" s="238">
        <v>1756</v>
      </c>
      <c r="J284" s="238"/>
      <c r="K284" s="238"/>
      <c r="L284" s="238"/>
      <c r="M284" s="238"/>
      <c r="N284" s="238"/>
      <c r="O284" s="238"/>
      <c r="P284" s="682"/>
      <c r="Q284" s="713"/>
    </row>
    <row r="285" spans="1:17" ht="14.4" customHeight="1" x14ac:dyDescent="0.3">
      <c r="A285" s="680" t="s">
        <v>534</v>
      </c>
      <c r="B285" s="671" t="s">
        <v>3845</v>
      </c>
      <c r="C285" s="671" t="s">
        <v>3417</v>
      </c>
      <c r="D285" s="671" t="s">
        <v>3420</v>
      </c>
      <c r="E285" s="671" t="s">
        <v>1863</v>
      </c>
      <c r="F285" s="238">
        <v>9</v>
      </c>
      <c r="G285" s="238">
        <v>1254.8699999999999</v>
      </c>
      <c r="H285" s="238">
        <v>1</v>
      </c>
      <c r="I285" s="238">
        <v>139.42999999999998</v>
      </c>
      <c r="J285" s="238"/>
      <c r="K285" s="238"/>
      <c r="L285" s="238"/>
      <c r="M285" s="238"/>
      <c r="N285" s="238"/>
      <c r="O285" s="238"/>
      <c r="P285" s="682"/>
      <c r="Q285" s="713"/>
    </row>
    <row r="286" spans="1:17" ht="14.4" customHeight="1" x14ac:dyDescent="0.3">
      <c r="A286" s="680" t="s">
        <v>534</v>
      </c>
      <c r="B286" s="671" t="s">
        <v>3845</v>
      </c>
      <c r="C286" s="671" t="s">
        <v>3417</v>
      </c>
      <c r="D286" s="671" t="s">
        <v>3846</v>
      </c>
      <c r="E286" s="671" t="s">
        <v>3847</v>
      </c>
      <c r="F286" s="238"/>
      <c r="G286" s="238"/>
      <c r="H286" s="238"/>
      <c r="I286" s="238"/>
      <c r="J286" s="238"/>
      <c r="K286" s="238"/>
      <c r="L286" s="238"/>
      <c r="M286" s="238"/>
      <c r="N286" s="238">
        <v>1.5</v>
      </c>
      <c r="O286" s="238">
        <v>959.94</v>
      </c>
      <c r="P286" s="682"/>
      <c r="Q286" s="713">
        <v>639.96</v>
      </c>
    </row>
    <row r="287" spans="1:17" ht="14.4" customHeight="1" x14ac:dyDescent="0.3">
      <c r="A287" s="680" t="s">
        <v>534</v>
      </c>
      <c r="B287" s="671" t="s">
        <v>3845</v>
      </c>
      <c r="C287" s="671" t="s">
        <v>3417</v>
      </c>
      <c r="D287" s="671" t="s">
        <v>3848</v>
      </c>
      <c r="E287" s="671" t="s">
        <v>3849</v>
      </c>
      <c r="F287" s="238">
        <v>1</v>
      </c>
      <c r="G287" s="238">
        <v>325.83</v>
      </c>
      <c r="H287" s="238">
        <v>1</v>
      </c>
      <c r="I287" s="238">
        <v>325.83</v>
      </c>
      <c r="J287" s="238"/>
      <c r="K287" s="238"/>
      <c r="L287" s="238"/>
      <c r="M287" s="238"/>
      <c r="N287" s="238"/>
      <c r="O287" s="238"/>
      <c r="P287" s="682"/>
      <c r="Q287" s="713"/>
    </row>
    <row r="288" spans="1:17" ht="14.4" customHeight="1" x14ac:dyDescent="0.3">
      <c r="A288" s="680" t="s">
        <v>534</v>
      </c>
      <c r="B288" s="671" t="s">
        <v>3845</v>
      </c>
      <c r="C288" s="671" t="s">
        <v>3417</v>
      </c>
      <c r="D288" s="671" t="s">
        <v>3422</v>
      </c>
      <c r="E288" s="671" t="s">
        <v>3423</v>
      </c>
      <c r="F288" s="238">
        <v>26.4</v>
      </c>
      <c r="G288" s="238">
        <v>28550</v>
      </c>
      <c r="H288" s="238">
        <v>1</v>
      </c>
      <c r="I288" s="238">
        <v>1081.439393939394</v>
      </c>
      <c r="J288" s="238">
        <v>1.4</v>
      </c>
      <c r="K288" s="238">
        <v>1511.04</v>
      </c>
      <c r="L288" s="238">
        <v>5.2926094570928194E-2</v>
      </c>
      <c r="M288" s="238">
        <v>1079.3142857142857</v>
      </c>
      <c r="N288" s="238"/>
      <c r="O288" s="238"/>
      <c r="P288" s="682"/>
      <c r="Q288" s="713"/>
    </row>
    <row r="289" spans="1:17" ht="14.4" customHeight="1" x14ac:dyDescent="0.3">
      <c r="A289" s="680" t="s">
        <v>534</v>
      </c>
      <c r="B289" s="671" t="s">
        <v>3845</v>
      </c>
      <c r="C289" s="671" t="s">
        <v>3417</v>
      </c>
      <c r="D289" s="671" t="s">
        <v>3424</v>
      </c>
      <c r="E289" s="671" t="s">
        <v>1245</v>
      </c>
      <c r="F289" s="238">
        <v>139</v>
      </c>
      <c r="G289" s="238">
        <v>13200.480000000003</v>
      </c>
      <c r="H289" s="238">
        <v>1</v>
      </c>
      <c r="I289" s="238">
        <v>94.967482014388509</v>
      </c>
      <c r="J289" s="238">
        <v>129</v>
      </c>
      <c r="K289" s="238">
        <v>8715.6999999999989</v>
      </c>
      <c r="L289" s="238">
        <v>0.66025629371053152</v>
      </c>
      <c r="M289" s="238">
        <v>67.563565891472862</v>
      </c>
      <c r="N289" s="238">
        <v>96</v>
      </c>
      <c r="O289" s="238">
        <v>5860.8</v>
      </c>
      <c r="P289" s="682">
        <v>0.44398385513254052</v>
      </c>
      <c r="Q289" s="713">
        <v>61.050000000000004</v>
      </c>
    </row>
    <row r="290" spans="1:17" ht="14.4" customHeight="1" x14ac:dyDescent="0.3">
      <c r="A290" s="680" t="s">
        <v>534</v>
      </c>
      <c r="B290" s="671" t="s">
        <v>3845</v>
      </c>
      <c r="C290" s="671" t="s">
        <v>3417</v>
      </c>
      <c r="D290" s="671" t="s">
        <v>3850</v>
      </c>
      <c r="E290" s="671" t="s">
        <v>3851</v>
      </c>
      <c r="F290" s="238"/>
      <c r="G290" s="238"/>
      <c r="H290" s="238"/>
      <c r="I290" s="238"/>
      <c r="J290" s="238">
        <v>32</v>
      </c>
      <c r="K290" s="238">
        <v>112077.08</v>
      </c>
      <c r="L290" s="238"/>
      <c r="M290" s="238">
        <v>3502.4087500000001</v>
      </c>
      <c r="N290" s="238"/>
      <c r="O290" s="238"/>
      <c r="P290" s="682"/>
      <c r="Q290" s="713"/>
    </row>
    <row r="291" spans="1:17" ht="14.4" customHeight="1" x14ac:dyDescent="0.3">
      <c r="A291" s="680" t="s">
        <v>534</v>
      </c>
      <c r="B291" s="671" t="s">
        <v>3845</v>
      </c>
      <c r="C291" s="671" t="s">
        <v>3417</v>
      </c>
      <c r="D291" s="671" t="s">
        <v>3852</v>
      </c>
      <c r="E291" s="671" t="s">
        <v>3299</v>
      </c>
      <c r="F291" s="238">
        <v>7</v>
      </c>
      <c r="G291" s="238">
        <v>27043.45</v>
      </c>
      <c r="H291" s="238">
        <v>1</v>
      </c>
      <c r="I291" s="238">
        <v>3863.35</v>
      </c>
      <c r="J291" s="238"/>
      <c r="K291" s="238"/>
      <c r="L291" s="238"/>
      <c r="M291" s="238"/>
      <c r="N291" s="238"/>
      <c r="O291" s="238"/>
      <c r="P291" s="682"/>
      <c r="Q291" s="713"/>
    </row>
    <row r="292" spans="1:17" ht="14.4" customHeight="1" x14ac:dyDescent="0.3">
      <c r="A292" s="680" t="s">
        <v>534</v>
      </c>
      <c r="B292" s="671" t="s">
        <v>3845</v>
      </c>
      <c r="C292" s="671" t="s">
        <v>3417</v>
      </c>
      <c r="D292" s="671" t="s">
        <v>3427</v>
      </c>
      <c r="E292" s="671" t="s">
        <v>1866</v>
      </c>
      <c r="F292" s="238">
        <v>199</v>
      </c>
      <c r="G292" s="238">
        <v>16728.84</v>
      </c>
      <c r="H292" s="238">
        <v>1</v>
      </c>
      <c r="I292" s="238">
        <v>84.064522613065321</v>
      </c>
      <c r="J292" s="238">
        <v>44</v>
      </c>
      <c r="K292" s="238">
        <v>2551.44</v>
      </c>
      <c r="L292" s="238">
        <v>0.1525174489085914</v>
      </c>
      <c r="M292" s="238">
        <v>57.987272727272732</v>
      </c>
      <c r="N292" s="238">
        <v>13</v>
      </c>
      <c r="O292" s="238">
        <v>524.67999999999995</v>
      </c>
      <c r="P292" s="682">
        <v>3.1363800478694276E-2</v>
      </c>
      <c r="Q292" s="713">
        <v>40.36</v>
      </c>
    </row>
    <row r="293" spans="1:17" ht="14.4" customHeight="1" x14ac:dyDescent="0.3">
      <c r="A293" s="680" t="s">
        <v>534</v>
      </c>
      <c r="B293" s="671" t="s">
        <v>3845</v>
      </c>
      <c r="C293" s="671" t="s">
        <v>3417</v>
      </c>
      <c r="D293" s="671" t="s">
        <v>3853</v>
      </c>
      <c r="E293" s="671" t="s">
        <v>3299</v>
      </c>
      <c r="F293" s="238"/>
      <c r="G293" s="238"/>
      <c r="H293" s="238"/>
      <c r="I293" s="238"/>
      <c r="J293" s="238">
        <v>35</v>
      </c>
      <c r="K293" s="238">
        <v>9585.17</v>
      </c>
      <c r="L293" s="238"/>
      <c r="M293" s="238">
        <v>273.86200000000002</v>
      </c>
      <c r="N293" s="238"/>
      <c r="O293" s="238"/>
      <c r="P293" s="682"/>
      <c r="Q293" s="713"/>
    </row>
    <row r="294" spans="1:17" ht="14.4" customHeight="1" x14ac:dyDescent="0.3">
      <c r="A294" s="680" t="s">
        <v>534</v>
      </c>
      <c r="B294" s="671" t="s">
        <v>3845</v>
      </c>
      <c r="C294" s="671" t="s">
        <v>3417</v>
      </c>
      <c r="D294" s="671" t="s">
        <v>3428</v>
      </c>
      <c r="E294" s="671" t="s">
        <v>1279</v>
      </c>
      <c r="F294" s="238">
        <v>6.9</v>
      </c>
      <c r="G294" s="238">
        <v>2602.85</v>
      </c>
      <c r="H294" s="238">
        <v>1</v>
      </c>
      <c r="I294" s="238">
        <v>377.22463768115938</v>
      </c>
      <c r="J294" s="238">
        <v>12.100000000000001</v>
      </c>
      <c r="K294" s="238">
        <v>4880.67</v>
      </c>
      <c r="L294" s="238">
        <v>1.8751253433736097</v>
      </c>
      <c r="M294" s="238">
        <v>403.36115702479333</v>
      </c>
      <c r="N294" s="238">
        <v>4.9000000000000004</v>
      </c>
      <c r="O294" s="238">
        <v>1980.5800000000002</v>
      </c>
      <c r="P294" s="682">
        <v>0.76092744491614972</v>
      </c>
      <c r="Q294" s="713">
        <v>404.2</v>
      </c>
    </row>
    <row r="295" spans="1:17" ht="14.4" customHeight="1" x14ac:dyDescent="0.3">
      <c r="A295" s="680" t="s">
        <v>534</v>
      </c>
      <c r="B295" s="671" t="s">
        <v>3845</v>
      </c>
      <c r="C295" s="671" t="s">
        <v>3417</v>
      </c>
      <c r="D295" s="671" t="s">
        <v>1669</v>
      </c>
      <c r="E295" s="671" t="s">
        <v>3854</v>
      </c>
      <c r="F295" s="238">
        <v>2</v>
      </c>
      <c r="G295" s="238">
        <v>13673.06</v>
      </c>
      <c r="H295" s="238">
        <v>1</v>
      </c>
      <c r="I295" s="238">
        <v>6836.53</v>
      </c>
      <c r="J295" s="238"/>
      <c r="K295" s="238"/>
      <c r="L295" s="238"/>
      <c r="M295" s="238"/>
      <c r="N295" s="238">
        <v>3</v>
      </c>
      <c r="O295" s="238">
        <v>20689.5</v>
      </c>
      <c r="P295" s="682">
        <v>1.5131579909691029</v>
      </c>
      <c r="Q295" s="713">
        <v>6896.5</v>
      </c>
    </row>
    <row r="296" spans="1:17" ht="14.4" customHeight="1" x14ac:dyDescent="0.3">
      <c r="A296" s="680" t="s">
        <v>534</v>
      </c>
      <c r="B296" s="671" t="s">
        <v>3845</v>
      </c>
      <c r="C296" s="671" t="s">
        <v>3417</v>
      </c>
      <c r="D296" s="671" t="s">
        <v>3431</v>
      </c>
      <c r="E296" s="671" t="s">
        <v>1869</v>
      </c>
      <c r="F296" s="238">
        <v>54</v>
      </c>
      <c r="G296" s="238">
        <v>10949.119999999999</v>
      </c>
      <c r="H296" s="238">
        <v>1</v>
      </c>
      <c r="I296" s="238">
        <v>202.76148148148147</v>
      </c>
      <c r="J296" s="238">
        <v>53</v>
      </c>
      <c r="K296" s="238">
        <v>2517.5</v>
      </c>
      <c r="L296" s="238">
        <v>0.22992715396305824</v>
      </c>
      <c r="M296" s="238">
        <v>47.5</v>
      </c>
      <c r="N296" s="238">
        <v>60</v>
      </c>
      <c r="O296" s="238">
        <v>2850</v>
      </c>
      <c r="P296" s="682">
        <v>0.26029489127893385</v>
      </c>
      <c r="Q296" s="713">
        <v>47.5</v>
      </c>
    </row>
    <row r="297" spans="1:17" ht="14.4" customHeight="1" x14ac:dyDescent="0.3">
      <c r="A297" s="680" t="s">
        <v>534</v>
      </c>
      <c r="B297" s="671" t="s">
        <v>3845</v>
      </c>
      <c r="C297" s="671" t="s">
        <v>3417</v>
      </c>
      <c r="D297" s="671" t="s">
        <v>3432</v>
      </c>
      <c r="E297" s="671" t="s">
        <v>3433</v>
      </c>
      <c r="F297" s="238"/>
      <c r="G297" s="238"/>
      <c r="H297" s="238"/>
      <c r="I297" s="238"/>
      <c r="J297" s="238">
        <v>1.9</v>
      </c>
      <c r="K297" s="238">
        <v>1093.07</v>
      </c>
      <c r="L297" s="238"/>
      <c r="M297" s="238">
        <v>575.29999999999995</v>
      </c>
      <c r="N297" s="238">
        <v>3.9</v>
      </c>
      <c r="O297" s="238">
        <v>2243.67</v>
      </c>
      <c r="P297" s="682"/>
      <c r="Q297" s="713">
        <v>575.30000000000007</v>
      </c>
    </row>
    <row r="298" spans="1:17" ht="14.4" customHeight="1" x14ac:dyDescent="0.3">
      <c r="A298" s="680" t="s">
        <v>534</v>
      </c>
      <c r="B298" s="671" t="s">
        <v>3845</v>
      </c>
      <c r="C298" s="671" t="s">
        <v>3417</v>
      </c>
      <c r="D298" s="671" t="s">
        <v>3434</v>
      </c>
      <c r="E298" s="671" t="s">
        <v>3435</v>
      </c>
      <c r="F298" s="238">
        <v>0.8</v>
      </c>
      <c r="G298" s="238">
        <v>124.91</v>
      </c>
      <c r="H298" s="238">
        <v>1</v>
      </c>
      <c r="I298" s="238">
        <v>156.13749999999999</v>
      </c>
      <c r="J298" s="238"/>
      <c r="K298" s="238"/>
      <c r="L298" s="238"/>
      <c r="M298" s="238"/>
      <c r="N298" s="238">
        <v>24.2</v>
      </c>
      <c r="O298" s="238">
        <v>6835.59</v>
      </c>
      <c r="P298" s="682">
        <v>54.724121367384519</v>
      </c>
      <c r="Q298" s="713">
        <v>282.46239669421487</v>
      </c>
    </row>
    <row r="299" spans="1:17" ht="14.4" customHeight="1" x14ac:dyDescent="0.3">
      <c r="A299" s="680" t="s">
        <v>534</v>
      </c>
      <c r="B299" s="671" t="s">
        <v>3845</v>
      </c>
      <c r="C299" s="671" t="s">
        <v>3417</v>
      </c>
      <c r="D299" s="671" t="s">
        <v>3436</v>
      </c>
      <c r="E299" s="671" t="s">
        <v>1855</v>
      </c>
      <c r="F299" s="238">
        <v>1.6</v>
      </c>
      <c r="G299" s="238">
        <v>915.67</v>
      </c>
      <c r="H299" s="238">
        <v>1</v>
      </c>
      <c r="I299" s="238">
        <v>572.29374999999993</v>
      </c>
      <c r="J299" s="238">
        <v>3.2</v>
      </c>
      <c r="K299" s="238">
        <v>1211.25</v>
      </c>
      <c r="L299" s="238">
        <v>1.3228018827743619</v>
      </c>
      <c r="M299" s="238">
        <v>378.515625</v>
      </c>
      <c r="N299" s="238">
        <v>1.2</v>
      </c>
      <c r="O299" s="238">
        <v>455.7</v>
      </c>
      <c r="P299" s="682">
        <v>0.49766837397752467</v>
      </c>
      <c r="Q299" s="713">
        <v>379.75</v>
      </c>
    </row>
    <row r="300" spans="1:17" ht="14.4" customHeight="1" x14ac:dyDescent="0.3">
      <c r="A300" s="680" t="s">
        <v>534</v>
      </c>
      <c r="B300" s="671" t="s">
        <v>3845</v>
      </c>
      <c r="C300" s="671" t="s">
        <v>3417</v>
      </c>
      <c r="D300" s="671" t="s">
        <v>3437</v>
      </c>
      <c r="E300" s="671" t="s">
        <v>3438</v>
      </c>
      <c r="F300" s="238">
        <v>5</v>
      </c>
      <c r="G300" s="238">
        <v>28641.93</v>
      </c>
      <c r="H300" s="238">
        <v>1</v>
      </c>
      <c r="I300" s="238">
        <v>5728.3860000000004</v>
      </c>
      <c r="J300" s="238"/>
      <c r="K300" s="238"/>
      <c r="L300" s="238"/>
      <c r="M300" s="238"/>
      <c r="N300" s="238"/>
      <c r="O300" s="238"/>
      <c r="P300" s="682"/>
      <c r="Q300" s="713"/>
    </row>
    <row r="301" spans="1:17" ht="14.4" customHeight="1" x14ac:dyDescent="0.3">
      <c r="A301" s="680" t="s">
        <v>534</v>
      </c>
      <c r="B301" s="671" t="s">
        <v>3845</v>
      </c>
      <c r="C301" s="671" t="s">
        <v>3417</v>
      </c>
      <c r="D301" s="671" t="s">
        <v>3439</v>
      </c>
      <c r="E301" s="671" t="s">
        <v>1898</v>
      </c>
      <c r="F301" s="238"/>
      <c r="G301" s="238"/>
      <c r="H301" s="238"/>
      <c r="I301" s="238"/>
      <c r="J301" s="238">
        <v>2</v>
      </c>
      <c r="K301" s="238">
        <v>81.900000000000006</v>
      </c>
      <c r="L301" s="238"/>
      <c r="M301" s="238">
        <v>40.950000000000003</v>
      </c>
      <c r="N301" s="238">
        <v>15</v>
      </c>
      <c r="O301" s="238">
        <v>614.25</v>
      </c>
      <c r="P301" s="682"/>
      <c r="Q301" s="713">
        <v>40.950000000000003</v>
      </c>
    </row>
    <row r="302" spans="1:17" ht="14.4" customHeight="1" x14ac:dyDescent="0.3">
      <c r="A302" s="680" t="s">
        <v>534</v>
      </c>
      <c r="B302" s="671" t="s">
        <v>3845</v>
      </c>
      <c r="C302" s="671" t="s">
        <v>3417</v>
      </c>
      <c r="D302" s="671" t="s">
        <v>3855</v>
      </c>
      <c r="E302" s="671" t="s">
        <v>3856</v>
      </c>
      <c r="F302" s="238"/>
      <c r="G302" s="238"/>
      <c r="H302" s="238"/>
      <c r="I302" s="238"/>
      <c r="J302" s="238">
        <v>6.6</v>
      </c>
      <c r="K302" s="238">
        <v>25911.05</v>
      </c>
      <c r="L302" s="238"/>
      <c r="M302" s="238">
        <v>3925.916666666667</v>
      </c>
      <c r="N302" s="238">
        <v>3</v>
      </c>
      <c r="O302" s="238">
        <v>11777.7</v>
      </c>
      <c r="P302" s="682"/>
      <c r="Q302" s="713">
        <v>3925.9</v>
      </c>
    </row>
    <row r="303" spans="1:17" ht="14.4" customHeight="1" x14ac:dyDescent="0.3">
      <c r="A303" s="680" t="s">
        <v>534</v>
      </c>
      <c r="B303" s="671" t="s">
        <v>3845</v>
      </c>
      <c r="C303" s="671" t="s">
        <v>3417</v>
      </c>
      <c r="D303" s="671" t="s">
        <v>3857</v>
      </c>
      <c r="E303" s="671" t="s">
        <v>3858</v>
      </c>
      <c r="F303" s="238">
        <v>0.8</v>
      </c>
      <c r="G303" s="238">
        <v>378</v>
      </c>
      <c r="H303" s="238">
        <v>1</v>
      </c>
      <c r="I303" s="238">
        <v>472.5</v>
      </c>
      <c r="J303" s="238"/>
      <c r="K303" s="238"/>
      <c r="L303" s="238"/>
      <c r="M303" s="238"/>
      <c r="N303" s="238"/>
      <c r="O303" s="238"/>
      <c r="P303" s="682"/>
      <c r="Q303" s="713"/>
    </row>
    <row r="304" spans="1:17" ht="14.4" customHeight="1" x14ac:dyDescent="0.3">
      <c r="A304" s="680" t="s">
        <v>534</v>
      </c>
      <c r="B304" s="671" t="s">
        <v>3845</v>
      </c>
      <c r="C304" s="671" t="s">
        <v>3417</v>
      </c>
      <c r="D304" s="671" t="s">
        <v>3448</v>
      </c>
      <c r="E304" s="671" t="s">
        <v>1237</v>
      </c>
      <c r="F304" s="238">
        <v>3.3</v>
      </c>
      <c r="G304" s="238">
        <v>281.16000000000003</v>
      </c>
      <c r="H304" s="238">
        <v>1</v>
      </c>
      <c r="I304" s="238">
        <v>85.200000000000017</v>
      </c>
      <c r="J304" s="238">
        <v>7.5</v>
      </c>
      <c r="K304" s="238">
        <v>722.05</v>
      </c>
      <c r="L304" s="238">
        <v>2.5681106843078672</v>
      </c>
      <c r="M304" s="238">
        <v>96.273333333333326</v>
      </c>
      <c r="N304" s="238">
        <v>7.2</v>
      </c>
      <c r="O304" s="238">
        <v>698.07999999999993</v>
      </c>
      <c r="P304" s="682">
        <v>2.4828567363778626</v>
      </c>
      <c r="Q304" s="713">
        <v>96.955555555555549</v>
      </c>
    </row>
    <row r="305" spans="1:17" ht="14.4" customHeight="1" x14ac:dyDescent="0.3">
      <c r="A305" s="680" t="s">
        <v>534</v>
      </c>
      <c r="B305" s="671" t="s">
        <v>3845</v>
      </c>
      <c r="C305" s="671" t="s">
        <v>3417</v>
      </c>
      <c r="D305" s="671" t="s">
        <v>3449</v>
      </c>
      <c r="E305" s="671" t="s">
        <v>3450</v>
      </c>
      <c r="F305" s="238">
        <v>58</v>
      </c>
      <c r="G305" s="238">
        <v>88420.64</v>
      </c>
      <c r="H305" s="238">
        <v>1</v>
      </c>
      <c r="I305" s="238">
        <v>1524.4937931034483</v>
      </c>
      <c r="J305" s="238">
        <v>35</v>
      </c>
      <c r="K305" s="238">
        <v>47105.8</v>
      </c>
      <c r="L305" s="238">
        <v>0.53274665281771316</v>
      </c>
      <c r="M305" s="238">
        <v>1345.88</v>
      </c>
      <c r="N305" s="238">
        <v>22</v>
      </c>
      <c r="O305" s="238">
        <v>29609.359999999997</v>
      </c>
      <c r="P305" s="682">
        <v>0.33486932462827679</v>
      </c>
      <c r="Q305" s="713">
        <v>1345.8799999999999</v>
      </c>
    </row>
    <row r="306" spans="1:17" ht="14.4" customHeight="1" x14ac:dyDescent="0.3">
      <c r="A306" s="680" t="s">
        <v>534</v>
      </c>
      <c r="B306" s="671" t="s">
        <v>3845</v>
      </c>
      <c r="C306" s="671" t="s">
        <v>3417</v>
      </c>
      <c r="D306" s="671" t="s">
        <v>3859</v>
      </c>
      <c r="E306" s="671" t="s">
        <v>3860</v>
      </c>
      <c r="F306" s="238"/>
      <c r="G306" s="238"/>
      <c r="H306" s="238"/>
      <c r="I306" s="238"/>
      <c r="J306" s="238">
        <v>0.4</v>
      </c>
      <c r="K306" s="238">
        <v>229.99</v>
      </c>
      <c r="L306" s="238"/>
      <c r="M306" s="238">
        <v>574.97500000000002</v>
      </c>
      <c r="N306" s="238"/>
      <c r="O306" s="238"/>
      <c r="P306" s="682"/>
      <c r="Q306" s="713"/>
    </row>
    <row r="307" spans="1:17" ht="14.4" customHeight="1" x14ac:dyDescent="0.3">
      <c r="A307" s="680" t="s">
        <v>534</v>
      </c>
      <c r="B307" s="671" t="s">
        <v>3845</v>
      </c>
      <c r="C307" s="671" t="s">
        <v>3417</v>
      </c>
      <c r="D307" s="671" t="s">
        <v>3451</v>
      </c>
      <c r="E307" s="671" t="s">
        <v>1253</v>
      </c>
      <c r="F307" s="238"/>
      <c r="G307" s="238"/>
      <c r="H307" s="238"/>
      <c r="I307" s="238"/>
      <c r="J307" s="238">
        <v>2.5</v>
      </c>
      <c r="K307" s="238">
        <v>2874.91</v>
      </c>
      <c r="L307" s="238"/>
      <c r="M307" s="238">
        <v>1149.9639999999999</v>
      </c>
      <c r="N307" s="238"/>
      <c r="O307" s="238"/>
      <c r="P307" s="682"/>
      <c r="Q307" s="713"/>
    </row>
    <row r="308" spans="1:17" ht="14.4" customHeight="1" x14ac:dyDescent="0.3">
      <c r="A308" s="680" t="s">
        <v>534</v>
      </c>
      <c r="B308" s="671" t="s">
        <v>3845</v>
      </c>
      <c r="C308" s="671" t="s">
        <v>3417</v>
      </c>
      <c r="D308" s="671" t="s">
        <v>3452</v>
      </c>
      <c r="E308" s="671" t="s">
        <v>3453</v>
      </c>
      <c r="F308" s="238"/>
      <c r="G308" s="238"/>
      <c r="H308" s="238"/>
      <c r="I308" s="238"/>
      <c r="J308" s="238">
        <v>2.7</v>
      </c>
      <c r="K308" s="238">
        <v>1693.17</v>
      </c>
      <c r="L308" s="238"/>
      <c r="M308" s="238">
        <v>627.1</v>
      </c>
      <c r="N308" s="238"/>
      <c r="O308" s="238"/>
      <c r="P308" s="682"/>
      <c r="Q308" s="713"/>
    </row>
    <row r="309" spans="1:17" ht="14.4" customHeight="1" x14ac:dyDescent="0.3">
      <c r="A309" s="680" t="s">
        <v>534</v>
      </c>
      <c r="B309" s="671" t="s">
        <v>3845</v>
      </c>
      <c r="C309" s="671" t="s">
        <v>3417</v>
      </c>
      <c r="D309" s="671" t="s">
        <v>3861</v>
      </c>
      <c r="E309" s="671" t="s">
        <v>3862</v>
      </c>
      <c r="F309" s="238"/>
      <c r="G309" s="238"/>
      <c r="H309" s="238"/>
      <c r="I309" s="238"/>
      <c r="J309" s="238">
        <v>2.62</v>
      </c>
      <c r="K309" s="238">
        <v>9505.4599999999991</v>
      </c>
      <c r="L309" s="238"/>
      <c r="M309" s="238">
        <v>3628.0381679389307</v>
      </c>
      <c r="N309" s="238">
        <v>5.35</v>
      </c>
      <c r="O309" s="238">
        <v>19409.990000000002</v>
      </c>
      <c r="P309" s="682"/>
      <c r="Q309" s="713">
        <v>3628.0355140186921</v>
      </c>
    </row>
    <row r="310" spans="1:17" ht="14.4" customHeight="1" x14ac:dyDescent="0.3">
      <c r="A310" s="680" t="s">
        <v>534</v>
      </c>
      <c r="B310" s="671" t="s">
        <v>3845</v>
      </c>
      <c r="C310" s="671" t="s">
        <v>3454</v>
      </c>
      <c r="D310" s="671" t="s">
        <v>3455</v>
      </c>
      <c r="E310" s="671" t="s">
        <v>3456</v>
      </c>
      <c r="F310" s="238">
        <v>108</v>
      </c>
      <c r="G310" s="238">
        <v>278620.56</v>
      </c>
      <c r="H310" s="238">
        <v>1</v>
      </c>
      <c r="I310" s="238">
        <v>2579.8200000000002</v>
      </c>
      <c r="J310" s="238">
        <v>144</v>
      </c>
      <c r="K310" s="238">
        <v>381595.62</v>
      </c>
      <c r="L310" s="238">
        <v>1.3695888774324478</v>
      </c>
      <c r="M310" s="238">
        <v>2649.9695833333335</v>
      </c>
      <c r="N310" s="238">
        <v>99</v>
      </c>
      <c r="O310" s="238">
        <v>270142.29000000004</v>
      </c>
      <c r="P310" s="682">
        <v>0.96957055143382109</v>
      </c>
      <c r="Q310" s="713">
        <v>2728.7100000000005</v>
      </c>
    </row>
    <row r="311" spans="1:17" ht="14.4" customHeight="1" x14ac:dyDescent="0.3">
      <c r="A311" s="680" t="s">
        <v>534</v>
      </c>
      <c r="B311" s="671" t="s">
        <v>3845</v>
      </c>
      <c r="C311" s="671" t="s">
        <v>3454</v>
      </c>
      <c r="D311" s="671" t="s">
        <v>3863</v>
      </c>
      <c r="E311" s="671" t="s">
        <v>3864</v>
      </c>
      <c r="F311" s="238">
        <v>1</v>
      </c>
      <c r="G311" s="238">
        <v>7804.21</v>
      </c>
      <c r="H311" s="238">
        <v>1</v>
      </c>
      <c r="I311" s="238">
        <v>7804.21</v>
      </c>
      <c r="J311" s="238"/>
      <c r="K311" s="238"/>
      <c r="L311" s="238"/>
      <c r="M311" s="238"/>
      <c r="N311" s="238"/>
      <c r="O311" s="238"/>
      <c r="P311" s="682"/>
      <c r="Q311" s="713"/>
    </row>
    <row r="312" spans="1:17" ht="14.4" customHeight="1" x14ac:dyDescent="0.3">
      <c r="A312" s="680" t="s">
        <v>534</v>
      </c>
      <c r="B312" s="671" t="s">
        <v>3845</v>
      </c>
      <c r="C312" s="671" t="s">
        <v>3454</v>
      </c>
      <c r="D312" s="671" t="s">
        <v>3457</v>
      </c>
      <c r="E312" s="671" t="s">
        <v>3458</v>
      </c>
      <c r="F312" s="238">
        <v>2</v>
      </c>
      <c r="G312" s="238">
        <v>18078.02</v>
      </c>
      <c r="H312" s="238">
        <v>1</v>
      </c>
      <c r="I312" s="238">
        <v>9039.01</v>
      </c>
      <c r="J312" s="238">
        <v>6</v>
      </c>
      <c r="K312" s="238">
        <v>55536.060000000005</v>
      </c>
      <c r="L312" s="238">
        <v>3.0720211616095128</v>
      </c>
      <c r="M312" s="238">
        <v>9256.01</v>
      </c>
      <c r="N312" s="238">
        <v>5</v>
      </c>
      <c r="O312" s="238">
        <v>48430.5</v>
      </c>
      <c r="P312" s="682">
        <v>2.6789714802837921</v>
      </c>
      <c r="Q312" s="713">
        <v>9686.1</v>
      </c>
    </row>
    <row r="313" spans="1:17" ht="14.4" customHeight="1" x14ac:dyDescent="0.3">
      <c r="A313" s="680" t="s">
        <v>534</v>
      </c>
      <c r="B313" s="671" t="s">
        <v>3845</v>
      </c>
      <c r="C313" s="671" t="s">
        <v>3454</v>
      </c>
      <c r="D313" s="671" t="s">
        <v>3459</v>
      </c>
      <c r="E313" s="671" t="s">
        <v>3460</v>
      </c>
      <c r="F313" s="238">
        <v>76</v>
      </c>
      <c r="G313" s="238">
        <v>65338.720000000001</v>
      </c>
      <c r="H313" s="238">
        <v>1</v>
      </c>
      <c r="I313" s="238">
        <v>859.72</v>
      </c>
      <c r="J313" s="238">
        <v>96</v>
      </c>
      <c r="K313" s="238">
        <v>85848.6</v>
      </c>
      <c r="L313" s="238">
        <v>1.3139008538887815</v>
      </c>
      <c r="M313" s="238">
        <v>894.25625000000002</v>
      </c>
      <c r="N313" s="238">
        <v>63</v>
      </c>
      <c r="O313" s="238">
        <v>58310.91</v>
      </c>
      <c r="P313" s="682">
        <v>0.89244034777540793</v>
      </c>
      <c r="Q313" s="713">
        <v>925.57</v>
      </c>
    </row>
    <row r="314" spans="1:17" ht="14.4" customHeight="1" x14ac:dyDescent="0.3">
      <c r="A314" s="680" t="s">
        <v>534</v>
      </c>
      <c r="B314" s="671" t="s">
        <v>3845</v>
      </c>
      <c r="C314" s="671" t="s">
        <v>3461</v>
      </c>
      <c r="D314" s="671" t="s">
        <v>3865</v>
      </c>
      <c r="E314" s="671" t="s">
        <v>3866</v>
      </c>
      <c r="F314" s="238"/>
      <c r="G314" s="238"/>
      <c r="H314" s="238"/>
      <c r="I314" s="238"/>
      <c r="J314" s="238"/>
      <c r="K314" s="238"/>
      <c r="L314" s="238"/>
      <c r="M314" s="238"/>
      <c r="N314" s="238">
        <v>1</v>
      </c>
      <c r="O314" s="238">
        <v>687</v>
      </c>
      <c r="P314" s="682"/>
      <c r="Q314" s="713">
        <v>687</v>
      </c>
    </row>
    <row r="315" spans="1:17" ht="14.4" customHeight="1" x14ac:dyDescent="0.3">
      <c r="A315" s="680" t="s">
        <v>534</v>
      </c>
      <c r="B315" s="671" t="s">
        <v>3845</v>
      </c>
      <c r="C315" s="671" t="s">
        <v>3461</v>
      </c>
      <c r="D315" s="671" t="s">
        <v>3867</v>
      </c>
      <c r="E315" s="671" t="s">
        <v>3868</v>
      </c>
      <c r="F315" s="238">
        <v>5</v>
      </c>
      <c r="G315" s="238">
        <v>3822</v>
      </c>
      <c r="H315" s="238">
        <v>1</v>
      </c>
      <c r="I315" s="238">
        <v>764.4</v>
      </c>
      <c r="J315" s="238">
        <v>3</v>
      </c>
      <c r="K315" s="238">
        <v>2293.1999999999998</v>
      </c>
      <c r="L315" s="238">
        <v>0.6</v>
      </c>
      <c r="M315" s="238">
        <v>764.4</v>
      </c>
      <c r="N315" s="238">
        <v>3</v>
      </c>
      <c r="O315" s="238">
        <v>2293.1999999999998</v>
      </c>
      <c r="P315" s="682">
        <v>0.6</v>
      </c>
      <c r="Q315" s="713">
        <v>764.4</v>
      </c>
    </row>
    <row r="316" spans="1:17" ht="14.4" customHeight="1" x14ac:dyDescent="0.3">
      <c r="A316" s="680" t="s">
        <v>534</v>
      </c>
      <c r="B316" s="671" t="s">
        <v>3845</v>
      </c>
      <c r="C316" s="671" t="s">
        <v>3461</v>
      </c>
      <c r="D316" s="671" t="s">
        <v>3869</v>
      </c>
      <c r="E316" s="671" t="s">
        <v>3870</v>
      </c>
      <c r="F316" s="238">
        <v>1</v>
      </c>
      <c r="G316" s="238">
        <v>47653</v>
      </c>
      <c r="H316" s="238">
        <v>1</v>
      </c>
      <c r="I316" s="238">
        <v>47653</v>
      </c>
      <c r="J316" s="238"/>
      <c r="K316" s="238"/>
      <c r="L316" s="238"/>
      <c r="M316" s="238"/>
      <c r="N316" s="238"/>
      <c r="O316" s="238"/>
      <c r="P316" s="682"/>
      <c r="Q316" s="713"/>
    </row>
    <row r="317" spans="1:17" ht="14.4" customHeight="1" x14ac:dyDescent="0.3">
      <c r="A317" s="680" t="s">
        <v>534</v>
      </c>
      <c r="B317" s="671" t="s">
        <v>3845</v>
      </c>
      <c r="C317" s="671" t="s">
        <v>3461</v>
      </c>
      <c r="D317" s="671" t="s">
        <v>3871</v>
      </c>
      <c r="E317" s="671" t="s">
        <v>3872</v>
      </c>
      <c r="F317" s="238">
        <v>1</v>
      </c>
      <c r="G317" s="238">
        <v>19401</v>
      </c>
      <c r="H317" s="238">
        <v>1</v>
      </c>
      <c r="I317" s="238">
        <v>19401</v>
      </c>
      <c r="J317" s="238"/>
      <c r="K317" s="238"/>
      <c r="L317" s="238"/>
      <c r="M317" s="238"/>
      <c r="N317" s="238"/>
      <c r="O317" s="238"/>
      <c r="P317" s="682"/>
      <c r="Q317" s="713"/>
    </row>
    <row r="318" spans="1:17" ht="14.4" customHeight="1" x14ac:dyDescent="0.3">
      <c r="A318" s="680" t="s">
        <v>534</v>
      </c>
      <c r="B318" s="671" t="s">
        <v>3845</v>
      </c>
      <c r="C318" s="671" t="s">
        <v>3461</v>
      </c>
      <c r="D318" s="671" t="s">
        <v>3873</v>
      </c>
      <c r="E318" s="671" t="s">
        <v>3872</v>
      </c>
      <c r="F318" s="238">
        <v>2</v>
      </c>
      <c r="G318" s="238">
        <v>1190</v>
      </c>
      <c r="H318" s="238">
        <v>1</v>
      </c>
      <c r="I318" s="238">
        <v>595</v>
      </c>
      <c r="J318" s="238"/>
      <c r="K318" s="238"/>
      <c r="L318" s="238"/>
      <c r="M318" s="238"/>
      <c r="N318" s="238"/>
      <c r="O318" s="238"/>
      <c r="P318" s="682"/>
      <c r="Q318" s="713"/>
    </row>
    <row r="319" spans="1:17" ht="14.4" customHeight="1" x14ac:dyDescent="0.3">
      <c r="A319" s="680" t="s">
        <v>534</v>
      </c>
      <c r="B319" s="671" t="s">
        <v>3845</v>
      </c>
      <c r="C319" s="671" t="s">
        <v>3461</v>
      </c>
      <c r="D319" s="671" t="s">
        <v>3472</v>
      </c>
      <c r="E319" s="671" t="s">
        <v>3473</v>
      </c>
      <c r="F319" s="238">
        <v>7</v>
      </c>
      <c r="G319" s="238">
        <v>123564</v>
      </c>
      <c r="H319" s="238">
        <v>1</v>
      </c>
      <c r="I319" s="238">
        <v>17652</v>
      </c>
      <c r="J319" s="238">
        <v>12</v>
      </c>
      <c r="K319" s="238">
        <v>211824</v>
      </c>
      <c r="L319" s="238">
        <v>1.7142857142857142</v>
      </c>
      <c r="M319" s="238">
        <v>17652</v>
      </c>
      <c r="N319" s="238">
        <v>9</v>
      </c>
      <c r="O319" s="238">
        <v>158868</v>
      </c>
      <c r="P319" s="682">
        <v>1.2857142857142858</v>
      </c>
      <c r="Q319" s="713">
        <v>17652</v>
      </c>
    </row>
    <row r="320" spans="1:17" ht="14.4" customHeight="1" x14ac:dyDescent="0.3">
      <c r="A320" s="680" t="s">
        <v>534</v>
      </c>
      <c r="B320" s="671" t="s">
        <v>3845</v>
      </c>
      <c r="C320" s="671" t="s">
        <v>3461</v>
      </c>
      <c r="D320" s="671" t="s">
        <v>3474</v>
      </c>
      <c r="E320" s="671" t="s">
        <v>3475</v>
      </c>
      <c r="F320" s="238">
        <v>7</v>
      </c>
      <c r="G320" s="238">
        <v>46795</v>
      </c>
      <c r="H320" s="238">
        <v>1</v>
      </c>
      <c r="I320" s="238">
        <v>6685</v>
      </c>
      <c r="J320" s="238">
        <v>12</v>
      </c>
      <c r="K320" s="238">
        <v>80220</v>
      </c>
      <c r="L320" s="238">
        <v>1.7142857142857142</v>
      </c>
      <c r="M320" s="238">
        <v>6685</v>
      </c>
      <c r="N320" s="238">
        <v>9</v>
      </c>
      <c r="O320" s="238">
        <v>60165</v>
      </c>
      <c r="P320" s="682">
        <v>1.2857142857142858</v>
      </c>
      <c r="Q320" s="713">
        <v>6685</v>
      </c>
    </row>
    <row r="321" spans="1:17" ht="14.4" customHeight="1" x14ac:dyDescent="0.3">
      <c r="A321" s="680" t="s">
        <v>534</v>
      </c>
      <c r="B321" s="671" t="s">
        <v>3845</v>
      </c>
      <c r="C321" s="671" t="s">
        <v>3461</v>
      </c>
      <c r="D321" s="671" t="s">
        <v>3476</v>
      </c>
      <c r="E321" s="671" t="s">
        <v>3477</v>
      </c>
      <c r="F321" s="238">
        <v>7</v>
      </c>
      <c r="G321" s="238">
        <v>125195</v>
      </c>
      <c r="H321" s="238">
        <v>1</v>
      </c>
      <c r="I321" s="238">
        <v>17885</v>
      </c>
      <c r="J321" s="238">
        <v>3</v>
      </c>
      <c r="K321" s="238">
        <v>53655</v>
      </c>
      <c r="L321" s="238">
        <v>0.42857142857142855</v>
      </c>
      <c r="M321" s="238">
        <v>17885</v>
      </c>
      <c r="N321" s="238">
        <v>1</v>
      </c>
      <c r="O321" s="238">
        <v>17885</v>
      </c>
      <c r="P321" s="682">
        <v>0.14285714285714285</v>
      </c>
      <c r="Q321" s="713">
        <v>17885</v>
      </c>
    </row>
    <row r="322" spans="1:17" ht="14.4" customHeight="1" x14ac:dyDescent="0.3">
      <c r="A322" s="680" t="s">
        <v>534</v>
      </c>
      <c r="B322" s="671" t="s">
        <v>3845</v>
      </c>
      <c r="C322" s="671" t="s">
        <v>3461</v>
      </c>
      <c r="D322" s="671" t="s">
        <v>3478</v>
      </c>
      <c r="E322" s="671" t="s">
        <v>3479</v>
      </c>
      <c r="F322" s="238">
        <v>7</v>
      </c>
      <c r="G322" s="238">
        <v>47740</v>
      </c>
      <c r="H322" s="238">
        <v>1</v>
      </c>
      <c r="I322" s="238">
        <v>6820</v>
      </c>
      <c r="J322" s="238">
        <v>3</v>
      </c>
      <c r="K322" s="238">
        <v>20460</v>
      </c>
      <c r="L322" s="238">
        <v>0.42857142857142855</v>
      </c>
      <c r="M322" s="238">
        <v>6820</v>
      </c>
      <c r="N322" s="238">
        <v>1</v>
      </c>
      <c r="O322" s="238">
        <v>6820</v>
      </c>
      <c r="P322" s="682">
        <v>0.14285714285714285</v>
      </c>
      <c r="Q322" s="713">
        <v>6820</v>
      </c>
    </row>
    <row r="323" spans="1:17" ht="14.4" customHeight="1" x14ac:dyDescent="0.3">
      <c r="A323" s="680" t="s">
        <v>534</v>
      </c>
      <c r="B323" s="671" t="s">
        <v>3845</v>
      </c>
      <c r="C323" s="671" t="s">
        <v>3461</v>
      </c>
      <c r="D323" s="671" t="s">
        <v>3480</v>
      </c>
      <c r="E323" s="671" t="s">
        <v>3481</v>
      </c>
      <c r="F323" s="238">
        <v>9</v>
      </c>
      <c r="G323" s="238">
        <v>63900</v>
      </c>
      <c r="H323" s="238">
        <v>1</v>
      </c>
      <c r="I323" s="238">
        <v>7100</v>
      </c>
      <c r="J323" s="238">
        <v>9</v>
      </c>
      <c r="K323" s="238">
        <v>63900</v>
      </c>
      <c r="L323" s="238">
        <v>1</v>
      </c>
      <c r="M323" s="238">
        <v>7100</v>
      </c>
      <c r="N323" s="238">
        <v>10</v>
      </c>
      <c r="O323" s="238">
        <v>71000</v>
      </c>
      <c r="P323" s="682">
        <v>1.1111111111111112</v>
      </c>
      <c r="Q323" s="713">
        <v>7100</v>
      </c>
    </row>
    <row r="324" spans="1:17" ht="14.4" customHeight="1" x14ac:dyDescent="0.3">
      <c r="A324" s="680" t="s">
        <v>534</v>
      </c>
      <c r="B324" s="671" t="s">
        <v>3845</v>
      </c>
      <c r="C324" s="671" t="s">
        <v>3461</v>
      </c>
      <c r="D324" s="671" t="s">
        <v>3482</v>
      </c>
      <c r="E324" s="671" t="s">
        <v>3483</v>
      </c>
      <c r="F324" s="238">
        <v>7</v>
      </c>
      <c r="G324" s="238">
        <v>61600</v>
      </c>
      <c r="H324" s="238">
        <v>1</v>
      </c>
      <c r="I324" s="238">
        <v>8800</v>
      </c>
      <c r="J324" s="238">
        <v>3</v>
      </c>
      <c r="K324" s="238">
        <v>26400</v>
      </c>
      <c r="L324" s="238">
        <v>0.42857142857142855</v>
      </c>
      <c r="M324" s="238">
        <v>8800</v>
      </c>
      <c r="N324" s="238">
        <v>1</v>
      </c>
      <c r="O324" s="238">
        <v>8800</v>
      </c>
      <c r="P324" s="682">
        <v>0.14285714285714285</v>
      </c>
      <c r="Q324" s="713">
        <v>8800</v>
      </c>
    </row>
    <row r="325" spans="1:17" ht="14.4" customHeight="1" x14ac:dyDescent="0.3">
      <c r="A325" s="680" t="s">
        <v>534</v>
      </c>
      <c r="B325" s="671" t="s">
        <v>3845</v>
      </c>
      <c r="C325" s="671" t="s">
        <v>3461</v>
      </c>
      <c r="D325" s="671" t="s">
        <v>3484</v>
      </c>
      <c r="E325" s="671" t="s">
        <v>3485</v>
      </c>
      <c r="F325" s="238">
        <v>6</v>
      </c>
      <c r="G325" s="238">
        <v>6990</v>
      </c>
      <c r="H325" s="238">
        <v>1</v>
      </c>
      <c r="I325" s="238">
        <v>1165</v>
      </c>
      <c r="J325" s="238">
        <v>14</v>
      </c>
      <c r="K325" s="238">
        <v>16310</v>
      </c>
      <c r="L325" s="238">
        <v>2.3333333333333335</v>
      </c>
      <c r="M325" s="238">
        <v>1165</v>
      </c>
      <c r="N325" s="238">
        <v>9</v>
      </c>
      <c r="O325" s="238">
        <v>10485</v>
      </c>
      <c r="P325" s="682">
        <v>1.5</v>
      </c>
      <c r="Q325" s="713">
        <v>1165</v>
      </c>
    </row>
    <row r="326" spans="1:17" ht="14.4" customHeight="1" x14ac:dyDescent="0.3">
      <c r="A326" s="680" t="s">
        <v>534</v>
      </c>
      <c r="B326" s="671" t="s">
        <v>3845</v>
      </c>
      <c r="C326" s="671" t="s">
        <v>3461</v>
      </c>
      <c r="D326" s="671" t="s">
        <v>3486</v>
      </c>
      <c r="E326" s="671" t="s">
        <v>3487</v>
      </c>
      <c r="F326" s="238">
        <v>2</v>
      </c>
      <c r="G326" s="238">
        <v>1484</v>
      </c>
      <c r="H326" s="238">
        <v>1</v>
      </c>
      <c r="I326" s="238">
        <v>742</v>
      </c>
      <c r="J326" s="238">
        <v>6</v>
      </c>
      <c r="K326" s="238">
        <v>4452</v>
      </c>
      <c r="L326" s="238">
        <v>3</v>
      </c>
      <c r="M326" s="238">
        <v>742</v>
      </c>
      <c r="N326" s="238">
        <v>4</v>
      </c>
      <c r="O326" s="238">
        <v>2968</v>
      </c>
      <c r="P326" s="682">
        <v>2</v>
      </c>
      <c r="Q326" s="713">
        <v>742</v>
      </c>
    </row>
    <row r="327" spans="1:17" ht="14.4" customHeight="1" x14ac:dyDescent="0.3">
      <c r="A327" s="680" t="s">
        <v>534</v>
      </c>
      <c r="B327" s="671" t="s">
        <v>3845</v>
      </c>
      <c r="C327" s="671" t="s">
        <v>3461</v>
      </c>
      <c r="D327" s="671" t="s">
        <v>3488</v>
      </c>
      <c r="E327" s="671" t="s">
        <v>3489</v>
      </c>
      <c r="F327" s="238">
        <v>6</v>
      </c>
      <c r="G327" s="238">
        <v>3156</v>
      </c>
      <c r="H327" s="238">
        <v>1</v>
      </c>
      <c r="I327" s="238">
        <v>526</v>
      </c>
      <c r="J327" s="238">
        <v>16</v>
      </c>
      <c r="K327" s="238">
        <v>8416</v>
      </c>
      <c r="L327" s="238">
        <v>2.6666666666666665</v>
      </c>
      <c r="M327" s="238">
        <v>526</v>
      </c>
      <c r="N327" s="238">
        <v>11</v>
      </c>
      <c r="O327" s="238">
        <v>5786</v>
      </c>
      <c r="P327" s="682">
        <v>1.8333333333333333</v>
      </c>
      <c r="Q327" s="713">
        <v>526</v>
      </c>
    </row>
    <row r="328" spans="1:17" ht="14.4" customHeight="1" x14ac:dyDescent="0.3">
      <c r="A328" s="680" t="s">
        <v>534</v>
      </c>
      <c r="B328" s="671" t="s">
        <v>3845</v>
      </c>
      <c r="C328" s="671" t="s">
        <v>3461</v>
      </c>
      <c r="D328" s="671" t="s">
        <v>3492</v>
      </c>
      <c r="E328" s="671" t="s">
        <v>3493</v>
      </c>
      <c r="F328" s="238">
        <v>7</v>
      </c>
      <c r="G328" s="238">
        <v>6321</v>
      </c>
      <c r="H328" s="238">
        <v>1</v>
      </c>
      <c r="I328" s="238">
        <v>903</v>
      </c>
      <c r="J328" s="238">
        <v>9</v>
      </c>
      <c r="K328" s="238">
        <v>8422.56</v>
      </c>
      <c r="L328" s="238">
        <v>1.3324727100142382</v>
      </c>
      <c r="M328" s="238">
        <v>935.83999999999992</v>
      </c>
      <c r="N328" s="238">
        <v>9</v>
      </c>
      <c r="O328" s="238">
        <v>8422.56</v>
      </c>
      <c r="P328" s="682">
        <v>1.3324727100142382</v>
      </c>
      <c r="Q328" s="713">
        <v>935.83999999999992</v>
      </c>
    </row>
    <row r="329" spans="1:17" ht="14.4" customHeight="1" x14ac:dyDescent="0.3">
      <c r="A329" s="680" t="s">
        <v>534</v>
      </c>
      <c r="B329" s="671" t="s">
        <v>3845</v>
      </c>
      <c r="C329" s="671" t="s">
        <v>3461</v>
      </c>
      <c r="D329" s="671" t="s">
        <v>3494</v>
      </c>
      <c r="E329" s="671" t="s">
        <v>3495</v>
      </c>
      <c r="F329" s="238"/>
      <c r="G329" s="238"/>
      <c r="H329" s="238"/>
      <c r="I329" s="238"/>
      <c r="J329" s="238">
        <v>1</v>
      </c>
      <c r="K329" s="238">
        <v>7254.55</v>
      </c>
      <c r="L329" s="238"/>
      <c r="M329" s="238">
        <v>7254.55</v>
      </c>
      <c r="N329" s="238">
        <v>2</v>
      </c>
      <c r="O329" s="238">
        <v>14509.1</v>
      </c>
      <c r="P329" s="682"/>
      <c r="Q329" s="713">
        <v>7254.55</v>
      </c>
    </row>
    <row r="330" spans="1:17" ht="14.4" customHeight="1" x14ac:dyDescent="0.3">
      <c r="A330" s="680" t="s">
        <v>534</v>
      </c>
      <c r="B330" s="671" t="s">
        <v>3845</v>
      </c>
      <c r="C330" s="671" t="s">
        <v>3461</v>
      </c>
      <c r="D330" s="671" t="s">
        <v>3874</v>
      </c>
      <c r="E330" s="671" t="s">
        <v>3299</v>
      </c>
      <c r="F330" s="238">
        <v>1</v>
      </c>
      <c r="G330" s="238">
        <v>82009.5</v>
      </c>
      <c r="H330" s="238">
        <v>1</v>
      </c>
      <c r="I330" s="238">
        <v>82009.5</v>
      </c>
      <c r="J330" s="238"/>
      <c r="K330" s="238"/>
      <c r="L330" s="238"/>
      <c r="M330" s="238"/>
      <c r="N330" s="238"/>
      <c r="O330" s="238"/>
      <c r="P330" s="682"/>
      <c r="Q330" s="713"/>
    </row>
    <row r="331" spans="1:17" ht="14.4" customHeight="1" x14ac:dyDescent="0.3">
      <c r="A331" s="680" t="s">
        <v>534</v>
      </c>
      <c r="B331" s="671" t="s">
        <v>3845</v>
      </c>
      <c r="C331" s="671" t="s">
        <v>3461</v>
      </c>
      <c r="D331" s="671" t="s">
        <v>3496</v>
      </c>
      <c r="E331" s="671" t="s">
        <v>3497</v>
      </c>
      <c r="F331" s="238">
        <v>8</v>
      </c>
      <c r="G331" s="238">
        <v>14112</v>
      </c>
      <c r="H331" s="238">
        <v>1</v>
      </c>
      <c r="I331" s="238">
        <v>1764</v>
      </c>
      <c r="J331" s="238"/>
      <c r="K331" s="238"/>
      <c r="L331" s="238"/>
      <c r="M331" s="238"/>
      <c r="N331" s="238"/>
      <c r="O331" s="238"/>
      <c r="P331" s="682"/>
      <c r="Q331" s="713"/>
    </row>
    <row r="332" spans="1:17" ht="14.4" customHeight="1" x14ac:dyDescent="0.3">
      <c r="A332" s="680" t="s">
        <v>534</v>
      </c>
      <c r="B332" s="671" t="s">
        <v>3845</v>
      </c>
      <c r="C332" s="671" t="s">
        <v>3461</v>
      </c>
      <c r="D332" s="671" t="s">
        <v>3498</v>
      </c>
      <c r="E332" s="671" t="s">
        <v>3499</v>
      </c>
      <c r="F332" s="238"/>
      <c r="G332" s="238"/>
      <c r="H332" s="238"/>
      <c r="I332" s="238"/>
      <c r="J332" s="238">
        <v>2</v>
      </c>
      <c r="K332" s="238">
        <v>17288</v>
      </c>
      <c r="L332" s="238"/>
      <c r="M332" s="238">
        <v>8644</v>
      </c>
      <c r="N332" s="238">
        <v>2</v>
      </c>
      <c r="O332" s="238">
        <v>17288</v>
      </c>
      <c r="P332" s="682"/>
      <c r="Q332" s="713">
        <v>8644</v>
      </c>
    </row>
    <row r="333" spans="1:17" ht="14.4" customHeight="1" x14ac:dyDescent="0.3">
      <c r="A333" s="680" t="s">
        <v>534</v>
      </c>
      <c r="B333" s="671" t="s">
        <v>3845</v>
      </c>
      <c r="C333" s="671" t="s">
        <v>3461</v>
      </c>
      <c r="D333" s="671" t="s">
        <v>3500</v>
      </c>
      <c r="E333" s="671" t="s">
        <v>3501</v>
      </c>
      <c r="F333" s="238"/>
      <c r="G333" s="238"/>
      <c r="H333" s="238"/>
      <c r="I333" s="238"/>
      <c r="J333" s="238">
        <v>1</v>
      </c>
      <c r="K333" s="238">
        <v>38853.269999999997</v>
      </c>
      <c r="L333" s="238"/>
      <c r="M333" s="238">
        <v>38853.269999999997</v>
      </c>
      <c r="N333" s="238"/>
      <c r="O333" s="238"/>
      <c r="P333" s="682"/>
      <c r="Q333" s="713"/>
    </row>
    <row r="334" spans="1:17" ht="14.4" customHeight="1" x14ac:dyDescent="0.3">
      <c r="A334" s="680" t="s">
        <v>534</v>
      </c>
      <c r="B334" s="671" t="s">
        <v>3845</v>
      </c>
      <c r="C334" s="671" t="s">
        <v>3461</v>
      </c>
      <c r="D334" s="671" t="s">
        <v>3875</v>
      </c>
      <c r="E334" s="671" t="s">
        <v>3876</v>
      </c>
      <c r="F334" s="238">
        <v>1</v>
      </c>
      <c r="G334" s="238">
        <v>216</v>
      </c>
      <c r="H334" s="238">
        <v>1</v>
      </c>
      <c r="I334" s="238">
        <v>216</v>
      </c>
      <c r="J334" s="238"/>
      <c r="K334" s="238"/>
      <c r="L334" s="238"/>
      <c r="M334" s="238"/>
      <c r="N334" s="238"/>
      <c r="O334" s="238"/>
      <c r="P334" s="682"/>
      <c r="Q334" s="713"/>
    </row>
    <row r="335" spans="1:17" ht="14.4" customHeight="1" x14ac:dyDescent="0.3">
      <c r="A335" s="680" t="s">
        <v>534</v>
      </c>
      <c r="B335" s="671" t="s">
        <v>3845</v>
      </c>
      <c r="C335" s="671" t="s">
        <v>3461</v>
      </c>
      <c r="D335" s="671" t="s">
        <v>3506</v>
      </c>
      <c r="E335" s="671" t="s">
        <v>3507</v>
      </c>
      <c r="F335" s="238">
        <v>2</v>
      </c>
      <c r="G335" s="238">
        <v>3550.58</v>
      </c>
      <c r="H335" s="238">
        <v>1</v>
      </c>
      <c r="I335" s="238">
        <v>1775.29</v>
      </c>
      <c r="J335" s="238">
        <v>3</v>
      </c>
      <c r="K335" s="238">
        <v>4082.25</v>
      </c>
      <c r="L335" s="238">
        <v>1.1497417323366887</v>
      </c>
      <c r="M335" s="238">
        <v>1360.75</v>
      </c>
      <c r="N335" s="238">
        <v>2</v>
      </c>
      <c r="O335" s="238">
        <v>2721.5</v>
      </c>
      <c r="P335" s="682">
        <v>0.76649448822445909</v>
      </c>
      <c r="Q335" s="713">
        <v>1360.75</v>
      </c>
    </row>
    <row r="336" spans="1:17" ht="14.4" customHeight="1" x14ac:dyDescent="0.3">
      <c r="A336" s="680" t="s">
        <v>534</v>
      </c>
      <c r="B336" s="671" t="s">
        <v>3845</v>
      </c>
      <c r="C336" s="671" t="s">
        <v>3461</v>
      </c>
      <c r="D336" s="671" t="s">
        <v>3508</v>
      </c>
      <c r="E336" s="671" t="s">
        <v>3509</v>
      </c>
      <c r="F336" s="238">
        <v>3</v>
      </c>
      <c r="G336" s="238">
        <v>14032.5</v>
      </c>
      <c r="H336" s="238">
        <v>1</v>
      </c>
      <c r="I336" s="238">
        <v>4677.5</v>
      </c>
      <c r="J336" s="238">
        <v>1</v>
      </c>
      <c r="K336" s="238">
        <v>4677.5</v>
      </c>
      <c r="L336" s="238">
        <v>0.33333333333333331</v>
      </c>
      <c r="M336" s="238">
        <v>4677.5</v>
      </c>
      <c r="N336" s="238">
        <v>3</v>
      </c>
      <c r="O336" s="238">
        <v>14032.5</v>
      </c>
      <c r="P336" s="682">
        <v>1</v>
      </c>
      <c r="Q336" s="713">
        <v>4677.5</v>
      </c>
    </row>
    <row r="337" spans="1:17" ht="14.4" customHeight="1" x14ac:dyDescent="0.3">
      <c r="A337" s="680" t="s">
        <v>534</v>
      </c>
      <c r="B337" s="671" t="s">
        <v>3845</v>
      </c>
      <c r="C337" s="671" t="s">
        <v>3461</v>
      </c>
      <c r="D337" s="671" t="s">
        <v>3510</v>
      </c>
      <c r="E337" s="671" t="s">
        <v>3511</v>
      </c>
      <c r="F337" s="238">
        <v>2</v>
      </c>
      <c r="G337" s="238">
        <v>36575.879999999997</v>
      </c>
      <c r="H337" s="238">
        <v>1</v>
      </c>
      <c r="I337" s="238">
        <v>18287.939999999999</v>
      </c>
      <c r="J337" s="238">
        <v>1</v>
      </c>
      <c r="K337" s="238">
        <v>18952.96</v>
      </c>
      <c r="L337" s="238">
        <v>0.51818192754350678</v>
      </c>
      <c r="M337" s="238">
        <v>18952.96</v>
      </c>
      <c r="N337" s="238"/>
      <c r="O337" s="238"/>
      <c r="P337" s="682"/>
      <c r="Q337" s="713"/>
    </row>
    <row r="338" spans="1:17" ht="14.4" customHeight="1" x14ac:dyDescent="0.3">
      <c r="A338" s="680" t="s">
        <v>534</v>
      </c>
      <c r="B338" s="671" t="s">
        <v>3845</v>
      </c>
      <c r="C338" s="671" t="s">
        <v>3461</v>
      </c>
      <c r="D338" s="671" t="s">
        <v>3512</v>
      </c>
      <c r="E338" s="671" t="s">
        <v>3513</v>
      </c>
      <c r="F338" s="238">
        <v>2</v>
      </c>
      <c r="G338" s="238">
        <v>5620.3600000000006</v>
      </c>
      <c r="H338" s="238">
        <v>1</v>
      </c>
      <c r="I338" s="238">
        <v>2810.1800000000003</v>
      </c>
      <c r="J338" s="238"/>
      <c r="K338" s="238"/>
      <c r="L338" s="238"/>
      <c r="M338" s="238"/>
      <c r="N338" s="238"/>
      <c r="O338" s="238"/>
      <c r="P338" s="682"/>
      <c r="Q338" s="713"/>
    </row>
    <row r="339" spans="1:17" ht="14.4" customHeight="1" x14ac:dyDescent="0.3">
      <c r="A339" s="680" t="s">
        <v>534</v>
      </c>
      <c r="B339" s="671" t="s">
        <v>3845</v>
      </c>
      <c r="C339" s="671" t="s">
        <v>3461</v>
      </c>
      <c r="D339" s="671" t="s">
        <v>3514</v>
      </c>
      <c r="E339" s="671" t="s">
        <v>3515</v>
      </c>
      <c r="F339" s="238">
        <v>2</v>
      </c>
      <c r="G339" s="238">
        <v>1629.0900000000001</v>
      </c>
      <c r="H339" s="238">
        <v>1</v>
      </c>
      <c r="I339" s="238">
        <v>814.54500000000007</v>
      </c>
      <c r="J339" s="238"/>
      <c r="K339" s="238"/>
      <c r="L339" s="238"/>
      <c r="M339" s="238"/>
      <c r="N339" s="238"/>
      <c r="O339" s="238"/>
      <c r="P339" s="682"/>
      <c r="Q339" s="713"/>
    </row>
    <row r="340" spans="1:17" ht="14.4" customHeight="1" x14ac:dyDescent="0.3">
      <c r="A340" s="680" t="s">
        <v>534</v>
      </c>
      <c r="B340" s="671" t="s">
        <v>3845</v>
      </c>
      <c r="C340" s="671" t="s">
        <v>3461</v>
      </c>
      <c r="D340" s="671" t="s">
        <v>3516</v>
      </c>
      <c r="E340" s="671" t="s">
        <v>3517</v>
      </c>
      <c r="F340" s="238">
        <v>2</v>
      </c>
      <c r="G340" s="238">
        <v>602.97</v>
      </c>
      <c r="H340" s="238">
        <v>1</v>
      </c>
      <c r="I340" s="238">
        <v>301.48500000000001</v>
      </c>
      <c r="J340" s="238"/>
      <c r="K340" s="238"/>
      <c r="L340" s="238"/>
      <c r="M340" s="238"/>
      <c r="N340" s="238"/>
      <c r="O340" s="238"/>
      <c r="P340" s="682"/>
      <c r="Q340" s="713"/>
    </row>
    <row r="341" spans="1:17" ht="14.4" customHeight="1" x14ac:dyDescent="0.3">
      <c r="A341" s="680" t="s">
        <v>534</v>
      </c>
      <c r="B341" s="671" t="s">
        <v>3845</v>
      </c>
      <c r="C341" s="671" t="s">
        <v>3461</v>
      </c>
      <c r="D341" s="671" t="s">
        <v>3520</v>
      </c>
      <c r="E341" s="671" t="s">
        <v>3521</v>
      </c>
      <c r="F341" s="238">
        <v>1</v>
      </c>
      <c r="G341" s="238">
        <v>44252</v>
      </c>
      <c r="H341" s="238">
        <v>1</v>
      </c>
      <c r="I341" s="238">
        <v>44252</v>
      </c>
      <c r="J341" s="238"/>
      <c r="K341" s="238"/>
      <c r="L341" s="238"/>
      <c r="M341" s="238"/>
      <c r="N341" s="238"/>
      <c r="O341" s="238"/>
      <c r="P341" s="682"/>
      <c r="Q341" s="713"/>
    </row>
    <row r="342" spans="1:17" ht="14.4" customHeight="1" x14ac:dyDescent="0.3">
      <c r="A342" s="680" t="s">
        <v>534</v>
      </c>
      <c r="B342" s="671" t="s">
        <v>3845</v>
      </c>
      <c r="C342" s="671" t="s">
        <v>3461</v>
      </c>
      <c r="D342" s="671" t="s">
        <v>3524</v>
      </c>
      <c r="E342" s="671" t="s">
        <v>3525</v>
      </c>
      <c r="F342" s="238"/>
      <c r="G342" s="238"/>
      <c r="H342" s="238"/>
      <c r="I342" s="238"/>
      <c r="J342" s="238">
        <v>2</v>
      </c>
      <c r="K342" s="238">
        <v>3676</v>
      </c>
      <c r="L342" s="238"/>
      <c r="M342" s="238">
        <v>1838</v>
      </c>
      <c r="N342" s="238">
        <v>3</v>
      </c>
      <c r="O342" s="238">
        <v>5514</v>
      </c>
      <c r="P342" s="682"/>
      <c r="Q342" s="713">
        <v>1838</v>
      </c>
    </row>
    <row r="343" spans="1:17" ht="14.4" customHeight="1" x14ac:dyDescent="0.3">
      <c r="A343" s="680" t="s">
        <v>534</v>
      </c>
      <c r="B343" s="671" t="s">
        <v>3845</v>
      </c>
      <c r="C343" s="671" t="s">
        <v>3461</v>
      </c>
      <c r="D343" s="671" t="s">
        <v>3877</v>
      </c>
      <c r="E343" s="671" t="s">
        <v>3878</v>
      </c>
      <c r="F343" s="238"/>
      <c r="G343" s="238"/>
      <c r="H343" s="238"/>
      <c r="I343" s="238"/>
      <c r="J343" s="238">
        <v>2</v>
      </c>
      <c r="K343" s="238">
        <v>138457.98000000001</v>
      </c>
      <c r="L343" s="238"/>
      <c r="M343" s="238">
        <v>69228.990000000005</v>
      </c>
      <c r="N343" s="238">
        <v>1</v>
      </c>
      <c r="O343" s="238">
        <v>69228.990000000005</v>
      </c>
      <c r="P343" s="682"/>
      <c r="Q343" s="713">
        <v>69228.990000000005</v>
      </c>
    </row>
    <row r="344" spans="1:17" ht="14.4" customHeight="1" x14ac:dyDescent="0.3">
      <c r="A344" s="680" t="s">
        <v>534</v>
      </c>
      <c r="B344" s="671" t="s">
        <v>3845</v>
      </c>
      <c r="C344" s="671" t="s">
        <v>3461</v>
      </c>
      <c r="D344" s="671" t="s">
        <v>3879</v>
      </c>
      <c r="E344" s="671" t="s">
        <v>3880</v>
      </c>
      <c r="F344" s="238"/>
      <c r="G344" s="238"/>
      <c r="H344" s="238"/>
      <c r="I344" s="238"/>
      <c r="J344" s="238">
        <v>1</v>
      </c>
      <c r="K344" s="238">
        <v>1796</v>
      </c>
      <c r="L344" s="238"/>
      <c r="M344" s="238">
        <v>1796</v>
      </c>
      <c r="N344" s="238"/>
      <c r="O344" s="238"/>
      <c r="P344" s="682"/>
      <c r="Q344" s="713"/>
    </row>
    <row r="345" spans="1:17" ht="14.4" customHeight="1" x14ac:dyDescent="0.3">
      <c r="A345" s="680" t="s">
        <v>534</v>
      </c>
      <c r="B345" s="671" t="s">
        <v>3845</v>
      </c>
      <c r="C345" s="671" t="s">
        <v>3461</v>
      </c>
      <c r="D345" s="671" t="s">
        <v>3530</v>
      </c>
      <c r="E345" s="671" t="s">
        <v>3531</v>
      </c>
      <c r="F345" s="238">
        <v>2</v>
      </c>
      <c r="G345" s="238">
        <v>46836.36</v>
      </c>
      <c r="H345" s="238">
        <v>1</v>
      </c>
      <c r="I345" s="238">
        <v>23418.18</v>
      </c>
      <c r="J345" s="238">
        <v>3</v>
      </c>
      <c r="K345" s="238">
        <v>71509.08</v>
      </c>
      <c r="L345" s="238">
        <v>1.5267855999057143</v>
      </c>
      <c r="M345" s="238">
        <v>23836.36</v>
      </c>
      <c r="N345" s="238"/>
      <c r="O345" s="238"/>
      <c r="P345" s="682"/>
      <c r="Q345" s="713"/>
    </row>
    <row r="346" spans="1:17" ht="14.4" customHeight="1" x14ac:dyDescent="0.3">
      <c r="A346" s="680" t="s">
        <v>534</v>
      </c>
      <c r="B346" s="671" t="s">
        <v>3845</v>
      </c>
      <c r="C346" s="671" t="s">
        <v>3461</v>
      </c>
      <c r="D346" s="671" t="s">
        <v>3532</v>
      </c>
      <c r="E346" s="671" t="s">
        <v>3533</v>
      </c>
      <c r="F346" s="238"/>
      <c r="G346" s="238"/>
      <c r="H346" s="238"/>
      <c r="I346" s="238"/>
      <c r="J346" s="238">
        <v>3</v>
      </c>
      <c r="K346" s="238">
        <v>64619.34</v>
      </c>
      <c r="L346" s="238"/>
      <c r="M346" s="238">
        <v>21539.78</v>
      </c>
      <c r="N346" s="238"/>
      <c r="O346" s="238"/>
      <c r="P346" s="682"/>
      <c r="Q346" s="713"/>
    </row>
    <row r="347" spans="1:17" ht="14.4" customHeight="1" x14ac:dyDescent="0.3">
      <c r="A347" s="680" t="s">
        <v>534</v>
      </c>
      <c r="B347" s="671" t="s">
        <v>3845</v>
      </c>
      <c r="C347" s="671" t="s">
        <v>3461</v>
      </c>
      <c r="D347" s="671" t="s">
        <v>3534</v>
      </c>
      <c r="E347" s="671" t="s">
        <v>3535</v>
      </c>
      <c r="F347" s="238">
        <v>1</v>
      </c>
      <c r="G347" s="238">
        <v>4776.2</v>
      </c>
      <c r="H347" s="238">
        <v>1</v>
      </c>
      <c r="I347" s="238">
        <v>4776.2</v>
      </c>
      <c r="J347" s="238">
        <v>4</v>
      </c>
      <c r="K347" s="238">
        <v>19799.52</v>
      </c>
      <c r="L347" s="238">
        <v>4.1454545454545455</v>
      </c>
      <c r="M347" s="238">
        <v>4949.88</v>
      </c>
      <c r="N347" s="238">
        <v>3</v>
      </c>
      <c r="O347" s="238">
        <v>14849.64</v>
      </c>
      <c r="P347" s="682">
        <v>3.1090909090909089</v>
      </c>
      <c r="Q347" s="713">
        <v>4949.88</v>
      </c>
    </row>
    <row r="348" spans="1:17" ht="14.4" customHeight="1" x14ac:dyDescent="0.3">
      <c r="A348" s="680" t="s">
        <v>534</v>
      </c>
      <c r="B348" s="671" t="s">
        <v>3845</v>
      </c>
      <c r="C348" s="671" t="s">
        <v>3461</v>
      </c>
      <c r="D348" s="671" t="s">
        <v>3536</v>
      </c>
      <c r="E348" s="671" t="s">
        <v>3537</v>
      </c>
      <c r="F348" s="238"/>
      <c r="G348" s="238"/>
      <c r="H348" s="238"/>
      <c r="I348" s="238"/>
      <c r="J348" s="238"/>
      <c r="K348" s="238"/>
      <c r="L348" s="238"/>
      <c r="M348" s="238"/>
      <c r="N348" s="238">
        <v>1</v>
      </c>
      <c r="O348" s="238">
        <v>20441.03</v>
      </c>
      <c r="P348" s="682"/>
      <c r="Q348" s="713">
        <v>20441.03</v>
      </c>
    </row>
    <row r="349" spans="1:17" ht="14.4" customHeight="1" x14ac:dyDescent="0.3">
      <c r="A349" s="680" t="s">
        <v>534</v>
      </c>
      <c r="B349" s="671" t="s">
        <v>3845</v>
      </c>
      <c r="C349" s="671" t="s">
        <v>3461</v>
      </c>
      <c r="D349" s="671" t="s">
        <v>3538</v>
      </c>
      <c r="E349" s="671" t="s">
        <v>3539</v>
      </c>
      <c r="F349" s="238">
        <v>6</v>
      </c>
      <c r="G349" s="238">
        <v>149485.79999999999</v>
      </c>
      <c r="H349" s="238">
        <v>1</v>
      </c>
      <c r="I349" s="238">
        <v>24914.3</v>
      </c>
      <c r="J349" s="238">
        <v>3</v>
      </c>
      <c r="K349" s="238">
        <v>77460.81</v>
      </c>
      <c r="L349" s="238">
        <v>0.51818172696001896</v>
      </c>
      <c r="M349" s="238">
        <v>25820.27</v>
      </c>
      <c r="N349" s="238"/>
      <c r="O349" s="238"/>
      <c r="P349" s="682"/>
      <c r="Q349" s="713"/>
    </row>
    <row r="350" spans="1:17" ht="14.4" customHeight="1" x14ac:dyDescent="0.3">
      <c r="A350" s="680" t="s">
        <v>534</v>
      </c>
      <c r="B350" s="671" t="s">
        <v>3845</v>
      </c>
      <c r="C350" s="671" t="s">
        <v>3461</v>
      </c>
      <c r="D350" s="671" t="s">
        <v>3881</v>
      </c>
      <c r="E350" s="671" t="s">
        <v>3882</v>
      </c>
      <c r="F350" s="238">
        <v>1</v>
      </c>
      <c r="G350" s="238">
        <v>16336</v>
      </c>
      <c r="H350" s="238">
        <v>1</v>
      </c>
      <c r="I350" s="238">
        <v>16336</v>
      </c>
      <c r="J350" s="238">
        <v>1</v>
      </c>
      <c r="K350" s="238">
        <v>16336</v>
      </c>
      <c r="L350" s="238">
        <v>1</v>
      </c>
      <c r="M350" s="238">
        <v>16336</v>
      </c>
      <c r="N350" s="238">
        <v>3</v>
      </c>
      <c r="O350" s="238">
        <v>49008</v>
      </c>
      <c r="P350" s="682">
        <v>3</v>
      </c>
      <c r="Q350" s="713">
        <v>16336</v>
      </c>
    </row>
    <row r="351" spans="1:17" ht="14.4" customHeight="1" x14ac:dyDescent="0.3">
      <c r="A351" s="680" t="s">
        <v>534</v>
      </c>
      <c r="B351" s="671" t="s">
        <v>3845</v>
      </c>
      <c r="C351" s="671" t="s">
        <v>3461</v>
      </c>
      <c r="D351" s="671" t="s">
        <v>3542</v>
      </c>
      <c r="E351" s="671" t="s">
        <v>3543</v>
      </c>
      <c r="F351" s="238">
        <v>4</v>
      </c>
      <c r="G351" s="238">
        <v>5220</v>
      </c>
      <c r="H351" s="238">
        <v>1</v>
      </c>
      <c r="I351" s="238">
        <v>1305</v>
      </c>
      <c r="J351" s="238">
        <v>12</v>
      </c>
      <c r="K351" s="238">
        <v>15660</v>
      </c>
      <c r="L351" s="238">
        <v>3</v>
      </c>
      <c r="M351" s="238">
        <v>1305</v>
      </c>
      <c r="N351" s="238">
        <v>8</v>
      </c>
      <c r="O351" s="238">
        <v>10440</v>
      </c>
      <c r="P351" s="682">
        <v>2</v>
      </c>
      <c r="Q351" s="713">
        <v>1305</v>
      </c>
    </row>
    <row r="352" spans="1:17" ht="14.4" customHeight="1" x14ac:dyDescent="0.3">
      <c r="A352" s="680" t="s">
        <v>534</v>
      </c>
      <c r="B352" s="671" t="s">
        <v>3845</v>
      </c>
      <c r="C352" s="671" t="s">
        <v>3461</v>
      </c>
      <c r="D352" s="671" t="s">
        <v>3544</v>
      </c>
      <c r="E352" s="671" t="s">
        <v>3545</v>
      </c>
      <c r="F352" s="238">
        <v>2</v>
      </c>
      <c r="G352" s="238">
        <v>2610</v>
      </c>
      <c r="H352" s="238">
        <v>1</v>
      </c>
      <c r="I352" s="238">
        <v>1305</v>
      </c>
      <c r="J352" s="238"/>
      <c r="K352" s="238"/>
      <c r="L352" s="238"/>
      <c r="M352" s="238"/>
      <c r="N352" s="238"/>
      <c r="O352" s="238"/>
      <c r="P352" s="682"/>
      <c r="Q352" s="713"/>
    </row>
    <row r="353" spans="1:17" ht="14.4" customHeight="1" x14ac:dyDescent="0.3">
      <c r="A353" s="680" t="s">
        <v>534</v>
      </c>
      <c r="B353" s="671" t="s">
        <v>3845</v>
      </c>
      <c r="C353" s="671" t="s">
        <v>3461</v>
      </c>
      <c r="D353" s="671" t="s">
        <v>3546</v>
      </c>
      <c r="E353" s="671" t="s">
        <v>3547</v>
      </c>
      <c r="F353" s="238">
        <v>13</v>
      </c>
      <c r="G353" s="238">
        <v>14014</v>
      </c>
      <c r="H353" s="238">
        <v>1</v>
      </c>
      <c r="I353" s="238">
        <v>1078</v>
      </c>
      <c r="J353" s="238">
        <v>15</v>
      </c>
      <c r="K353" s="238">
        <v>16170</v>
      </c>
      <c r="L353" s="238">
        <v>1.1538461538461537</v>
      </c>
      <c r="M353" s="238">
        <v>1078</v>
      </c>
      <c r="N353" s="238">
        <v>8</v>
      </c>
      <c r="O353" s="238">
        <v>8624</v>
      </c>
      <c r="P353" s="682">
        <v>0.61538461538461542</v>
      </c>
      <c r="Q353" s="713">
        <v>1078</v>
      </c>
    </row>
    <row r="354" spans="1:17" ht="14.4" customHeight="1" x14ac:dyDescent="0.3">
      <c r="A354" s="680" t="s">
        <v>534</v>
      </c>
      <c r="B354" s="671" t="s">
        <v>3845</v>
      </c>
      <c r="C354" s="671" t="s">
        <v>3461</v>
      </c>
      <c r="D354" s="671" t="s">
        <v>3548</v>
      </c>
      <c r="E354" s="671" t="s">
        <v>3549</v>
      </c>
      <c r="F354" s="238"/>
      <c r="G354" s="238"/>
      <c r="H354" s="238"/>
      <c r="I354" s="238"/>
      <c r="J354" s="238">
        <v>1</v>
      </c>
      <c r="K354" s="238">
        <v>8509</v>
      </c>
      <c r="L354" s="238"/>
      <c r="M354" s="238">
        <v>8509</v>
      </c>
      <c r="N354" s="238">
        <v>2</v>
      </c>
      <c r="O354" s="238">
        <v>17018</v>
      </c>
      <c r="P354" s="682"/>
      <c r="Q354" s="713">
        <v>8509</v>
      </c>
    </row>
    <row r="355" spans="1:17" ht="14.4" customHeight="1" x14ac:dyDescent="0.3">
      <c r="A355" s="680" t="s">
        <v>534</v>
      </c>
      <c r="B355" s="671" t="s">
        <v>3845</v>
      </c>
      <c r="C355" s="671" t="s">
        <v>3461</v>
      </c>
      <c r="D355" s="671" t="s">
        <v>3550</v>
      </c>
      <c r="E355" s="671" t="s">
        <v>3551</v>
      </c>
      <c r="F355" s="238">
        <v>1</v>
      </c>
      <c r="G355" s="238">
        <v>5672</v>
      </c>
      <c r="H355" s="238">
        <v>1</v>
      </c>
      <c r="I355" s="238">
        <v>5672</v>
      </c>
      <c r="J355" s="238">
        <v>2</v>
      </c>
      <c r="K355" s="238">
        <v>11344</v>
      </c>
      <c r="L355" s="238">
        <v>2</v>
      </c>
      <c r="M355" s="238">
        <v>5672</v>
      </c>
      <c r="N355" s="238">
        <v>3</v>
      </c>
      <c r="O355" s="238">
        <v>17016</v>
      </c>
      <c r="P355" s="682">
        <v>3</v>
      </c>
      <c r="Q355" s="713">
        <v>5672</v>
      </c>
    </row>
    <row r="356" spans="1:17" ht="14.4" customHeight="1" x14ac:dyDescent="0.3">
      <c r="A356" s="680" t="s">
        <v>534</v>
      </c>
      <c r="B356" s="671" t="s">
        <v>3845</v>
      </c>
      <c r="C356" s="671" t="s">
        <v>3461</v>
      </c>
      <c r="D356" s="671" t="s">
        <v>3552</v>
      </c>
      <c r="E356" s="671" t="s">
        <v>3553</v>
      </c>
      <c r="F356" s="238">
        <v>9</v>
      </c>
      <c r="G356" s="238">
        <v>10215</v>
      </c>
      <c r="H356" s="238">
        <v>1</v>
      </c>
      <c r="I356" s="238">
        <v>1135</v>
      </c>
      <c r="J356" s="238"/>
      <c r="K356" s="238"/>
      <c r="L356" s="238"/>
      <c r="M356" s="238"/>
      <c r="N356" s="238"/>
      <c r="O356" s="238"/>
      <c r="P356" s="682"/>
      <c r="Q356" s="713"/>
    </row>
    <row r="357" spans="1:17" ht="14.4" customHeight="1" x14ac:dyDescent="0.3">
      <c r="A357" s="680" t="s">
        <v>534</v>
      </c>
      <c r="B357" s="671" t="s">
        <v>3845</v>
      </c>
      <c r="C357" s="671" t="s">
        <v>3461</v>
      </c>
      <c r="D357" s="671" t="s">
        <v>3554</v>
      </c>
      <c r="E357" s="671" t="s">
        <v>3555</v>
      </c>
      <c r="F357" s="238">
        <v>38</v>
      </c>
      <c r="G357" s="238">
        <v>8056</v>
      </c>
      <c r="H357" s="238">
        <v>1</v>
      </c>
      <c r="I357" s="238">
        <v>212</v>
      </c>
      <c r="J357" s="238">
        <v>34</v>
      </c>
      <c r="K357" s="238">
        <v>7208</v>
      </c>
      <c r="L357" s="238">
        <v>0.89473684210526316</v>
      </c>
      <c r="M357" s="238">
        <v>212</v>
      </c>
      <c r="N357" s="238">
        <v>16</v>
      </c>
      <c r="O357" s="238">
        <v>3392</v>
      </c>
      <c r="P357" s="682">
        <v>0.42105263157894735</v>
      </c>
      <c r="Q357" s="713">
        <v>212</v>
      </c>
    </row>
    <row r="358" spans="1:17" ht="14.4" customHeight="1" x14ac:dyDescent="0.3">
      <c r="A358" s="680" t="s">
        <v>534</v>
      </c>
      <c r="B358" s="671" t="s">
        <v>3845</v>
      </c>
      <c r="C358" s="671" t="s">
        <v>3461</v>
      </c>
      <c r="D358" s="671" t="s">
        <v>3883</v>
      </c>
      <c r="E358" s="671" t="s">
        <v>3884</v>
      </c>
      <c r="F358" s="238"/>
      <c r="G358" s="238"/>
      <c r="H358" s="238"/>
      <c r="I358" s="238"/>
      <c r="J358" s="238"/>
      <c r="K358" s="238"/>
      <c r="L358" s="238"/>
      <c r="M358" s="238"/>
      <c r="N358" s="238">
        <v>2</v>
      </c>
      <c r="O358" s="238">
        <v>26182</v>
      </c>
      <c r="P358" s="682"/>
      <c r="Q358" s="713">
        <v>13091</v>
      </c>
    </row>
    <row r="359" spans="1:17" ht="14.4" customHeight="1" x14ac:dyDescent="0.3">
      <c r="A359" s="680" t="s">
        <v>534</v>
      </c>
      <c r="B359" s="671" t="s">
        <v>3845</v>
      </c>
      <c r="C359" s="671" t="s">
        <v>3461</v>
      </c>
      <c r="D359" s="671" t="s">
        <v>3885</v>
      </c>
      <c r="E359" s="671" t="s">
        <v>3886</v>
      </c>
      <c r="F359" s="238"/>
      <c r="G359" s="238"/>
      <c r="H359" s="238"/>
      <c r="I359" s="238"/>
      <c r="J359" s="238"/>
      <c r="K359" s="238"/>
      <c r="L359" s="238"/>
      <c r="M359" s="238"/>
      <c r="N359" s="238">
        <v>1</v>
      </c>
      <c r="O359" s="238">
        <v>8286.76</v>
      </c>
      <c r="P359" s="682"/>
      <c r="Q359" s="713">
        <v>8286.76</v>
      </c>
    </row>
    <row r="360" spans="1:17" ht="14.4" customHeight="1" x14ac:dyDescent="0.3">
      <c r="A360" s="680" t="s">
        <v>534</v>
      </c>
      <c r="B360" s="671" t="s">
        <v>3845</v>
      </c>
      <c r="C360" s="671" t="s">
        <v>3461</v>
      </c>
      <c r="D360" s="671" t="s">
        <v>3887</v>
      </c>
      <c r="E360" s="671" t="s">
        <v>3886</v>
      </c>
      <c r="F360" s="238"/>
      <c r="G360" s="238"/>
      <c r="H360" s="238"/>
      <c r="I360" s="238"/>
      <c r="J360" s="238"/>
      <c r="K360" s="238"/>
      <c r="L360" s="238"/>
      <c r="M360" s="238"/>
      <c r="N360" s="238">
        <v>6</v>
      </c>
      <c r="O360" s="238">
        <v>17323.86</v>
      </c>
      <c r="P360" s="682"/>
      <c r="Q360" s="713">
        <v>2887.31</v>
      </c>
    </row>
    <row r="361" spans="1:17" ht="14.4" customHeight="1" x14ac:dyDescent="0.3">
      <c r="A361" s="680" t="s">
        <v>534</v>
      </c>
      <c r="B361" s="671" t="s">
        <v>3845</v>
      </c>
      <c r="C361" s="671" t="s">
        <v>3461</v>
      </c>
      <c r="D361" s="671" t="s">
        <v>3556</v>
      </c>
      <c r="E361" s="671" t="s">
        <v>3557</v>
      </c>
      <c r="F361" s="238">
        <v>1</v>
      </c>
      <c r="G361" s="238">
        <v>1380</v>
      </c>
      <c r="H361" s="238">
        <v>1</v>
      </c>
      <c r="I361" s="238">
        <v>1380</v>
      </c>
      <c r="J361" s="238"/>
      <c r="K361" s="238"/>
      <c r="L361" s="238"/>
      <c r="M361" s="238"/>
      <c r="N361" s="238"/>
      <c r="O361" s="238"/>
      <c r="P361" s="682"/>
      <c r="Q361" s="713"/>
    </row>
    <row r="362" spans="1:17" ht="14.4" customHeight="1" x14ac:dyDescent="0.3">
      <c r="A362" s="680" t="s">
        <v>534</v>
      </c>
      <c r="B362" s="671" t="s">
        <v>3845</v>
      </c>
      <c r="C362" s="671" t="s">
        <v>3461</v>
      </c>
      <c r="D362" s="671" t="s">
        <v>3562</v>
      </c>
      <c r="E362" s="671" t="s">
        <v>3563</v>
      </c>
      <c r="F362" s="238">
        <v>1</v>
      </c>
      <c r="G362" s="238">
        <v>1560</v>
      </c>
      <c r="H362" s="238">
        <v>1</v>
      </c>
      <c r="I362" s="238">
        <v>1560</v>
      </c>
      <c r="J362" s="238"/>
      <c r="K362" s="238"/>
      <c r="L362" s="238"/>
      <c r="M362" s="238"/>
      <c r="N362" s="238"/>
      <c r="O362" s="238"/>
      <c r="P362" s="682"/>
      <c r="Q362" s="713"/>
    </row>
    <row r="363" spans="1:17" ht="14.4" customHeight="1" x14ac:dyDescent="0.3">
      <c r="A363" s="680" t="s">
        <v>534</v>
      </c>
      <c r="B363" s="671" t="s">
        <v>3845</v>
      </c>
      <c r="C363" s="671" t="s">
        <v>3461</v>
      </c>
      <c r="D363" s="671" t="s">
        <v>3564</v>
      </c>
      <c r="E363" s="671" t="s">
        <v>3565</v>
      </c>
      <c r="F363" s="238"/>
      <c r="G363" s="238"/>
      <c r="H363" s="238"/>
      <c r="I363" s="238"/>
      <c r="J363" s="238">
        <v>2</v>
      </c>
      <c r="K363" s="238">
        <v>11617.64</v>
      </c>
      <c r="L363" s="238"/>
      <c r="M363" s="238">
        <v>5808.82</v>
      </c>
      <c r="N363" s="238">
        <v>2</v>
      </c>
      <c r="O363" s="238">
        <v>11617.64</v>
      </c>
      <c r="P363" s="682"/>
      <c r="Q363" s="713">
        <v>5808.82</v>
      </c>
    </row>
    <row r="364" spans="1:17" ht="14.4" customHeight="1" x14ac:dyDescent="0.3">
      <c r="A364" s="680" t="s">
        <v>534</v>
      </c>
      <c r="B364" s="671" t="s">
        <v>3845</v>
      </c>
      <c r="C364" s="671" t="s">
        <v>3461</v>
      </c>
      <c r="D364" s="671" t="s">
        <v>3566</v>
      </c>
      <c r="E364" s="671" t="s">
        <v>3567</v>
      </c>
      <c r="F364" s="238"/>
      <c r="G364" s="238"/>
      <c r="H364" s="238"/>
      <c r="I364" s="238"/>
      <c r="J364" s="238">
        <v>4</v>
      </c>
      <c r="K364" s="238">
        <v>32898.32</v>
      </c>
      <c r="L364" s="238"/>
      <c r="M364" s="238">
        <v>8224.58</v>
      </c>
      <c r="N364" s="238">
        <v>2</v>
      </c>
      <c r="O364" s="238">
        <v>16449.16</v>
      </c>
      <c r="P364" s="682"/>
      <c r="Q364" s="713">
        <v>8224.58</v>
      </c>
    </row>
    <row r="365" spans="1:17" ht="14.4" customHeight="1" x14ac:dyDescent="0.3">
      <c r="A365" s="680" t="s">
        <v>534</v>
      </c>
      <c r="B365" s="671" t="s">
        <v>3845</v>
      </c>
      <c r="C365" s="671" t="s">
        <v>3461</v>
      </c>
      <c r="D365" s="671" t="s">
        <v>3572</v>
      </c>
      <c r="E365" s="671" t="s">
        <v>3573</v>
      </c>
      <c r="F365" s="238">
        <v>13</v>
      </c>
      <c r="G365" s="238">
        <v>16123.679999999998</v>
      </c>
      <c r="H365" s="238">
        <v>1</v>
      </c>
      <c r="I365" s="238">
        <v>1240.2830769230768</v>
      </c>
      <c r="J365" s="238">
        <v>19</v>
      </c>
      <c r="K365" s="238">
        <v>23629.16</v>
      </c>
      <c r="L365" s="238">
        <v>1.4654942296051523</v>
      </c>
      <c r="M365" s="238">
        <v>1243.6400000000001</v>
      </c>
      <c r="N365" s="238">
        <v>6</v>
      </c>
      <c r="O365" s="238">
        <v>7461.8400000000011</v>
      </c>
      <c r="P365" s="682">
        <v>0.46278765145425871</v>
      </c>
      <c r="Q365" s="713">
        <v>1243.6400000000001</v>
      </c>
    </row>
    <row r="366" spans="1:17" ht="14.4" customHeight="1" x14ac:dyDescent="0.3">
      <c r="A366" s="680" t="s">
        <v>534</v>
      </c>
      <c r="B366" s="671" t="s">
        <v>3845</v>
      </c>
      <c r="C366" s="671" t="s">
        <v>3461</v>
      </c>
      <c r="D366" s="671" t="s">
        <v>3576</v>
      </c>
      <c r="E366" s="671" t="s">
        <v>3577</v>
      </c>
      <c r="F366" s="238"/>
      <c r="G366" s="238"/>
      <c r="H366" s="238"/>
      <c r="I366" s="238"/>
      <c r="J366" s="238">
        <v>5</v>
      </c>
      <c r="K366" s="238">
        <v>8290</v>
      </c>
      <c r="L366" s="238"/>
      <c r="M366" s="238">
        <v>1658</v>
      </c>
      <c r="N366" s="238">
        <v>2</v>
      </c>
      <c r="O366" s="238">
        <v>3316</v>
      </c>
      <c r="P366" s="682"/>
      <c r="Q366" s="713">
        <v>1658</v>
      </c>
    </row>
    <row r="367" spans="1:17" ht="14.4" customHeight="1" x14ac:dyDescent="0.3">
      <c r="A367" s="680" t="s">
        <v>534</v>
      </c>
      <c r="B367" s="671" t="s">
        <v>3845</v>
      </c>
      <c r="C367" s="671" t="s">
        <v>3461</v>
      </c>
      <c r="D367" s="671" t="s">
        <v>3583</v>
      </c>
      <c r="E367" s="671" t="s">
        <v>3584</v>
      </c>
      <c r="F367" s="238">
        <v>5</v>
      </c>
      <c r="G367" s="238">
        <v>8938</v>
      </c>
      <c r="H367" s="238">
        <v>1</v>
      </c>
      <c r="I367" s="238">
        <v>1787.6</v>
      </c>
      <c r="J367" s="238">
        <v>5</v>
      </c>
      <c r="K367" s="238">
        <v>8938</v>
      </c>
      <c r="L367" s="238">
        <v>1</v>
      </c>
      <c r="M367" s="238">
        <v>1787.6</v>
      </c>
      <c r="N367" s="238">
        <v>10</v>
      </c>
      <c r="O367" s="238">
        <v>17876</v>
      </c>
      <c r="P367" s="682">
        <v>2</v>
      </c>
      <c r="Q367" s="713">
        <v>1787.6</v>
      </c>
    </row>
    <row r="368" spans="1:17" ht="14.4" customHeight="1" x14ac:dyDescent="0.3">
      <c r="A368" s="680" t="s">
        <v>534</v>
      </c>
      <c r="B368" s="671" t="s">
        <v>3845</v>
      </c>
      <c r="C368" s="671" t="s">
        <v>3461</v>
      </c>
      <c r="D368" s="671" t="s">
        <v>3587</v>
      </c>
      <c r="E368" s="671" t="s">
        <v>3588</v>
      </c>
      <c r="F368" s="238"/>
      <c r="G368" s="238"/>
      <c r="H368" s="238"/>
      <c r="I368" s="238"/>
      <c r="J368" s="238"/>
      <c r="K368" s="238"/>
      <c r="L368" s="238"/>
      <c r="M368" s="238"/>
      <c r="N368" s="238">
        <v>1</v>
      </c>
      <c r="O368" s="238">
        <v>72421.09</v>
      </c>
      <c r="P368" s="682"/>
      <c r="Q368" s="713">
        <v>72421.09</v>
      </c>
    </row>
    <row r="369" spans="1:17" ht="14.4" customHeight="1" x14ac:dyDescent="0.3">
      <c r="A369" s="680" t="s">
        <v>534</v>
      </c>
      <c r="B369" s="671" t="s">
        <v>3845</v>
      </c>
      <c r="C369" s="671" t="s">
        <v>3461</v>
      </c>
      <c r="D369" s="671" t="s">
        <v>3592</v>
      </c>
      <c r="E369" s="671" t="s">
        <v>3593</v>
      </c>
      <c r="F369" s="238">
        <v>1</v>
      </c>
      <c r="G369" s="238">
        <v>12500</v>
      </c>
      <c r="H369" s="238">
        <v>1</v>
      </c>
      <c r="I369" s="238">
        <v>12500</v>
      </c>
      <c r="J369" s="238"/>
      <c r="K369" s="238"/>
      <c r="L369" s="238"/>
      <c r="M369" s="238"/>
      <c r="N369" s="238">
        <v>1</v>
      </c>
      <c r="O369" s="238">
        <v>12500</v>
      </c>
      <c r="P369" s="682">
        <v>1</v>
      </c>
      <c r="Q369" s="713">
        <v>12500</v>
      </c>
    </row>
    <row r="370" spans="1:17" ht="14.4" customHeight="1" x14ac:dyDescent="0.3">
      <c r="A370" s="680" t="s">
        <v>534</v>
      </c>
      <c r="B370" s="671" t="s">
        <v>3845</v>
      </c>
      <c r="C370" s="671" t="s">
        <v>3461</v>
      </c>
      <c r="D370" s="671" t="s">
        <v>3594</v>
      </c>
      <c r="E370" s="671" t="s">
        <v>3595</v>
      </c>
      <c r="F370" s="238"/>
      <c r="G370" s="238"/>
      <c r="H370" s="238"/>
      <c r="I370" s="238"/>
      <c r="J370" s="238">
        <v>1</v>
      </c>
      <c r="K370" s="238">
        <v>57507</v>
      </c>
      <c r="L370" s="238"/>
      <c r="M370" s="238">
        <v>57507</v>
      </c>
      <c r="N370" s="238"/>
      <c r="O370" s="238"/>
      <c r="P370" s="682"/>
      <c r="Q370" s="713"/>
    </row>
    <row r="371" spans="1:17" ht="14.4" customHeight="1" x14ac:dyDescent="0.3">
      <c r="A371" s="680" t="s">
        <v>534</v>
      </c>
      <c r="B371" s="671" t="s">
        <v>3845</v>
      </c>
      <c r="C371" s="671" t="s">
        <v>3461</v>
      </c>
      <c r="D371" s="671" t="s">
        <v>3596</v>
      </c>
      <c r="E371" s="671" t="s">
        <v>3597</v>
      </c>
      <c r="F371" s="238">
        <v>1</v>
      </c>
      <c r="G371" s="238">
        <v>41638</v>
      </c>
      <c r="H371" s="238">
        <v>1</v>
      </c>
      <c r="I371" s="238">
        <v>41638</v>
      </c>
      <c r="J371" s="238"/>
      <c r="K371" s="238"/>
      <c r="L371" s="238"/>
      <c r="M371" s="238"/>
      <c r="N371" s="238"/>
      <c r="O371" s="238"/>
      <c r="P371" s="682"/>
      <c r="Q371" s="713"/>
    </row>
    <row r="372" spans="1:17" ht="14.4" customHeight="1" x14ac:dyDescent="0.3">
      <c r="A372" s="680" t="s">
        <v>534</v>
      </c>
      <c r="B372" s="671" t="s">
        <v>3845</v>
      </c>
      <c r="C372" s="671" t="s">
        <v>3461</v>
      </c>
      <c r="D372" s="671" t="s">
        <v>3598</v>
      </c>
      <c r="E372" s="671" t="s">
        <v>3599</v>
      </c>
      <c r="F372" s="238">
        <v>1</v>
      </c>
      <c r="G372" s="238">
        <v>13210</v>
      </c>
      <c r="H372" s="238">
        <v>1</v>
      </c>
      <c r="I372" s="238">
        <v>13210</v>
      </c>
      <c r="J372" s="238">
        <v>1</v>
      </c>
      <c r="K372" s="238">
        <v>13690.36</v>
      </c>
      <c r="L372" s="238">
        <v>1.0363633610900833</v>
      </c>
      <c r="M372" s="238">
        <v>13690.36</v>
      </c>
      <c r="N372" s="238">
        <v>3</v>
      </c>
      <c r="O372" s="238">
        <v>41071.08</v>
      </c>
      <c r="P372" s="682">
        <v>3.1090900832702499</v>
      </c>
      <c r="Q372" s="713">
        <v>13690.36</v>
      </c>
    </row>
    <row r="373" spans="1:17" ht="14.4" customHeight="1" x14ac:dyDescent="0.3">
      <c r="A373" s="680" t="s">
        <v>534</v>
      </c>
      <c r="B373" s="671" t="s">
        <v>3845</v>
      </c>
      <c r="C373" s="671" t="s">
        <v>3461</v>
      </c>
      <c r="D373" s="671" t="s">
        <v>3600</v>
      </c>
      <c r="E373" s="671" t="s">
        <v>3601</v>
      </c>
      <c r="F373" s="238">
        <v>1</v>
      </c>
      <c r="G373" s="238">
        <v>19400</v>
      </c>
      <c r="H373" s="238">
        <v>1</v>
      </c>
      <c r="I373" s="238">
        <v>19400</v>
      </c>
      <c r="J373" s="238">
        <v>2</v>
      </c>
      <c r="K373" s="238">
        <v>38800</v>
      </c>
      <c r="L373" s="238">
        <v>2</v>
      </c>
      <c r="M373" s="238">
        <v>19400</v>
      </c>
      <c r="N373" s="238">
        <v>1</v>
      </c>
      <c r="O373" s="238">
        <v>19400</v>
      </c>
      <c r="P373" s="682">
        <v>1</v>
      </c>
      <c r="Q373" s="713">
        <v>19400</v>
      </c>
    </row>
    <row r="374" spans="1:17" ht="14.4" customHeight="1" x14ac:dyDescent="0.3">
      <c r="A374" s="680" t="s">
        <v>534</v>
      </c>
      <c r="B374" s="671" t="s">
        <v>3845</v>
      </c>
      <c r="C374" s="671" t="s">
        <v>3461</v>
      </c>
      <c r="D374" s="671" t="s">
        <v>3888</v>
      </c>
      <c r="E374" s="671" t="s">
        <v>3889</v>
      </c>
      <c r="F374" s="238"/>
      <c r="G374" s="238"/>
      <c r="H374" s="238"/>
      <c r="I374" s="238"/>
      <c r="J374" s="238"/>
      <c r="K374" s="238"/>
      <c r="L374" s="238"/>
      <c r="M374" s="238"/>
      <c r="N374" s="238">
        <v>1</v>
      </c>
      <c r="O374" s="238">
        <v>8683.69</v>
      </c>
      <c r="P374" s="682"/>
      <c r="Q374" s="713">
        <v>8683.69</v>
      </c>
    </row>
    <row r="375" spans="1:17" ht="14.4" customHeight="1" x14ac:dyDescent="0.3">
      <c r="A375" s="680" t="s">
        <v>534</v>
      </c>
      <c r="B375" s="671" t="s">
        <v>3845</v>
      </c>
      <c r="C375" s="671" t="s">
        <v>3461</v>
      </c>
      <c r="D375" s="671" t="s">
        <v>3890</v>
      </c>
      <c r="E375" s="671" t="s">
        <v>3299</v>
      </c>
      <c r="F375" s="238"/>
      <c r="G375" s="238"/>
      <c r="H375" s="238"/>
      <c r="I375" s="238"/>
      <c r="J375" s="238">
        <v>1</v>
      </c>
      <c r="K375" s="238">
        <v>181500</v>
      </c>
      <c r="L375" s="238"/>
      <c r="M375" s="238">
        <v>181500</v>
      </c>
      <c r="N375" s="238"/>
      <c r="O375" s="238"/>
      <c r="P375" s="682"/>
      <c r="Q375" s="713"/>
    </row>
    <row r="376" spans="1:17" ht="14.4" customHeight="1" x14ac:dyDescent="0.3">
      <c r="A376" s="680" t="s">
        <v>534</v>
      </c>
      <c r="B376" s="671" t="s">
        <v>3845</v>
      </c>
      <c r="C376" s="671" t="s">
        <v>3303</v>
      </c>
      <c r="D376" s="671" t="s">
        <v>3891</v>
      </c>
      <c r="E376" s="671" t="s">
        <v>3892</v>
      </c>
      <c r="F376" s="238">
        <v>176</v>
      </c>
      <c r="G376" s="238">
        <v>5624256</v>
      </c>
      <c r="H376" s="238">
        <v>1</v>
      </c>
      <c r="I376" s="238">
        <v>31956</v>
      </c>
      <c r="J376" s="238">
        <v>150</v>
      </c>
      <c r="K376" s="238">
        <v>4794752</v>
      </c>
      <c r="L376" s="238">
        <v>0.85251311462351642</v>
      </c>
      <c r="M376" s="238">
        <v>31965.013333333332</v>
      </c>
      <c r="N376" s="238">
        <v>179</v>
      </c>
      <c r="O376" s="238">
        <v>5721914</v>
      </c>
      <c r="P376" s="682">
        <v>1.0173637188634372</v>
      </c>
      <c r="Q376" s="713">
        <v>31966</v>
      </c>
    </row>
    <row r="377" spans="1:17" ht="14.4" customHeight="1" x14ac:dyDescent="0.3">
      <c r="A377" s="680" t="s">
        <v>534</v>
      </c>
      <c r="B377" s="671" t="s">
        <v>3845</v>
      </c>
      <c r="C377" s="671" t="s">
        <v>3303</v>
      </c>
      <c r="D377" s="671" t="s">
        <v>3893</v>
      </c>
      <c r="E377" s="671" t="s">
        <v>3894</v>
      </c>
      <c r="F377" s="238">
        <v>3</v>
      </c>
      <c r="G377" s="238">
        <v>35661</v>
      </c>
      <c r="H377" s="238">
        <v>1</v>
      </c>
      <c r="I377" s="238">
        <v>11887</v>
      </c>
      <c r="J377" s="238">
        <v>2</v>
      </c>
      <c r="K377" s="238">
        <v>23792</v>
      </c>
      <c r="L377" s="238">
        <v>0.66717141975827932</v>
      </c>
      <c r="M377" s="238">
        <v>11896</v>
      </c>
      <c r="N377" s="238">
        <v>4</v>
      </c>
      <c r="O377" s="238">
        <v>47588</v>
      </c>
      <c r="P377" s="682">
        <v>1.3344550068702503</v>
      </c>
      <c r="Q377" s="713">
        <v>11897</v>
      </c>
    </row>
    <row r="378" spans="1:17" ht="14.4" customHeight="1" x14ac:dyDescent="0.3">
      <c r="A378" s="680" t="s">
        <v>534</v>
      </c>
      <c r="B378" s="671" t="s">
        <v>3845</v>
      </c>
      <c r="C378" s="671" t="s">
        <v>3303</v>
      </c>
      <c r="D378" s="671" t="s">
        <v>3306</v>
      </c>
      <c r="E378" s="671" t="s">
        <v>3307</v>
      </c>
      <c r="F378" s="238">
        <v>19</v>
      </c>
      <c r="G378" s="238">
        <v>12743</v>
      </c>
      <c r="H378" s="238">
        <v>1</v>
      </c>
      <c r="I378" s="238">
        <v>670.68421052631584</v>
      </c>
      <c r="J378" s="238">
        <v>13</v>
      </c>
      <c r="K378" s="238">
        <v>8489</v>
      </c>
      <c r="L378" s="238">
        <v>0.66616966177509218</v>
      </c>
      <c r="M378" s="238">
        <v>653</v>
      </c>
      <c r="N378" s="238"/>
      <c r="O378" s="238"/>
      <c r="P378" s="682"/>
      <c r="Q378" s="713"/>
    </row>
    <row r="379" spans="1:17" ht="14.4" customHeight="1" x14ac:dyDescent="0.3">
      <c r="A379" s="680" t="s">
        <v>534</v>
      </c>
      <c r="B379" s="671" t="s">
        <v>3845</v>
      </c>
      <c r="C379" s="671" t="s">
        <v>3303</v>
      </c>
      <c r="D379" s="671" t="s">
        <v>3383</v>
      </c>
      <c r="E379" s="671" t="s">
        <v>3384</v>
      </c>
      <c r="F379" s="238"/>
      <c r="G379" s="238"/>
      <c r="H379" s="238"/>
      <c r="I379" s="238"/>
      <c r="J379" s="238">
        <v>4</v>
      </c>
      <c r="K379" s="238">
        <v>928</v>
      </c>
      <c r="L379" s="238"/>
      <c r="M379" s="238">
        <v>232</v>
      </c>
      <c r="N379" s="238"/>
      <c r="O379" s="238"/>
      <c r="P379" s="682"/>
      <c r="Q379" s="713"/>
    </row>
    <row r="380" spans="1:17" ht="14.4" customHeight="1" x14ac:dyDescent="0.3">
      <c r="A380" s="680" t="s">
        <v>534</v>
      </c>
      <c r="B380" s="671" t="s">
        <v>3845</v>
      </c>
      <c r="C380" s="671" t="s">
        <v>3303</v>
      </c>
      <c r="D380" s="671" t="s">
        <v>3895</v>
      </c>
      <c r="E380" s="671" t="s">
        <v>3896</v>
      </c>
      <c r="F380" s="238">
        <v>44</v>
      </c>
      <c r="G380" s="238">
        <v>410080</v>
      </c>
      <c r="H380" s="238">
        <v>1</v>
      </c>
      <c r="I380" s="238">
        <v>9320</v>
      </c>
      <c r="J380" s="238">
        <v>10</v>
      </c>
      <c r="K380" s="238">
        <v>93200</v>
      </c>
      <c r="L380" s="238">
        <v>0.22727272727272727</v>
      </c>
      <c r="M380" s="238">
        <v>9320</v>
      </c>
      <c r="N380" s="238">
        <v>20</v>
      </c>
      <c r="O380" s="238">
        <v>186400</v>
      </c>
      <c r="P380" s="682">
        <v>0.45454545454545453</v>
      </c>
      <c r="Q380" s="713">
        <v>9320</v>
      </c>
    </row>
    <row r="381" spans="1:17" ht="14.4" customHeight="1" x14ac:dyDescent="0.3">
      <c r="A381" s="680" t="s">
        <v>534</v>
      </c>
      <c r="B381" s="671" t="s">
        <v>3845</v>
      </c>
      <c r="C381" s="671" t="s">
        <v>3303</v>
      </c>
      <c r="D381" s="671" t="s">
        <v>3627</v>
      </c>
      <c r="E381" s="671" t="s">
        <v>3628</v>
      </c>
      <c r="F381" s="238">
        <v>0</v>
      </c>
      <c r="G381" s="238">
        <v>0</v>
      </c>
      <c r="H381" s="238"/>
      <c r="I381" s="238"/>
      <c r="J381" s="238">
        <v>0</v>
      </c>
      <c r="K381" s="238">
        <v>0</v>
      </c>
      <c r="L381" s="238"/>
      <c r="M381" s="238"/>
      <c r="N381" s="238">
        <v>0</v>
      </c>
      <c r="O381" s="238">
        <v>0</v>
      </c>
      <c r="P381" s="682"/>
      <c r="Q381" s="713"/>
    </row>
    <row r="382" spans="1:17" ht="14.4" customHeight="1" x14ac:dyDescent="0.3">
      <c r="A382" s="680" t="s">
        <v>534</v>
      </c>
      <c r="B382" s="671" t="s">
        <v>3845</v>
      </c>
      <c r="C382" s="671" t="s">
        <v>3303</v>
      </c>
      <c r="D382" s="671" t="s">
        <v>3629</v>
      </c>
      <c r="E382" s="671" t="s">
        <v>3630</v>
      </c>
      <c r="F382" s="238">
        <v>155</v>
      </c>
      <c r="G382" s="238">
        <v>0</v>
      </c>
      <c r="H382" s="238"/>
      <c r="I382" s="238">
        <v>0</v>
      </c>
      <c r="J382" s="238">
        <v>174</v>
      </c>
      <c r="K382" s="238">
        <v>0</v>
      </c>
      <c r="L382" s="238"/>
      <c r="M382" s="238">
        <v>0</v>
      </c>
      <c r="N382" s="238">
        <v>178</v>
      </c>
      <c r="O382" s="238">
        <v>0</v>
      </c>
      <c r="P382" s="682"/>
      <c r="Q382" s="713">
        <v>0</v>
      </c>
    </row>
    <row r="383" spans="1:17" ht="14.4" customHeight="1" x14ac:dyDescent="0.3">
      <c r="A383" s="680" t="s">
        <v>534</v>
      </c>
      <c r="B383" s="671" t="s">
        <v>3845</v>
      </c>
      <c r="C383" s="671" t="s">
        <v>3303</v>
      </c>
      <c r="D383" s="671" t="s">
        <v>3631</v>
      </c>
      <c r="E383" s="671" t="s">
        <v>3632</v>
      </c>
      <c r="F383" s="238">
        <v>19</v>
      </c>
      <c r="G383" s="238">
        <v>0</v>
      </c>
      <c r="H383" s="238"/>
      <c r="I383" s="238">
        <v>0</v>
      </c>
      <c r="J383" s="238"/>
      <c r="K383" s="238"/>
      <c r="L383" s="238"/>
      <c r="M383" s="238"/>
      <c r="N383" s="238"/>
      <c r="O383" s="238"/>
      <c r="P383" s="682"/>
      <c r="Q383" s="713"/>
    </row>
    <row r="384" spans="1:17" ht="14.4" customHeight="1" x14ac:dyDescent="0.3">
      <c r="A384" s="680" t="s">
        <v>534</v>
      </c>
      <c r="B384" s="671" t="s">
        <v>3845</v>
      </c>
      <c r="C384" s="671" t="s">
        <v>3303</v>
      </c>
      <c r="D384" s="671" t="s">
        <v>3897</v>
      </c>
      <c r="E384" s="671" t="s">
        <v>3898</v>
      </c>
      <c r="F384" s="238"/>
      <c r="G384" s="238"/>
      <c r="H384" s="238"/>
      <c r="I384" s="238"/>
      <c r="J384" s="238">
        <v>4</v>
      </c>
      <c r="K384" s="238">
        <v>0</v>
      </c>
      <c r="L384" s="238"/>
      <c r="M384" s="238">
        <v>0</v>
      </c>
      <c r="N384" s="238"/>
      <c r="O384" s="238"/>
      <c r="P384" s="682"/>
      <c r="Q384" s="713"/>
    </row>
    <row r="385" spans="1:17" ht="14.4" customHeight="1" x14ac:dyDescent="0.3">
      <c r="A385" s="680" t="s">
        <v>534</v>
      </c>
      <c r="B385" s="671" t="s">
        <v>3845</v>
      </c>
      <c r="C385" s="671" t="s">
        <v>3303</v>
      </c>
      <c r="D385" s="671" t="s">
        <v>3899</v>
      </c>
      <c r="E385" s="671" t="s">
        <v>3900</v>
      </c>
      <c r="F385" s="238"/>
      <c r="G385" s="238"/>
      <c r="H385" s="238"/>
      <c r="I385" s="238"/>
      <c r="J385" s="238">
        <v>1</v>
      </c>
      <c r="K385" s="238">
        <v>0</v>
      </c>
      <c r="L385" s="238"/>
      <c r="M385" s="238">
        <v>0</v>
      </c>
      <c r="N385" s="238"/>
      <c r="O385" s="238"/>
      <c r="P385" s="682"/>
      <c r="Q385" s="713"/>
    </row>
    <row r="386" spans="1:17" ht="14.4" customHeight="1" x14ac:dyDescent="0.3">
      <c r="A386" s="680" t="s">
        <v>534</v>
      </c>
      <c r="B386" s="671" t="s">
        <v>3845</v>
      </c>
      <c r="C386" s="671" t="s">
        <v>3303</v>
      </c>
      <c r="D386" s="671" t="s">
        <v>3704</v>
      </c>
      <c r="E386" s="671" t="s">
        <v>3705</v>
      </c>
      <c r="F386" s="238">
        <v>35</v>
      </c>
      <c r="G386" s="238">
        <v>0</v>
      </c>
      <c r="H386" s="238"/>
      <c r="I386" s="238">
        <v>0</v>
      </c>
      <c r="J386" s="238">
        <v>51</v>
      </c>
      <c r="K386" s="238">
        <v>0</v>
      </c>
      <c r="L386" s="238"/>
      <c r="M386" s="238">
        <v>0</v>
      </c>
      <c r="N386" s="238"/>
      <c r="O386" s="238"/>
      <c r="P386" s="682"/>
      <c r="Q386" s="713"/>
    </row>
    <row r="387" spans="1:17" ht="14.4" customHeight="1" x14ac:dyDescent="0.3">
      <c r="A387" s="680" t="s">
        <v>534</v>
      </c>
      <c r="B387" s="671" t="s">
        <v>3845</v>
      </c>
      <c r="C387" s="671" t="s">
        <v>3303</v>
      </c>
      <c r="D387" s="671" t="s">
        <v>3901</v>
      </c>
      <c r="E387" s="671" t="s">
        <v>3898</v>
      </c>
      <c r="F387" s="238">
        <v>1</v>
      </c>
      <c r="G387" s="238">
        <v>0</v>
      </c>
      <c r="H387" s="238"/>
      <c r="I387" s="238">
        <v>0</v>
      </c>
      <c r="J387" s="238">
        <v>2</v>
      </c>
      <c r="K387" s="238">
        <v>0</v>
      </c>
      <c r="L387" s="238"/>
      <c r="M387" s="238">
        <v>0</v>
      </c>
      <c r="N387" s="238">
        <v>2</v>
      </c>
      <c r="O387" s="238">
        <v>0</v>
      </c>
      <c r="P387" s="682"/>
      <c r="Q387" s="713">
        <v>0</v>
      </c>
    </row>
    <row r="388" spans="1:17" ht="14.4" customHeight="1" x14ac:dyDescent="0.3">
      <c r="A388" s="680" t="s">
        <v>534</v>
      </c>
      <c r="B388" s="671" t="s">
        <v>3845</v>
      </c>
      <c r="C388" s="671" t="s">
        <v>3303</v>
      </c>
      <c r="D388" s="671" t="s">
        <v>3326</v>
      </c>
      <c r="E388" s="671" t="s">
        <v>3327</v>
      </c>
      <c r="F388" s="238">
        <v>6</v>
      </c>
      <c r="G388" s="238">
        <v>2130</v>
      </c>
      <c r="H388" s="238">
        <v>1</v>
      </c>
      <c r="I388" s="238">
        <v>355</v>
      </c>
      <c r="J388" s="238">
        <v>3</v>
      </c>
      <c r="K388" s="238">
        <v>981</v>
      </c>
      <c r="L388" s="238">
        <v>0.46056338028169014</v>
      </c>
      <c r="M388" s="238">
        <v>327</v>
      </c>
      <c r="N388" s="238"/>
      <c r="O388" s="238"/>
      <c r="P388" s="682"/>
      <c r="Q388" s="713"/>
    </row>
    <row r="389" spans="1:17" ht="14.4" customHeight="1" x14ac:dyDescent="0.3">
      <c r="A389" s="680" t="s">
        <v>534</v>
      </c>
      <c r="B389" s="671" t="s">
        <v>3845</v>
      </c>
      <c r="C389" s="671" t="s">
        <v>3303</v>
      </c>
      <c r="D389" s="671" t="s">
        <v>3902</v>
      </c>
      <c r="E389" s="671" t="s">
        <v>3903</v>
      </c>
      <c r="F389" s="238"/>
      <c r="G389" s="238"/>
      <c r="H389" s="238"/>
      <c r="I389" s="238"/>
      <c r="J389" s="238">
        <v>1</v>
      </c>
      <c r="K389" s="238">
        <v>5476</v>
      </c>
      <c r="L389" s="238"/>
      <c r="M389" s="238">
        <v>5476</v>
      </c>
      <c r="N389" s="238"/>
      <c r="O389" s="238"/>
      <c r="P389" s="682"/>
      <c r="Q389" s="713"/>
    </row>
    <row r="390" spans="1:17" ht="14.4" customHeight="1" x14ac:dyDescent="0.3">
      <c r="A390" s="680" t="s">
        <v>534</v>
      </c>
      <c r="B390" s="671" t="s">
        <v>3845</v>
      </c>
      <c r="C390" s="671" t="s">
        <v>3303</v>
      </c>
      <c r="D390" s="671" t="s">
        <v>3904</v>
      </c>
      <c r="E390" s="671" t="s">
        <v>3905</v>
      </c>
      <c r="F390" s="238">
        <v>37</v>
      </c>
      <c r="G390" s="238">
        <v>886372</v>
      </c>
      <c r="H390" s="238">
        <v>1</v>
      </c>
      <c r="I390" s="238">
        <v>23956</v>
      </c>
      <c r="J390" s="238">
        <v>45</v>
      </c>
      <c r="K390" s="238">
        <v>1078418</v>
      </c>
      <c r="L390" s="238">
        <v>1.216665237620322</v>
      </c>
      <c r="M390" s="238">
        <v>23964.844444444443</v>
      </c>
      <c r="N390" s="238">
        <v>27</v>
      </c>
      <c r="O390" s="238">
        <v>647082</v>
      </c>
      <c r="P390" s="682">
        <v>0.7300343422400527</v>
      </c>
      <c r="Q390" s="713">
        <v>23966</v>
      </c>
    </row>
    <row r="391" spans="1:17" ht="14.4" customHeight="1" x14ac:dyDescent="0.3">
      <c r="A391" s="680" t="s">
        <v>534</v>
      </c>
      <c r="B391" s="671" t="s">
        <v>3845</v>
      </c>
      <c r="C391" s="671" t="s">
        <v>3303</v>
      </c>
      <c r="D391" s="671" t="s">
        <v>3906</v>
      </c>
      <c r="E391" s="671" t="s">
        <v>3907</v>
      </c>
      <c r="F391" s="238">
        <v>1</v>
      </c>
      <c r="G391" s="238">
        <v>6666</v>
      </c>
      <c r="H391" s="238">
        <v>1</v>
      </c>
      <c r="I391" s="238">
        <v>6666</v>
      </c>
      <c r="J391" s="238">
        <v>4</v>
      </c>
      <c r="K391" s="238">
        <v>26696</v>
      </c>
      <c r="L391" s="238">
        <v>4.0048004800480044</v>
      </c>
      <c r="M391" s="238">
        <v>6674</v>
      </c>
      <c r="N391" s="238"/>
      <c r="O391" s="238"/>
      <c r="P391" s="682"/>
      <c r="Q391" s="713"/>
    </row>
    <row r="392" spans="1:17" ht="14.4" customHeight="1" x14ac:dyDescent="0.3">
      <c r="A392" s="680" t="s">
        <v>534</v>
      </c>
      <c r="B392" s="671" t="s">
        <v>3845</v>
      </c>
      <c r="C392" s="671" t="s">
        <v>3303</v>
      </c>
      <c r="D392" s="671" t="s">
        <v>3908</v>
      </c>
      <c r="E392" s="671" t="s">
        <v>3898</v>
      </c>
      <c r="F392" s="238">
        <v>4</v>
      </c>
      <c r="G392" s="238">
        <v>0</v>
      </c>
      <c r="H392" s="238"/>
      <c r="I392" s="238">
        <v>0</v>
      </c>
      <c r="J392" s="238"/>
      <c r="K392" s="238"/>
      <c r="L392" s="238"/>
      <c r="M392" s="238"/>
      <c r="N392" s="238">
        <v>2</v>
      </c>
      <c r="O392" s="238">
        <v>0</v>
      </c>
      <c r="P392" s="682"/>
      <c r="Q392" s="713">
        <v>0</v>
      </c>
    </row>
    <row r="393" spans="1:17" ht="14.4" customHeight="1" x14ac:dyDescent="0.3">
      <c r="A393" s="680" t="s">
        <v>534</v>
      </c>
      <c r="B393" s="671" t="s">
        <v>3845</v>
      </c>
      <c r="C393" s="671" t="s">
        <v>3303</v>
      </c>
      <c r="D393" s="671" t="s">
        <v>3909</v>
      </c>
      <c r="E393" s="671" t="s">
        <v>3910</v>
      </c>
      <c r="F393" s="238">
        <v>84</v>
      </c>
      <c r="G393" s="238">
        <v>2348304</v>
      </c>
      <c r="H393" s="238">
        <v>1</v>
      </c>
      <c r="I393" s="238">
        <v>27956</v>
      </c>
      <c r="J393" s="238">
        <v>86</v>
      </c>
      <c r="K393" s="238">
        <v>2404972</v>
      </c>
      <c r="L393" s="238">
        <v>1.0241314582779741</v>
      </c>
      <c r="M393" s="238">
        <v>27964.79069767442</v>
      </c>
      <c r="N393" s="238">
        <v>75</v>
      </c>
      <c r="O393" s="238">
        <v>2097450</v>
      </c>
      <c r="P393" s="682">
        <v>0.89317652229012934</v>
      </c>
      <c r="Q393" s="713">
        <v>27966</v>
      </c>
    </row>
    <row r="394" spans="1:17" ht="14.4" customHeight="1" x14ac:dyDescent="0.3">
      <c r="A394" s="680" t="s">
        <v>534</v>
      </c>
      <c r="B394" s="671" t="s">
        <v>3845</v>
      </c>
      <c r="C394" s="671" t="s">
        <v>3303</v>
      </c>
      <c r="D394" s="671" t="s">
        <v>3363</v>
      </c>
      <c r="E394" s="671" t="s">
        <v>3364</v>
      </c>
      <c r="F394" s="238"/>
      <c r="G394" s="238"/>
      <c r="H394" s="238"/>
      <c r="I394" s="238"/>
      <c r="J394" s="238">
        <v>10</v>
      </c>
      <c r="K394" s="238">
        <v>3440</v>
      </c>
      <c r="L394" s="238"/>
      <c r="M394" s="238">
        <v>344</v>
      </c>
      <c r="N394" s="238"/>
      <c r="O394" s="238"/>
      <c r="P394" s="682"/>
      <c r="Q394" s="713"/>
    </row>
    <row r="395" spans="1:17" ht="14.4" customHeight="1" x14ac:dyDescent="0.3">
      <c r="A395" s="680" t="s">
        <v>534</v>
      </c>
      <c r="B395" s="671" t="s">
        <v>3845</v>
      </c>
      <c r="C395" s="671" t="s">
        <v>3303</v>
      </c>
      <c r="D395" s="671" t="s">
        <v>3739</v>
      </c>
      <c r="E395" s="671" t="s">
        <v>3740</v>
      </c>
      <c r="F395" s="238"/>
      <c r="G395" s="238"/>
      <c r="H395" s="238"/>
      <c r="I395" s="238"/>
      <c r="J395" s="238"/>
      <c r="K395" s="238"/>
      <c r="L395" s="238"/>
      <c r="M395" s="238"/>
      <c r="N395" s="238">
        <v>10</v>
      </c>
      <c r="O395" s="238">
        <v>3440</v>
      </c>
      <c r="P395" s="682"/>
      <c r="Q395" s="713">
        <v>344</v>
      </c>
    </row>
    <row r="396" spans="1:17" ht="14.4" customHeight="1" x14ac:dyDescent="0.3">
      <c r="A396" s="680" t="s">
        <v>534</v>
      </c>
      <c r="B396" s="671" t="s">
        <v>3845</v>
      </c>
      <c r="C396" s="671" t="s">
        <v>3303</v>
      </c>
      <c r="D396" s="671" t="s">
        <v>3748</v>
      </c>
      <c r="E396" s="671" t="s">
        <v>3749</v>
      </c>
      <c r="F396" s="238">
        <v>1</v>
      </c>
      <c r="G396" s="238">
        <v>0</v>
      </c>
      <c r="H396" s="238"/>
      <c r="I396" s="238">
        <v>0</v>
      </c>
      <c r="J396" s="238"/>
      <c r="K396" s="238"/>
      <c r="L396" s="238"/>
      <c r="M396" s="238"/>
      <c r="N396" s="238"/>
      <c r="O396" s="238"/>
      <c r="P396" s="682"/>
      <c r="Q396" s="713"/>
    </row>
    <row r="397" spans="1:17" ht="14.4" customHeight="1" x14ac:dyDescent="0.3">
      <c r="A397" s="680" t="s">
        <v>534</v>
      </c>
      <c r="B397" s="671" t="s">
        <v>3845</v>
      </c>
      <c r="C397" s="671" t="s">
        <v>3303</v>
      </c>
      <c r="D397" s="671" t="s">
        <v>3391</v>
      </c>
      <c r="E397" s="671" t="s">
        <v>3392</v>
      </c>
      <c r="F397" s="238"/>
      <c r="G397" s="238"/>
      <c r="H397" s="238"/>
      <c r="I397" s="238"/>
      <c r="J397" s="238"/>
      <c r="K397" s="238"/>
      <c r="L397" s="238"/>
      <c r="M397" s="238"/>
      <c r="N397" s="238">
        <v>7</v>
      </c>
      <c r="O397" s="238">
        <v>1624</v>
      </c>
      <c r="P397" s="682"/>
      <c r="Q397" s="713">
        <v>232</v>
      </c>
    </row>
    <row r="398" spans="1:17" ht="14.4" customHeight="1" x14ac:dyDescent="0.3">
      <c r="A398" s="680" t="s">
        <v>534</v>
      </c>
      <c r="B398" s="671" t="s">
        <v>3845</v>
      </c>
      <c r="C398" s="671" t="s">
        <v>3303</v>
      </c>
      <c r="D398" s="671" t="s">
        <v>3911</v>
      </c>
      <c r="E398" s="671" t="s">
        <v>3898</v>
      </c>
      <c r="F398" s="238">
        <v>1</v>
      </c>
      <c r="G398" s="238">
        <v>0</v>
      </c>
      <c r="H398" s="238"/>
      <c r="I398" s="238">
        <v>0</v>
      </c>
      <c r="J398" s="238">
        <v>3</v>
      </c>
      <c r="K398" s="238">
        <v>0</v>
      </c>
      <c r="L398" s="238"/>
      <c r="M398" s="238">
        <v>0</v>
      </c>
      <c r="N398" s="238">
        <v>1</v>
      </c>
      <c r="O398" s="238">
        <v>0</v>
      </c>
      <c r="P398" s="682"/>
      <c r="Q398" s="713">
        <v>0</v>
      </c>
    </row>
    <row r="399" spans="1:17" ht="14.4" customHeight="1" x14ac:dyDescent="0.3">
      <c r="A399" s="680" t="s">
        <v>534</v>
      </c>
      <c r="B399" s="671" t="s">
        <v>3912</v>
      </c>
      <c r="C399" s="671" t="s">
        <v>3303</v>
      </c>
      <c r="D399" s="671" t="s">
        <v>3617</v>
      </c>
      <c r="E399" s="671" t="s">
        <v>3618</v>
      </c>
      <c r="F399" s="238"/>
      <c r="G399" s="238"/>
      <c r="H399" s="238"/>
      <c r="I399" s="238"/>
      <c r="J399" s="238">
        <v>44</v>
      </c>
      <c r="K399" s="238">
        <v>10208</v>
      </c>
      <c r="L399" s="238"/>
      <c r="M399" s="238">
        <v>232</v>
      </c>
      <c r="N399" s="238">
        <v>86</v>
      </c>
      <c r="O399" s="238">
        <v>19952</v>
      </c>
      <c r="P399" s="682"/>
      <c r="Q399" s="713">
        <v>232</v>
      </c>
    </row>
    <row r="400" spans="1:17" ht="14.4" customHeight="1" x14ac:dyDescent="0.3">
      <c r="A400" s="680" t="s">
        <v>534</v>
      </c>
      <c r="B400" s="671" t="s">
        <v>3912</v>
      </c>
      <c r="C400" s="671" t="s">
        <v>3303</v>
      </c>
      <c r="D400" s="671" t="s">
        <v>3619</v>
      </c>
      <c r="E400" s="671" t="s">
        <v>3620</v>
      </c>
      <c r="F400" s="238"/>
      <c r="G400" s="238"/>
      <c r="H400" s="238"/>
      <c r="I400" s="238"/>
      <c r="J400" s="238">
        <v>33</v>
      </c>
      <c r="K400" s="238">
        <v>3828</v>
      </c>
      <c r="L400" s="238"/>
      <c r="M400" s="238">
        <v>116</v>
      </c>
      <c r="N400" s="238">
        <v>78</v>
      </c>
      <c r="O400" s="238">
        <v>9048</v>
      </c>
      <c r="P400" s="682"/>
      <c r="Q400" s="713">
        <v>116</v>
      </c>
    </row>
    <row r="401" spans="1:17" ht="14.4" customHeight="1" x14ac:dyDescent="0.3">
      <c r="A401" s="680" t="s">
        <v>534</v>
      </c>
      <c r="B401" s="671" t="s">
        <v>3912</v>
      </c>
      <c r="C401" s="671" t="s">
        <v>3303</v>
      </c>
      <c r="D401" s="671" t="s">
        <v>3621</v>
      </c>
      <c r="E401" s="671" t="s">
        <v>3622</v>
      </c>
      <c r="F401" s="238"/>
      <c r="G401" s="238"/>
      <c r="H401" s="238"/>
      <c r="I401" s="238"/>
      <c r="J401" s="238">
        <v>28</v>
      </c>
      <c r="K401" s="238">
        <v>25060</v>
      </c>
      <c r="L401" s="238"/>
      <c r="M401" s="238">
        <v>895</v>
      </c>
      <c r="N401" s="238">
        <v>46</v>
      </c>
      <c r="O401" s="238">
        <v>41170</v>
      </c>
      <c r="P401" s="682"/>
      <c r="Q401" s="713">
        <v>895</v>
      </c>
    </row>
    <row r="402" spans="1:17" ht="14.4" customHeight="1" x14ac:dyDescent="0.3">
      <c r="A402" s="680" t="s">
        <v>534</v>
      </c>
      <c r="B402" s="671" t="s">
        <v>3912</v>
      </c>
      <c r="C402" s="671" t="s">
        <v>3303</v>
      </c>
      <c r="D402" s="671" t="s">
        <v>3692</v>
      </c>
      <c r="E402" s="671" t="s">
        <v>3693</v>
      </c>
      <c r="F402" s="238"/>
      <c r="G402" s="238"/>
      <c r="H402" s="238"/>
      <c r="I402" s="238"/>
      <c r="J402" s="238">
        <v>518</v>
      </c>
      <c r="K402" s="238">
        <v>42476</v>
      </c>
      <c r="L402" s="238"/>
      <c r="M402" s="238">
        <v>82</v>
      </c>
      <c r="N402" s="238">
        <v>1027</v>
      </c>
      <c r="O402" s="238">
        <v>84214</v>
      </c>
      <c r="P402" s="682"/>
      <c r="Q402" s="713">
        <v>82</v>
      </c>
    </row>
    <row r="403" spans="1:17" ht="14.4" customHeight="1" x14ac:dyDescent="0.3">
      <c r="A403" s="680" t="s">
        <v>534</v>
      </c>
      <c r="B403" s="671" t="s">
        <v>3912</v>
      </c>
      <c r="C403" s="671" t="s">
        <v>3303</v>
      </c>
      <c r="D403" s="671" t="s">
        <v>3706</v>
      </c>
      <c r="E403" s="671" t="s">
        <v>3707</v>
      </c>
      <c r="F403" s="238"/>
      <c r="G403" s="238"/>
      <c r="H403" s="238"/>
      <c r="I403" s="238"/>
      <c r="J403" s="238">
        <v>518</v>
      </c>
      <c r="K403" s="238">
        <v>271432</v>
      </c>
      <c r="L403" s="238"/>
      <c r="M403" s="238">
        <v>524</v>
      </c>
      <c r="N403" s="238">
        <v>1027</v>
      </c>
      <c r="O403" s="238">
        <v>538148</v>
      </c>
      <c r="P403" s="682"/>
      <c r="Q403" s="713">
        <v>524</v>
      </c>
    </row>
    <row r="404" spans="1:17" ht="14.4" customHeight="1" x14ac:dyDescent="0.3">
      <c r="A404" s="680" t="s">
        <v>534</v>
      </c>
      <c r="B404" s="671" t="s">
        <v>3912</v>
      </c>
      <c r="C404" s="671" t="s">
        <v>3303</v>
      </c>
      <c r="D404" s="671" t="s">
        <v>3714</v>
      </c>
      <c r="E404" s="671" t="s">
        <v>3715</v>
      </c>
      <c r="F404" s="238"/>
      <c r="G404" s="238"/>
      <c r="H404" s="238"/>
      <c r="I404" s="238"/>
      <c r="J404" s="238">
        <v>44</v>
      </c>
      <c r="K404" s="238">
        <v>7568</v>
      </c>
      <c r="L404" s="238"/>
      <c r="M404" s="238">
        <v>172</v>
      </c>
      <c r="N404" s="238">
        <v>83</v>
      </c>
      <c r="O404" s="238">
        <v>14276</v>
      </c>
      <c r="P404" s="682"/>
      <c r="Q404" s="713">
        <v>172</v>
      </c>
    </row>
    <row r="405" spans="1:17" ht="14.4" customHeight="1" x14ac:dyDescent="0.3">
      <c r="A405" s="680" t="s">
        <v>534</v>
      </c>
      <c r="B405" s="671" t="s">
        <v>3912</v>
      </c>
      <c r="C405" s="671" t="s">
        <v>3303</v>
      </c>
      <c r="D405" s="671" t="s">
        <v>3722</v>
      </c>
      <c r="E405" s="671" t="s">
        <v>3723</v>
      </c>
      <c r="F405" s="238"/>
      <c r="G405" s="238"/>
      <c r="H405" s="238"/>
      <c r="I405" s="238"/>
      <c r="J405" s="238">
        <v>8</v>
      </c>
      <c r="K405" s="238">
        <v>2680</v>
      </c>
      <c r="L405" s="238"/>
      <c r="M405" s="238">
        <v>335</v>
      </c>
      <c r="N405" s="238">
        <v>3</v>
      </c>
      <c r="O405" s="238">
        <v>1005</v>
      </c>
      <c r="P405" s="682"/>
      <c r="Q405" s="713">
        <v>335</v>
      </c>
    </row>
    <row r="406" spans="1:17" ht="14.4" customHeight="1" x14ac:dyDescent="0.3">
      <c r="A406" s="680" t="s">
        <v>534</v>
      </c>
      <c r="B406" s="671" t="s">
        <v>3912</v>
      </c>
      <c r="C406" s="671" t="s">
        <v>3303</v>
      </c>
      <c r="D406" s="671" t="s">
        <v>3726</v>
      </c>
      <c r="E406" s="671" t="s">
        <v>3727</v>
      </c>
      <c r="F406" s="238"/>
      <c r="G406" s="238"/>
      <c r="H406" s="238"/>
      <c r="I406" s="238"/>
      <c r="J406" s="238">
        <v>40</v>
      </c>
      <c r="K406" s="238">
        <v>15480</v>
      </c>
      <c r="L406" s="238"/>
      <c r="M406" s="238">
        <v>387</v>
      </c>
      <c r="N406" s="238">
        <v>109</v>
      </c>
      <c r="O406" s="238">
        <v>42183</v>
      </c>
      <c r="P406" s="682"/>
      <c r="Q406" s="713">
        <v>387</v>
      </c>
    </row>
    <row r="407" spans="1:17" ht="14.4" customHeight="1" x14ac:dyDescent="0.3">
      <c r="A407" s="680" t="s">
        <v>534</v>
      </c>
      <c r="B407" s="671" t="s">
        <v>3912</v>
      </c>
      <c r="C407" s="671" t="s">
        <v>3303</v>
      </c>
      <c r="D407" s="671" t="s">
        <v>3728</v>
      </c>
      <c r="E407" s="671" t="s">
        <v>3729</v>
      </c>
      <c r="F407" s="238"/>
      <c r="G407" s="238"/>
      <c r="H407" s="238"/>
      <c r="I407" s="238"/>
      <c r="J407" s="238">
        <v>8</v>
      </c>
      <c r="K407" s="238">
        <v>6880</v>
      </c>
      <c r="L407" s="238"/>
      <c r="M407" s="238">
        <v>860</v>
      </c>
      <c r="N407" s="238">
        <v>6</v>
      </c>
      <c r="O407" s="238">
        <v>5160</v>
      </c>
      <c r="P407" s="682"/>
      <c r="Q407" s="713">
        <v>860</v>
      </c>
    </row>
    <row r="408" spans="1:17" ht="14.4" customHeight="1" x14ac:dyDescent="0.3">
      <c r="A408" s="680" t="s">
        <v>534</v>
      </c>
      <c r="B408" s="671" t="s">
        <v>3912</v>
      </c>
      <c r="C408" s="671" t="s">
        <v>3303</v>
      </c>
      <c r="D408" s="671" t="s">
        <v>3736</v>
      </c>
      <c r="E408" s="671" t="s">
        <v>3729</v>
      </c>
      <c r="F408" s="238"/>
      <c r="G408" s="238"/>
      <c r="H408" s="238"/>
      <c r="I408" s="238"/>
      <c r="J408" s="238">
        <v>510</v>
      </c>
      <c r="K408" s="238">
        <v>480930</v>
      </c>
      <c r="L408" s="238"/>
      <c r="M408" s="238">
        <v>943</v>
      </c>
      <c r="N408" s="238">
        <v>1021</v>
      </c>
      <c r="O408" s="238">
        <v>962803</v>
      </c>
      <c r="P408" s="682"/>
      <c r="Q408" s="713">
        <v>943</v>
      </c>
    </row>
    <row r="409" spans="1:17" ht="14.4" customHeight="1" x14ac:dyDescent="0.3">
      <c r="A409" s="680" t="s">
        <v>534</v>
      </c>
      <c r="B409" s="671" t="s">
        <v>3912</v>
      </c>
      <c r="C409" s="671" t="s">
        <v>3303</v>
      </c>
      <c r="D409" s="671" t="s">
        <v>3752</v>
      </c>
      <c r="E409" s="671" t="s">
        <v>3753</v>
      </c>
      <c r="F409" s="238"/>
      <c r="G409" s="238"/>
      <c r="H409" s="238"/>
      <c r="I409" s="238"/>
      <c r="J409" s="238">
        <v>2</v>
      </c>
      <c r="K409" s="238">
        <v>3358</v>
      </c>
      <c r="L409" s="238"/>
      <c r="M409" s="238">
        <v>1679</v>
      </c>
      <c r="N409" s="238">
        <v>7</v>
      </c>
      <c r="O409" s="238">
        <v>11753</v>
      </c>
      <c r="P409" s="682"/>
      <c r="Q409" s="713">
        <v>1679</v>
      </c>
    </row>
    <row r="410" spans="1:17" ht="14.4" customHeight="1" x14ac:dyDescent="0.3">
      <c r="A410" s="680" t="s">
        <v>534</v>
      </c>
      <c r="B410" s="671" t="s">
        <v>3912</v>
      </c>
      <c r="C410" s="671" t="s">
        <v>3303</v>
      </c>
      <c r="D410" s="671" t="s">
        <v>3769</v>
      </c>
      <c r="E410" s="671" t="s">
        <v>3770</v>
      </c>
      <c r="F410" s="238"/>
      <c r="G410" s="238"/>
      <c r="H410" s="238"/>
      <c r="I410" s="238"/>
      <c r="J410" s="238">
        <v>1</v>
      </c>
      <c r="K410" s="238">
        <v>606</v>
      </c>
      <c r="L410" s="238"/>
      <c r="M410" s="238">
        <v>606</v>
      </c>
      <c r="N410" s="238"/>
      <c r="O410" s="238"/>
      <c r="P410" s="682"/>
      <c r="Q410" s="713"/>
    </row>
    <row r="411" spans="1:17" ht="14.4" customHeight="1" thickBot="1" x14ac:dyDescent="0.35">
      <c r="A411" s="637" t="s">
        <v>3913</v>
      </c>
      <c r="B411" s="673" t="s">
        <v>3302</v>
      </c>
      <c r="C411" s="673" t="s">
        <v>3303</v>
      </c>
      <c r="D411" s="673" t="s">
        <v>3314</v>
      </c>
      <c r="E411" s="673" t="s">
        <v>3315</v>
      </c>
      <c r="F411" s="674"/>
      <c r="G411" s="674"/>
      <c r="H411" s="674"/>
      <c r="I411" s="674"/>
      <c r="J411" s="674"/>
      <c r="K411" s="674"/>
      <c r="L411" s="674"/>
      <c r="M411" s="674"/>
      <c r="N411" s="674">
        <v>1</v>
      </c>
      <c r="O411" s="674">
        <v>980</v>
      </c>
      <c r="P411" s="683"/>
      <c r="Q411" s="714">
        <v>980</v>
      </c>
    </row>
  </sheetData>
  <autoFilter ref="A5:Q5"/>
  <mergeCells count="11">
    <mergeCell ref="J4:K4"/>
    <mergeCell ref="A1:Q1"/>
    <mergeCell ref="N4:O4"/>
    <mergeCell ref="Q4:Q5"/>
    <mergeCell ref="A4:A5"/>
    <mergeCell ref="B4:B5"/>
    <mergeCell ref="C4:C5"/>
    <mergeCell ref="D4:D5"/>
    <mergeCell ref="P4:P5"/>
    <mergeCell ref="E4:E5"/>
    <mergeCell ref="F4:G4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>
    <tabColor theme="5" tint="0.39997558519241921"/>
    <pageSetUpPr fitToPage="1"/>
  </sheetPr>
  <dimension ref="A1:M42"/>
  <sheetViews>
    <sheetView showGridLines="0" showRowColHeaders="0" zoomScaleNormal="100" workbookViewId="0">
      <selection sqref="A1:M1"/>
    </sheetView>
  </sheetViews>
  <sheetFormatPr defaultColWidth="9.33203125" defaultRowHeight="14.4" customHeight="1" outlineLevelRow="1" x14ac:dyDescent="0.25"/>
  <cols>
    <col min="1" max="1" width="29.109375" style="367" customWidth="1"/>
    <col min="2" max="4" width="7.88671875" style="367" customWidth="1"/>
    <col min="5" max="5" width="7.88671875" style="376" customWidth="1"/>
    <col min="6" max="8" width="7.88671875" style="367" customWidth="1"/>
    <col min="9" max="9" width="7.88671875" style="377" customWidth="1"/>
    <col min="10" max="13" width="7.88671875" style="367" customWidth="1"/>
    <col min="14" max="16384" width="9.33203125" style="367"/>
  </cols>
  <sheetData>
    <row r="1" spans="1:13" ht="18.600000000000001" customHeight="1" thickBot="1" x14ac:dyDescent="0.4">
      <c r="A1" s="549" t="s">
        <v>139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thickBot="1" x14ac:dyDescent="0.35">
      <c r="A2" s="389" t="s">
        <v>298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</row>
    <row r="3" spans="1:13" ht="14.4" customHeight="1" thickBot="1" x14ac:dyDescent="0.35">
      <c r="A3" s="550" t="s">
        <v>73</v>
      </c>
      <c r="B3" s="529" t="s">
        <v>74</v>
      </c>
      <c r="C3" s="530"/>
      <c r="D3" s="530"/>
      <c r="E3" s="531"/>
      <c r="F3" s="529" t="s">
        <v>242</v>
      </c>
      <c r="G3" s="530"/>
      <c r="H3" s="530"/>
      <c r="I3" s="531"/>
      <c r="J3" s="123"/>
      <c r="K3" s="124"/>
      <c r="L3" s="123"/>
      <c r="M3" s="125"/>
    </row>
    <row r="4" spans="1:13" ht="14.4" customHeight="1" thickBot="1" x14ac:dyDescent="0.35">
      <c r="A4" s="551"/>
      <c r="B4" s="126">
        <v>2012</v>
      </c>
      <c r="C4" s="127">
        <v>2013</v>
      </c>
      <c r="D4" s="127">
        <v>2014</v>
      </c>
      <c r="E4" s="128" t="s">
        <v>5</v>
      </c>
      <c r="F4" s="127">
        <v>2012</v>
      </c>
      <c r="G4" s="127">
        <v>2013</v>
      </c>
      <c r="H4" s="127">
        <v>2014</v>
      </c>
      <c r="I4" s="128" t="s">
        <v>5</v>
      </c>
      <c r="J4" s="123"/>
      <c r="K4" s="123"/>
      <c r="L4" s="129" t="s">
        <v>75</v>
      </c>
      <c r="M4" s="130" t="s">
        <v>76</v>
      </c>
    </row>
    <row r="5" spans="1:13" ht="14.4" hidden="1" customHeight="1" outlineLevel="1" x14ac:dyDescent="0.3">
      <c r="A5" s="118" t="s">
        <v>172</v>
      </c>
      <c r="B5" s="121">
        <v>1245.1110000000001</v>
      </c>
      <c r="C5" s="114">
        <v>1012.482</v>
      </c>
      <c r="D5" s="114">
        <v>1150.0709999999999</v>
      </c>
      <c r="E5" s="131">
        <v>0.92366945597621397</v>
      </c>
      <c r="F5" s="132">
        <v>69</v>
      </c>
      <c r="G5" s="114">
        <v>58</v>
      </c>
      <c r="H5" s="114">
        <v>63</v>
      </c>
      <c r="I5" s="133">
        <v>0.91304347826086951</v>
      </c>
      <c r="J5" s="123"/>
      <c r="K5" s="123"/>
      <c r="L5" s="7">
        <f>D5-B5</f>
        <v>-95.040000000000191</v>
      </c>
      <c r="M5" s="8">
        <f>H5-F5</f>
        <v>-6</v>
      </c>
    </row>
    <row r="6" spans="1:13" ht="14.4" hidden="1" customHeight="1" outlineLevel="1" x14ac:dyDescent="0.3">
      <c r="A6" s="119" t="s">
        <v>173</v>
      </c>
      <c r="B6" s="122">
        <v>121.58</v>
      </c>
      <c r="C6" s="113">
        <v>141.779</v>
      </c>
      <c r="D6" s="113">
        <v>163.08500000000001</v>
      </c>
      <c r="E6" s="134">
        <v>1.3413801612107255</v>
      </c>
      <c r="F6" s="135">
        <v>7</v>
      </c>
      <c r="G6" s="113">
        <v>9</v>
      </c>
      <c r="H6" s="113">
        <v>9</v>
      </c>
      <c r="I6" s="136">
        <v>1.2857142857142858</v>
      </c>
      <c r="J6" s="123"/>
      <c r="K6" s="123"/>
      <c r="L6" s="5">
        <f t="shared" ref="L6:L11" si="0">D6-B6</f>
        <v>41.50500000000001</v>
      </c>
      <c r="M6" s="6">
        <f t="shared" ref="M6:M13" si="1">H6-F6</f>
        <v>2</v>
      </c>
    </row>
    <row r="7" spans="1:13" ht="14.4" hidden="1" customHeight="1" outlineLevel="1" x14ac:dyDescent="0.3">
      <c r="A7" s="119" t="s">
        <v>174</v>
      </c>
      <c r="B7" s="122">
        <v>383.11</v>
      </c>
      <c r="C7" s="113">
        <v>359.49799999999999</v>
      </c>
      <c r="D7" s="113">
        <v>299.447</v>
      </c>
      <c r="E7" s="134">
        <v>0.7816214664195662</v>
      </c>
      <c r="F7" s="135">
        <v>21</v>
      </c>
      <c r="G7" s="113">
        <v>26</v>
      </c>
      <c r="H7" s="113">
        <v>16</v>
      </c>
      <c r="I7" s="136">
        <v>0.76190476190476186</v>
      </c>
      <c r="J7" s="123"/>
      <c r="K7" s="123"/>
      <c r="L7" s="5">
        <f t="shared" si="0"/>
        <v>-83.663000000000011</v>
      </c>
      <c r="M7" s="6">
        <f t="shared" si="1"/>
        <v>-5</v>
      </c>
    </row>
    <row r="8" spans="1:13" ht="14.4" hidden="1" customHeight="1" outlineLevel="1" x14ac:dyDescent="0.3">
      <c r="A8" s="119" t="s">
        <v>175</v>
      </c>
      <c r="B8" s="122">
        <v>76.224000000000004</v>
      </c>
      <c r="C8" s="113">
        <v>0.432</v>
      </c>
      <c r="D8" s="113">
        <v>0.86399999999999999</v>
      </c>
      <c r="E8" s="134">
        <v>1.1335012594458438E-2</v>
      </c>
      <c r="F8" s="135">
        <v>5</v>
      </c>
      <c r="G8" s="113">
        <v>1</v>
      </c>
      <c r="H8" s="113">
        <v>2</v>
      </c>
      <c r="I8" s="136">
        <v>0.4</v>
      </c>
      <c r="J8" s="123"/>
      <c r="K8" s="123"/>
      <c r="L8" s="5">
        <f t="shared" si="0"/>
        <v>-75.36</v>
      </c>
      <c r="M8" s="6">
        <f t="shared" si="1"/>
        <v>-3</v>
      </c>
    </row>
    <row r="9" spans="1:13" ht="14.4" hidden="1" customHeight="1" outlineLevel="1" x14ac:dyDescent="0.3">
      <c r="A9" s="119" t="s">
        <v>176</v>
      </c>
      <c r="B9" s="122">
        <v>0</v>
      </c>
      <c r="C9" s="113">
        <v>0</v>
      </c>
      <c r="D9" s="113">
        <v>0</v>
      </c>
      <c r="E9" s="134" t="s">
        <v>535</v>
      </c>
      <c r="F9" s="135">
        <v>0</v>
      </c>
      <c r="G9" s="113">
        <v>0</v>
      </c>
      <c r="H9" s="113">
        <v>0</v>
      </c>
      <c r="I9" s="136" t="s">
        <v>535</v>
      </c>
      <c r="J9" s="123"/>
      <c r="K9" s="123"/>
      <c r="L9" s="5">
        <f t="shared" si="0"/>
        <v>0</v>
      </c>
      <c r="M9" s="6">
        <f t="shared" si="1"/>
        <v>0</v>
      </c>
    </row>
    <row r="10" spans="1:13" ht="14.4" hidden="1" customHeight="1" outlineLevel="1" x14ac:dyDescent="0.3">
      <c r="A10" s="119" t="s">
        <v>177</v>
      </c>
      <c r="B10" s="122">
        <v>37.531999999999996</v>
      </c>
      <c r="C10" s="113">
        <v>183.584</v>
      </c>
      <c r="D10" s="113">
        <v>138.47399999999999</v>
      </c>
      <c r="E10" s="134">
        <v>3.6894916338058192</v>
      </c>
      <c r="F10" s="135">
        <v>3</v>
      </c>
      <c r="G10" s="113">
        <v>9</v>
      </c>
      <c r="H10" s="113">
        <v>8</v>
      </c>
      <c r="I10" s="136">
        <v>2.6666666666666665</v>
      </c>
      <c r="J10" s="123"/>
      <c r="K10" s="123"/>
      <c r="L10" s="5">
        <f t="shared" si="0"/>
        <v>100.94199999999999</v>
      </c>
      <c r="M10" s="6">
        <f t="shared" si="1"/>
        <v>5</v>
      </c>
    </row>
    <row r="11" spans="1:13" ht="14.4" hidden="1" customHeight="1" outlineLevel="1" x14ac:dyDescent="0.3">
      <c r="A11" s="119" t="s">
        <v>178</v>
      </c>
      <c r="B11" s="122">
        <v>115.752</v>
      </c>
      <c r="C11" s="113">
        <v>32.432000000000002</v>
      </c>
      <c r="D11" s="113">
        <v>60.642000000000003</v>
      </c>
      <c r="E11" s="134">
        <v>0.52389591540534941</v>
      </c>
      <c r="F11" s="135">
        <v>7</v>
      </c>
      <c r="G11" s="113">
        <v>2</v>
      </c>
      <c r="H11" s="113">
        <v>3</v>
      </c>
      <c r="I11" s="136">
        <v>0.42857142857142855</v>
      </c>
      <c r="J11" s="123"/>
      <c r="K11" s="123"/>
      <c r="L11" s="5">
        <f t="shared" si="0"/>
        <v>-55.109999999999992</v>
      </c>
      <c r="M11" s="6">
        <f t="shared" si="1"/>
        <v>-4</v>
      </c>
    </row>
    <row r="12" spans="1:13" ht="14.4" hidden="1" customHeight="1" outlineLevel="1" thickBot="1" x14ac:dyDescent="0.35">
      <c r="A12" s="250" t="s">
        <v>241</v>
      </c>
      <c r="B12" s="251">
        <v>40.33</v>
      </c>
      <c r="C12" s="252">
        <v>21.591000000000001</v>
      </c>
      <c r="D12" s="252">
        <v>0</v>
      </c>
      <c r="E12" s="253"/>
      <c r="F12" s="254">
        <v>2</v>
      </c>
      <c r="G12" s="252">
        <v>1</v>
      </c>
      <c r="H12" s="252">
        <v>0</v>
      </c>
      <c r="I12" s="255"/>
      <c r="J12" s="123"/>
      <c r="K12" s="123"/>
      <c r="L12" s="256">
        <f>D12-B12</f>
        <v>-40.33</v>
      </c>
      <c r="M12" s="257">
        <f>H12-F12</f>
        <v>-2</v>
      </c>
    </row>
    <row r="13" spans="1:13" ht="14.4" customHeight="1" collapsed="1" thickBot="1" x14ac:dyDescent="0.35">
      <c r="A13" s="120" t="s">
        <v>6</v>
      </c>
      <c r="B13" s="115">
        <f>SUM(B5:B12)</f>
        <v>2019.6389999999997</v>
      </c>
      <c r="C13" s="116">
        <f>SUM(C5:C12)</f>
        <v>1751.798</v>
      </c>
      <c r="D13" s="116">
        <f>SUM(D5:D12)</f>
        <v>1812.5830000000001</v>
      </c>
      <c r="E13" s="137">
        <f>IF(OR(D13=0,B13=0),0,D13/B13)</f>
        <v>0.89747870782847849</v>
      </c>
      <c r="F13" s="138">
        <f>SUM(F5:F12)</f>
        <v>114</v>
      </c>
      <c r="G13" s="116">
        <f>SUM(G5:G12)</f>
        <v>106</v>
      </c>
      <c r="H13" s="116">
        <f>SUM(H5:H12)</f>
        <v>101</v>
      </c>
      <c r="I13" s="139">
        <f>IF(OR(H13=0,F13=0),0,H13/F13)</f>
        <v>0.88596491228070173</v>
      </c>
      <c r="J13" s="123"/>
      <c r="K13" s="123"/>
      <c r="L13" s="129">
        <f>D13-B13</f>
        <v>-207.05599999999959</v>
      </c>
      <c r="M13" s="140">
        <f t="shared" si="1"/>
        <v>-13</v>
      </c>
    </row>
    <row r="14" spans="1:13" ht="14.4" customHeight="1" x14ac:dyDescent="0.3">
      <c r="A14" s="141"/>
      <c r="B14" s="552"/>
      <c r="C14" s="552"/>
      <c r="D14" s="552"/>
      <c r="E14" s="552"/>
      <c r="F14" s="552"/>
      <c r="G14" s="552"/>
      <c r="H14" s="552"/>
      <c r="I14" s="552"/>
      <c r="J14" s="123"/>
      <c r="K14" s="123"/>
      <c r="L14" s="123"/>
      <c r="M14" s="125"/>
    </row>
    <row r="15" spans="1:13" ht="14.4" customHeight="1" thickBot="1" x14ac:dyDescent="0.35">
      <c r="A15" s="141"/>
      <c r="B15" s="369"/>
      <c r="C15" s="370"/>
      <c r="D15" s="370"/>
      <c r="E15" s="370"/>
      <c r="F15" s="369"/>
      <c r="G15" s="370"/>
      <c r="H15" s="370"/>
      <c r="I15" s="370"/>
      <c r="J15" s="123"/>
      <c r="K15" s="123"/>
      <c r="L15" s="123"/>
      <c r="M15" s="125"/>
    </row>
    <row r="16" spans="1:13" ht="14.4" customHeight="1" thickBot="1" x14ac:dyDescent="0.35">
      <c r="A16" s="558" t="s">
        <v>235</v>
      </c>
      <c r="B16" s="560" t="s">
        <v>74</v>
      </c>
      <c r="C16" s="561"/>
      <c r="D16" s="561"/>
      <c r="E16" s="562"/>
      <c r="F16" s="560" t="s">
        <v>242</v>
      </c>
      <c r="G16" s="561"/>
      <c r="H16" s="561"/>
      <c r="I16" s="562"/>
      <c r="J16" s="543" t="s">
        <v>183</v>
      </c>
      <c r="K16" s="544"/>
      <c r="L16" s="158"/>
      <c r="M16" s="158"/>
    </row>
    <row r="17" spans="1:13" ht="14.4" customHeight="1" thickBot="1" x14ac:dyDescent="0.35">
      <c r="A17" s="559"/>
      <c r="B17" s="142">
        <v>2012</v>
      </c>
      <c r="C17" s="143">
        <v>2013</v>
      </c>
      <c r="D17" s="143">
        <v>2014</v>
      </c>
      <c r="E17" s="144" t="s">
        <v>5</v>
      </c>
      <c r="F17" s="142">
        <v>2012</v>
      </c>
      <c r="G17" s="143">
        <v>2013</v>
      </c>
      <c r="H17" s="143">
        <v>2014</v>
      </c>
      <c r="I17" s="144" t="s">
        <v>5</v>
      </c>
      <c r="J17" s="545" t="s">
        <v>184</v>
      </c>
      <c r="K17" s="546"/>
      <c r="L17" s="145" t="s">
        <v>75</v>
      </c>
      <c r="M17" s="146" t="s">
        <v>76</v>
      </c>
    </row>
    <row r="18" spans="1:13" ht="14.4" hidden="1" customHeight="1" outlineLevel="1" x14ac:dyDescent="0.3">
      <c r="A18" s="118" t="s">
        <v>172</v>
      </c>
      <c r="B18" s="121">
        <v>1245.1110000000001</v>
      </c>
      <c r="C18" s="114">
        <v>913.46100000000001</v>
      </c>
      <c r="D18" s="114">
        <v>1145.5119999999999</v>
      </c>
      <c r="E18" s="131">
        <v>0.92000793503551082</v>
      </c>
      <c r="F18" s="121">
        <v>69</v>
      </c>
      <c r="G18" s="114">
        <v>54</v>
      </c>
      <c r="H18" s="114">
        <v>62</v>
      </c>
      <c r="I18" s="133">
        <v>0.89855072463768115</v>
      </c>
      <c r="J18" s="547">
        <f>0.97*0.976</f>
        <v>0.94672000000000001</v>
      </c>
      <c r="K18" s="548"/>
      <c r="L18" s="147">
        <f>D18-B18</f>
        <v>-99.59900000000016</v>
      </c>
      <c r="M18" s="148">
        <f>H18-F18</f>
        <v>-7</v>
      </c>
    </row>
    <row r="19" spans="1:13" ht="14.4" hidden="1" customHeight="1" outlineLevel="1" x14ac:dyDescent="0.3">
      <c r="A19" s="119" t="s">
        <v>173</v>
      </c>
      <c r="B19" s="122">
        <v>121.58</v>
      </c>
      <c r="C19" s="113">
        <v>141.779</v>
      </c>
      <c r="D19" s="113">
        <v>149.81</v>
      </c>
      <c r="E19" s="134">
        <v>1.232192794867577</v>
      </c>
      <c r="F19" s="122">
        <v>7</v>
      </c>
      <c r="G19" s="113">
        <v>9</v>
      </c>
      <c r="H19" s="113">
        <v>8</v>
      </c>
      <c r="I19" s="136">
        <v>1.1428571428571428</v>
      </c>
      <c r="J19" s="547">
        <f>0.97*1.096</f>
        <v>1.0631200000000001</v>
      </c>
      <c r="K19" s="548"/>
      <c r="L19" s="149">
        <f t="shared" ref="L19:L26" si="2">D19-B19</f>
        <v>28.230000000000004</v>
      </c>
      <c r="M19" s="150">
        <f t="shared" ref="M19:M26" si="3">H19-F19</f>
        <v>1</v>
      </c>
    </row>
    <row r="20" spans="1:13" ht="14.4" hidden="1" customHeight="1" outlineLevel="1" x14ac:dyDescent="0.3">
      <c r="A20" s="119" t="s">
        <v>174</v>
      </c>
      <c r="B20" s="122">
        <v>383.11</v>
      </c>
      <c r="C20" s="113">
        <v>326.96499999999997</v>
      </c>
      <c r="D20" s="113">
        <v>299.447</v>
      </c>
      <c r="E20" s="134">
        <v>0.7816214664195662</v>
      </c>
      <c r="F20" s="122">
        <v>21</v>
      </c>
      <c r="G20" s="113">
        <v>25</v>
      </c>
      <c r="H20" s="113">
        <v>16</v>
      </c>
      <c r="I20" s="136">
        <v>0.76190476190476186</v>
      </c>
      <c r="J20" s="547">
        <f>0.97*1.047</f>
        <v>1.01559</v>
      </c>
      <c r="K20" s="548"/>
      <c r="L20" s="149">
        <f t="shared" si="2"/>
        <v>-83.663000000000011</v>
      </c>
      <c r="M20" s="150">
        <f t="shared" si="3"/>
        <v>-5</v>
      </c>
    </row>
    <row r="21" spans="1:13" ht="14.4" hidden="1" customHeight="1" outlineLevel="1" x14ac:dyDescent="0.3">
      <c r="A21" s="119" t="s">
        <v>175</v>
      </c>
      <c r="B21" s="122">
        <v>76.224000000000004</v>
      </c>
      <c r="C21" s="113">
        <v>0.432</v>
      </c>
      <c r="D21" s="113">
        <v>0.86399999999999999</v>
      </c>
      <c r="E21" s="134">
        <v>1.1335012594458438E-2</v>
      </c>
      <c r="F21" s="122">
        <v>5</v>
      </c>
      <c r="G21" s="113">
        <v>1</v>
      </c>
      <c r="H21" s="113">
        <v>2</v>
      </c>
      <c r="I21" s="136">
        <v>0.4</v>
      </c>
      <c r="J21" s="547">
        <f>0.97*1.091</f>
        <v>1.05827</v>
      </c>
      <c r="K21" s="548"/>
      <c r="L21" s="149">
        <f t="shared" si="2"/>
        <v>-75.36</v>
      </c>
      <c r="M21" s="150">
        <f t="shared" si="3"/>
        <v>-3</v>
      </c>
    </row>
    <row r="22" spans="1:13" ht="14.4" hidden="1" customHeight="1" outlineLevel="1" x14ac:dyDescent="0.3">
      <c r="A22" s="119" t="s">
        <v>176</v>
      </c>
      <c r="B22" s="122">
        <v>0</v>
      </c>
      <c r="C22" s="113">
        <v>0</v>
      </c>
      <c r="D22" s="113">
        <v>0</v>
      </c>
      <c r="E22" s="134" t="s">
        <v>535</v>
      </c>
      <c r="F22" s="122">
        <v>0</v>
      </c>
      <c r="G22" s="113">
        <v>0</v>
      </c>
      <c r="H22" s="113">
        <v>0</v>
      </c>
      <c r="I22" s="136" t="s">
        <v>535</v>
      </c>
      <c r="J22" s="547">
        <f>0.97*1</f>
        <v>0.97</v>
      </c>
      <c r="K22" s="548"/>
      <c r="L22" s="149">
        <f t="shared" si="2"/>
        <v>0</v>
      </c>
      <c r="M22" s="150">
        <f t="shared" si="3"/>
        <v>0</v>
      </c>
    </row>
    <row r="23" spans="1:13" ht="14.4" hidden="1" customHeight="1" outlineLevel="1" x14ac:dyDescent="0.3">
      <c r="A23" s="119" t="s">
        <v>177</v>
      </c>
      <c r="B23" s="122">
        <v>37.531999999999996</v>
      </c>
      <c r="C23" s="113">
        <v>183.584</v>
      </c>
      <c r="D23" s="113">
        <v>133.91499999999999</v>
      </c>
      <c r="E23" s="134">
        <v>3.5680219545987426</v>
      </c>
      <c r="F23" s="122">
        <v>3</v>
      </c>
      <c r="G23" s="113">
        <v>9</v>
      </c>
      <c r="H23" s="113">
        <v>7</v>
      </c>
      <c r="I23" s="136">
        <v>2.3333333333333335</v>
      </c>
      <c r="J23" s="547">
        <f>0.97*1.096</f>
        <v>1.0631200000000001</v>
      </c>
      <c r="K23" s="548"/>
      <c r="L23" s="149">
        <f t="shared" si="2"/>
        <v>96.382999999999996</v>
      </c>
      <c r="M23" s="150">
        <f t="shared" si="3"/>
        <v>4</v>
      </c>
    </row>
    <row r="24" spans="1:13" ht="14.4" hidden="1" customHeight="1" outlineLevel="1" x14ac:dyDescent="0.3">
      <c r="A24" s="119" t="s">
        <v>178</v>
      </c>
      <c r="B24" s="122">
        <v>115.752</v>
      </c>
      <c r="C24" s="113">
        <v>32.432000000000002</v>
      </c>
      <c r="D24" s="113">
        <v>60.642000000000003</v>
      </c>
      <c r="E24" s="134">
        <v>0.52389591540534941</v>
      </c>
      <c r="F24" s="122">
        <v>7</v>
      </c>
      <c r="G24" s="113">
        <v>2</v>
      </c>
      <c r="H24" s="113">
        <v>3</v>
      </c>
      <c r="I24" s="136">
        <v>0.42857142857142855</v>
      </c>
      <c r="J24" s="547">
        <f>0.97*0.989</f>
        <v>0.95933000000000002</v>
      </c>
      <c r="K24" s="548"/>
      <c r="L24" s="149">
        <f t="shared" si="2"/>
        <v>-55.109999999999992</v>
      </c>
      <c r="M24" s="150">
        <f t="shared" si="3"/>
        <v>-4</v>
      </c>
    </row>
    <row r="25" spans="1:13" ht="14.4" hidden="1" customHeight="1" outlineLevel="1" thickBot="1" x14ac:dyDescent="0.35">
      <c r="A25" s="250" t="s">
        <v>241</v>
      </c>
      <c r="B25" s="251">
        <v>40.33</v>
      </c>
      <c r="C25" s="252">
        <v>21.591000000000001</v>
      </c>
      <c r="D25" s="252">
        <v>0</v>
      </c>
      <c r="E25" s="253"/>
      <c r="F25" s="251">
        <v>2</v>
      </c>
      <c r="G25" s="252">
        <v>1</v>
      </c>
      <c r="H25" s="252">
        <v>0</v>
      </c>
      <c r="I25" s="255"/>
      <c r="J25" s="371"/>
      <c r="K25" s="372"/>
      <c r="L25" s="258">
        <f>D25-B25</f>
        <v>-40.33</v>
      </c>
      <c r="M25" s="259">
        <f>H25-F25</f>
        <v>-2</v>
      </c>
    </row>
    <row r="26" spans="1:13" ht="14.4" customHeight="1" collapsed="1" thickBot="1" x14ac:dyDescent="0.35">
      <c r="A26" s="151" t="s">
        <v>6</v>
      </c>
      <c r="B26" s="152">
        <f>SUM(B18:B25)</f>
        <v>2019.6389999999997</v>
      </c>
      <c r="C26" s="153">
        <f>SUM(C18:C25)</f>
        <v>1620.2439999999999</v>
      </c>
      <c r="D26" s="153">
        <f>SUM(D18:D25)</f>
        <v>1790.1899999999998</v>
      </c>
      <c r="E26" s="154">
        <f>IF(OR(D26=0,B26=0),0,D26/B26)</f>
        <v>0.88639108276281064</v>
      </c>
      <c r="F26" s="152">
        <f>SUM(F18:F25)</f>
        <v>114</v>
      </c>
      <c r="G26" s="153">
        <f>SUM(G18:G25)</f>
        <v>101</v>
      </c>
      <c r="H26" s="153">
        <f>SUM(H18:H25)</f>
        <v>98</v>
      </c>
      <c r="I26" s="155">
        <f>IF(OR(H26=0,F26=0),0,H26/F26)</f>
        <v>0.85964912280701755</v>
      </c>
      <c r="J26" s="123"/>
      <c r="K26" s="123"/>
      <c r="L26" s="145">
        <f t="shared" si="2"/>
        <v>-229.44899999999984</v>
      </c>
      <c r="M26" s="156">
        <f t="shared" si="3"/>
        <v>-16</v>
      </c>
    </row>
    <row r="27" spans="1:13" ht="14.4" customHeight="1" x14ac:dyDescent="0.3">
      <c r="A27" s="157"/>
      <c r="B27" s="552" t="s">
        <v>237</v>
      </c>
      <c r="C27" s="563"/>
      <c r="D27" s="563"/>
      <c r="E27" s="563"/>
      <c r="F27" s="552" t="s">
        <v>238</v>
      </c>
      <c r="G27" s="563"/>
      <c r="H27" s="563"/>
      <c r="I27" s="563"/>
      <c r="J27" s="158"/>
      <c r="K27" s="158"/>
      <c r="L27" s="158"/>
      <c r="M27" s="159"/>
    </row>
    <row r="28" spans="1:13" ht="14.4" customHeight="1" thickBot="1" x14ac:dyDescent="0.35">
      <c r="A28" s="157"/>
      <c r="B28" s="369"/>
      <c r="C28" s="370"/>
      <c r="D28" s="370"/>
      <c r="E28" s="370"/>
      <c r="F28" s="369"/>
      <c r="G28" s="370"/>
      <c r="H28" s="370"/>
      <c r="I28" s="370"/>
      <c r="J28" s="158"/>
      <c r="K28" s="158"/>
      <c r="L28" s="158"/>
      <c r="M28" s="159"/>
    </row>
    <row r="29" spans="1:13" ht="14.4" customHeight="1" thickBot="1" x14ac:dyDescent="0.35">
      <c r="A29" s="553" t="s">
        <v>236</v>
      </c>
      <c r="B29" s="555" t="s">
        <v>74</v>
      </c>
      <c r="C29" s="556"/>
      <c r="D29" s="556"/>
      <c r="E29" s="557"/>
      <c r="F29" s="556" t="s">
        <v>242</v>
      </c>
      <c r="G29" s="556"/>
      <c r="H29" s="556"/>
      <c r="I29" s="557"/>
      <c r="J29" s="158"/>
      <c r="K29" s="158"/>
      <c r="L29" s="158"/>
      <c r="M29" s="159"/>
    </row>
    <row r="30" spans="1:13" ht="14.4" customHeight="1" thickBot="1" x14ac:dyDescent="0.35">
      <c r="A30" s="554"/>
      <c r="B30" s="160">
        <v>2012</v>
      </c>
      <c r="C30" s="161">
        <v>2013</v>
      </c>
      <c r="D30" s="161">
        <v>2014</v>
      </c>
      <c r="E30" s="162" t="s">
        <v>5</v>
      </c>
      <c r="F30" s="161">
        <v>2012</v>
      </c>
      <c r="G30" s="161">
        <v>2013</v>
      </c>
      <c r="H30" s="161">
        <v>2014</v>
      </c>
      <c r="I30" s="162" t="s">
        <v>5</v>
      </c>
      <c r="J30" s="158"/>
      <c r="K30" s="158"/>
      <c r="L30" s="163" t="s">
        <v>75</v>
      </c>
      <c r="M30" s="164" t="s">
        <v>76</v>
      </c>
    </row>
    <row r="31" spans="1:13" ht="14.4" hidden="1" customHeight="1" outlineLevel="1" x14ac:dyDescent="0.3">
      <c r="A31" s="118" t="s">
        <v>172</v>
      </c>
      <c r="B31" s="121">
        <v>0</v>
      </c>
      <c r="C31" s="114">
        <v>99.021000000000001</v>
      </c>
      <c r="D31" s="114">
        <v>4.5590000000000002</v>
      </c>
      <c r="E31" s="131" t="s">
        <v>535</v>
      </c>
      <c r="F31" s="132">
        <v>0</v>
      </c>
      <c r="G31" s="114">
        <v>4</v>
      </c>
      <c r="H31" s="114">
        <v>1</v>
      </c>
      <c r="I31" s="133" t="s">
        <v>535</v>
      </c>
      <c r="J31" s="158"/>
      <c r="K31" s="158"/>
      <c r="L31" s="147">
        <f t="shared" ref="L31:L39" si="4">D31-B31</f>
        <v>4.5590000000000002</v>
      </c>
      <c r="M31" s="148">
        <f t="shared" ref="M31:M39" si="5">H31-F31</f>
        <v>1</v>
      </c>
    </row>
    <row r="32" spans="1:13" ht="14.4" hidden="1" customHeight="1" outlineLevel="1" x14ac:dyDescent="0.3">
      <c r="A32" s="119" t="s">
        <v>173</v>
      </c>
      <c r="B32" s="122">
        <v>0</v>
      </c>
      <c r="C32" s="113">
        <v>0</v>
      </c>
      <c r="D32" s="113">
        <v>13.275</v>
      </c>
      <c r="E32" s="134" t="s">
        <v>535</v>
      </c>
      <c r="F32" s="135">
        <v>0</v>
      </c>
      <c r="G32" s="113">
        <v>0</v>
      </c>
      <c r="H32" s="113">
        <v>1</v>
      </c>
      <c r="I32" s="136" t="s">
        <v>535</v>
      </c>
      <c r="J32" s="158"/>
      <c r="K32" s="158"/>
      <c r="L32" s="149">
        <f t="shared" si="4"/>
        <v>13.275</v>
      </c>
      <c r="M32" s="150">
        <f t="shared" si="5"/>
        <v>1</v>
      </c>
    </row>
    <row r="33" spans="1:13" ht="14.4" hidden="1" customHeight="1" outlineLevel="1" x14ac:dyDescent="0.3">
      <c r="A33" s="119" t="s">
        <v>174</v>
      </c>
      <c r="B33" s="122">
        <v>0</v>
      </c>
      <c r="C33" s="113">
        <v>32.533000000000001</v>
      </c>
      <c r="D33" s="113">
        <v>0</v>
      </c>
      <c r="E33" s="134" t="s">
        <v>535</v>
      </c>
      <c r="F33" s="135">
        <v>0</v>
      </c>
      <c r="G33" s="113">
        <v>1</v>
      </c>
      <c r="H33" s="113">
        <v>0</v>
      </c>
      <c r="I33" s="136" t="s">
        <v>535</v>
      </c>
      <c r="J33" s="158"/>
      <c r="K33" s="158"/>
      <c r="L33" s="149">
        <f t="shared" si="4"/>
        <v>0</v>
      </c>
      <c r="M33" s="150">
        <f t="shared" si="5"/>
        <v>0</v>
      </c>
    </row>
    <row r="34" spans="1:13" ht="14.4" hidden="1" customHeight="1" outlineLevel="1" x14ac:dyDescent="0.3">
      <c r="A34" s="119" t="s">
        <v>175</v>
      </c>
      <c r="B34" s="122">
        <v>0</v>
      </c>
      <c r="C34" s="113">
        <v>0</v>
      </c>
      <c r="D34" s="113">
        <v>0</v>
      </c>
      <c r="E34" s="134" t="s">
        <v>535</v>
      </c>
      <c r="F34" s="135">
        <v>0</v>
      </c>
      <c r="G34" s="113">
        <v>0</v>
      </c>
      <c r="H34" s="113">
        <v>0</v>
      </c>
      <c r="I34" s="136" t="s">
        <v>535</v>
      </c>
      <c r="J34" s="158"/>
      <c r="K34" s="158"/>
      <c r="L34" s="149">
        <f t="shared" si="4"/>
        <v>0</v>
      </c>
      <c r="M34" s="150">
        <f t="shared" si="5"/>
        <v>0</v>
      </c>
    </row>
    <row r="35" spans="1:13" ht="14.4" hidden="1" customHeight="1" outlineLevel="1" x14ac:dyDescent="0.3">
      <c r="A35" s="119" t="s">
        <v>176</v>
      </c>
      <c r="B35" s="122">
        <v>0</v>
      </c>
      <c r="C35" s="113">
        <v>0</v>
      </c>
      <c r="D35" s="113">
        <v>0</v>
      </c>
      <c r="E35" s="134" t="s">
        <v>535</v>
      </c>
      <c r="F35" s="135">
        <v>0</v>
      </c>
      <c r="G35" s="113">
        <v>0</v>
      </c>
      <c r="H35" s="113">
        <v>0</v>
      </c>
      <c r="I35" s="136" t="s">
        <v>535</v>
      </c>
      <c r="J35" s="158"/>
      <c r="K35" s="158"/>
      <c r="L35" s="149">
        <f t="shared" si="4"/>
        <v>0</v>
      </c>
      <c r="M35" s="150">
        <f t="shared" si="5"/>
        <v>0</v>
      </c>
    </row>
    <row r="36" spans="1:13" ht="14.4" hidden="1" customHeight="1" outlineLevel="1" x14ac:dyDescent="0.3">
      <c r="A36" s="119" t="s">
        <v>177</v>
      </c>
      <c r="B36" s="122">
        <v>0</v>
      </c>
      <c r="C36" s="113">
        <v>0</v>
      </c>
      <c r="D36" s="113">
        <v>4.5590000000000002</v>
      </c>
      <c r="E36" s="134" t="s">
        <v>535</v>
      </c>
      <c r="F36" s="135">
        <v>0</v>
      </c>
      <c r="G36" s="113">
        <v>0</v>
      </c>
      <c r="H36" s="113">
        <v>1</v>
      </c>
      <c r="I36" s="136" t="s">
        <v>535</v>
      </c>
      <c r="J36" s="158"/>
      <c r="K36" s="158"/>
      <c r="L36" s="149">
        <f t="shared" si="4"/>
        <v>4.5590000000000002</v>
      </c>
      <c r="M36" s="150">
        <f t="shared" si="5"/>
        <v>1</v>
      </c>
    </row>
    <row r="37" spans="1:13" ht="14.4" hidden="1" customHeight="1" outlineLevel="1" x14ac:dyDescent="0.3">
      <c r="A37" s="119" t="s">
        <v>178</v>
      </c>
      <c r="B37" s="122">
        <v>0</v>
      </c>
      <c r="C37" s="113">
        <v>0</v>
      </c>
      <c r="D37" s="113">
        <v>0</v>
      </c>
      <c r="E37" s="134" t="s">
        <v>535</v>
      </c>
      <c r="F37" s="135">
        <v>0</v>
      </c>
      <c r="G37" s="113">
        <v>0</v>
      </c>
      <c r="H37" s="113">
        <v>0</v>
      </c>
      <c r="I37" s="136" t="s">
        <v>535</v>
      </c>
      <c r="J37" s="158"/>
      <c r="K37" s="158"/>
      <c r="L37" s="149">
        <f t="shared" si="4"/>
        <v>0</v>
      </c>
      <c r="M37" s="150">
        <f t="shared" si="5"/>
        <v>0</v>
      </c>
    </row>
    <row r="38" spans="1:13" ht="14.4" hidden="1" customHeight="1" outlineLevel="1" thickBot="1" x14ac:dyDescent="0.35">
      <c r="A38" s="250" t="s">
        <v>241</v>
      </c>
      <c r="B38" s="251">
        <v>0</v>
      </c>
      <c r="C38" s="252">
        <v>0</v>
      </c>
      <c r="D38" s="252">
        <v>0</v>
      </c>
      <c r="E38" s="253"/>
      <c r="F38" s="254">
        <v>0</v>
      </c>
      <c r="G38" s="252">
        <v>0</v>
      </c>
      <c r="H38" s="252">
        <v>0</v>
      </c>
      <c r="I38" s="255"/>
      <c r="J38" s="158"/>
      <c r="K38" s="158"/>
      <c r="L38" s="258">
        <f>D38-B38</f>
        <v>0</v>
      </c>
      <c r="M38" s="259">
        <f>H38-F38</f>
        <v>0</v>
      </c>
    </row>
    <row r="39" spans="1:13" ht="14.4" customHeight="1" collapsed="1" thickBot="1" x14ac:dyDescent="0.35">
      <c r="A39" s="165" t="s">
        <v>6</v>
      </c>
      <c r="B39" s="117">
        <f>SUM(B31:B38)</f>
        <v>0</v>
      </c>
      <c r="C39" s="166">
        <f>SUM(C31:C38)</f>
        <v>131.554</v>
      </c>
      <c r="D39" s="166">
        <f>SUM(D31:D38)</f>
        <v>22.393000000000001</v>
      </c>
      <c r="E39" s="167">
        <f>IF(OR(D39=0,B39=0),0,D39/B39)</f>
        <v>0</v>
      </c>
      <c r="F39" s="168">
        <f>SUM(F31:F38)</f>
        <v>0</v>
      </c>
      <c r="G39" s="166">
        <f>SUM(G31:G38)</f>
        <v>5</v>
      </c>
      <c r="H39" s="166">
        <f>SUM(H31:H38)</f>
        <v>3</v>
      </c>
      <c r="I39" s="169">
        <f>IF(OR(H39=0,F39=0),0,H39/F39)</f>
        <v>0</v>
      </c>
      <c r="J39" s="158"/>
      <c r="K39" s="158"/>
      <c r="L39" s="163">
        <f t="shared" si="4"/>
        <v>22.393000000000001</v>
      </c>
      <c r="M39" s="170">
        <f t="shared" si="5"/>
        <v>3</v>
      </c>
    </row>
    <row r="40" spans="1:13" ht="14.4" customHeight="1" x14ac:dyDescent="0.25">
      <c r="A40" s="373"/>
      <c r="B40" s="373"/>
      <c r="C40" s="373"/>
      <c r="D40" s="373"/>
      <c r="E40" s="374"/>
      <c r="F40" s="373"/>
      <c r="G40" s="373"/>
      <c r="H40" s="373"/>
      <c r="I40" s="375"/>
      <c r="J40" s="373"/>
      <c r="K40" s="373"/>
      <c r="L40" s="373"/>
      <c r="M40" s="373"/>
    </row>
    <row r="41" spans="1:13" ht="14.4" customHeight="1" x14ac:dyDescent="0.3">
      <c r="A41" s="268" t="s">
        <v>239</v>
      </c>
      <c r="B41" s="373"/>
      <c r="C41" s="373"/>
      <c r="D41" s="373"/>
      <c r="E41" s="374"/>
      <c r="F41" s="373"/>
      <c r="G41" s="373"/>
      <c r="H41" s="373"/>
      <c r="I41" s="375"/>
      <c r="J41" s="373"/>
      <c r="K41" s="373"/>
      <c r="L41" s="373"/>
      <c r="M41" s="373"/>
    </row>
    <row r="42" spans="1:13" ht="14.4" customHeight="1" x14ac:dyDescent="0.3">
      <c r="A42" s="249" t="s">
        <v>240</v>
      </c>
      <c r="B42" s="373"/>
      <c r="C42" s="373"/>
      <c r="D42" s="373"/>
      <c r="E42" s="374"/>
      <c r="F42" s="373"/>
      <c r="G42" s="373"/>
      <c r="H42" s="373"/>
      <c r="I42" s="375"/>
      <c r="J42" s="373"/>
      <c r="K42" s="373"/>
      <c r="L42" s="373"/>
      <c r="M42" s="373"/>
    </row>
  </sheetData>
  <mergeCells count="23">
    <mergeCell ref="J24:K24"/>
    <mergeCell ref="J19:K19"/>
    <mergeCell ref="J20:K20"/>
    <mergeCell ref="J21:K21"/>
    <mergeCell ref="J22:K22"/>
    <mergeCell ref="J23:K23"/>
    <mergeCell ref="A29:A30"/>
    <mergeCell ref="B29:E29"/>
    <mergeCell ref="F29:I29"/>
    <mergeCell ref="A16:A17"/>
    <mergeCell ref="B16:E16"/>
    <mergeCell ref="F16:I16"/>
    <mergeCell ref="B27:E27"/>
    <mergeCell ref="F27:I27"/>
    <mergeCell ref="J16:K16"/>
    <mergeCell ref="J17:K17"/>
    <mergeCell ref="J18:K18"/>
    <mergeCell ref="A1:M1"/>
    <mergeCell ref="A3:A4"/>
    <mergeCell ref="B3:E3"/>
    <mergeCell ref="F3:I3"/>
    <mergeCell ref="B14:E14"/>
    <mergeCell ref="F14:I14"/>
  </mergeCells>
  <conditionalFormatting sqref="E18:E26">
    <cfRule type="cellIs" dxfId="17" priority="11" stopIfTrue="1" operator="lessThan">
      <formula>1</formula>
    </cfRule>
  </conditionalFormatting>
  <conditionalFormatting sqref="I18:I26">
    <cfRule type="cellIs" dxfId="16" priority="10" stopIfTrue="1" operator="lessThan">
      <formula>0.95</formula>
    </cfRule>
  </conditionalFormatting>
  <conditionalFormatting sqref="L5:M13 L18:M26 L31:M39">
    <cfRule type="cellIs" dxfId="15" priority="9" stopIfTrue="1" operator="lessThan">
      <formula>0</formula>
    </cfRule>
  </conditionalFormatting>
  <conditionalFormatting sqref="D31:D38 D5:D12 H5:H12 D18:D25 H18:H25 H31:H38">
    <cfRule type="dataBar" priority="8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{42AE6CD6-2D5D-4743-B35C-69F84FE26F98}</x14:id>
        </ext>
      </extLst>
    </cfRule>
  </conditionalFormatting>
  <conditionalFormatting sqref="D5:D12">
    <cfRule type="dataBar" priority="7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{A4EF560A-8599-4347-B851-343B92BCD5E1}</x14:id>
        </ext>
      </extLst>
    </cfRule>
  </conditionalFormatting>
  <conditionalFormatting sqref="H5:H12">
    <cfRule type="dataBar" priority="6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{C26992FC-93C6-46A0-A6FF-231000D745AA}</x14:id>
        </ext>
      </extLst>
    </cfRule>
  </conditionalFormatting>
  <conditionalFormatting sqref="D18:D25">
    <cfRule type="dataBar" priority="5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{6B84CA98-94F0-413A-8305-92901160F8F9}</x14:id>
        </ext>
      </extLst>
    </cfRule>
  </conditionalFormatting>
  <conditionalFormatting sqref="H18:H25">
    <cfRule type="dataBar" priority="4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{22330AD9-BF89-40A5-88DF-FF41314428B1}</x14:id>
        </ext>
      </extLst>
    </cfRule>
  </conditionalFormatting>
  <conditionalFormatting sqref="D31:D38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{1583B143-B462-4C73-A979-5D07CBCBE895}</x14:id>
        </ext>
      </extLst>
    </cfRule>
  </conditionalFormatting>
  <conditionalFormatting sqref="H31:H38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{DD197DDA-FC0B-4F23-81BF-C02D70CD23CB}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93" fitToHeight="0" orientation="portrait" r:id="rId1"/>
  <headerFooter alignWithMargins="0">
    <oddFooter>&amp;L&amp;F</oddFooter>
  </headerFooter>
  <ignoredErrors>
    <ignoredError sqref="E13 E26 E39" formula="1"/>
    <ignoredError sqref="B39:D39 F39:H39 B13:D13 F13:H13 B26:D26 F26:H26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2AE6CD6-2D5D-4743-B35C-69F84FE26F9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 D5:D12 H5:H12 D18:D25 H18:H25 H31:H38</xm:sqref>
        </x14:conditionalFormatting>
        <x14:conditionalFormatting xmlns:xm="http://schemas.microsoft.com/office/excel/2006/main">
          <x14:cfRule type="dataBar" id="{A4EF560A-8599-4347-B851-343B92BCD5E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D5:D12</xm:sqref>
        </x14:conditionalFormatting>
        <x14:conditionalFormatting xmlns:xm="http://schemas.microsoft.com/office/excel/2006/main">
          <x14:cfRule type="dataBar" id="{C26992FC-93C6-46A0-A6FF-231000D745AA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H5:H12</xm:sqref>
        </x14:conditionalFormatting>
        <x14:conditionalFormatting xmlns:xm="http://schemas.microsoft.com/office/excel/2006/main">
          <x14:cfRule type="dataBar" id="{6B84CA98-94F0-413A-8305-92901160F8F9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D18:D25</xm:sqref>
        </x14:conditionalFormatting>
        <x14:conditionalFormatting xmlns:xm="http://schemas.microsoft.com/office/excel/2006/main">
          <x14:cfRule type="dataBar" id="{22330AD9-BF89-40A5-88DF-FF41314428B1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H18:H25</xm:sqref>
        </x14:conditionalFormatting>
        <x14:conditionalFormatting xmlns:xm="http://schemas.microsoft.com/office/excel/2006/main">
          <x14:cfRule type="dataBar" id="{1583B143-B462-4C73-A979-5D07CBCBE895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D31:D38</xm:sqref>
        </x14:conditionalFormatting>
        <x14:conditionalFormatting xmlns:xm="http://schemas.microsoft.com/office/excel/2006/main">
          <x14:cfRule type="dataBar" id="{DD197DDA-FC0B-4F23-81BF-C02D70CD23CB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H31:H38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>
    <tabColor theme="0" tint="-0.249977111117893"/>
    <pageSetUpPr fitToPage="1"/>
  </sheetPr>
  <dimension ref="A1:M45"/>
  <sheetViews>
    <sheetView showGridLines="0" showRowColHeaders="0" zoomScaleNormal="100" workbookViewId="0">
      <selection sqref="A1:M1"/>
    </sheetView>
  </sheetViews>
  <sheetFormatPr defaultRowHeight="14.4" customHeight="1" x14ac:dyDescent="0.3"/>
  <cols>
    <col min="1" max="1" width="5.44140625" style="81" bestFit="1" customWidth="1"/>
    <col min="2" max="3" width="7.77734375" style="209" customWidth="1"/>
    <col min="4" max="5" width="7.77734375" style="81" customWidth="1"/>
    <col min="6" max="6" width="14.88671875" style="81" bestFit="1" customWidth="1"/>
    <col min="7" max="7" width="2" style="81" bestFit="1" customWidth="1"/>
    <col min="8" max="8" width="5.33203125" style="81" bestFit="1" customWidth="1"/>
    <col min="9" max="9" width="7.6640625" style="81" bestFit="1" customWidth="1"/>
    <col min="10" max="10" width="6.88671875" style="81" bestFit="1" customWidth="1"/>
    <col min="11" max="11" width="17.33203125" style="81" bestFit="1" customWidth="1"/>
    <col min="12" max="13" width="19.6640625" style="81" bestFit="1" customWidth="1"/>
    <col min="14" max="16384" width="8.88671875" style="81"/>
  </cols>
  <sheetData>
    <row r="1" spans="1:13" ht="18.600000000000001" customHeight="1" thickBot="1" x14ac:dyDescent="0.4">
      <c r="A1" s="487" t="s">
        <v>118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3" ht="14.4" customHeight="1" x14ac:dyDescent="0.3">
      <c r="A2" s="389" t="s">
        <v>298</v>
      </c>
      <c r="B2" s="205"/>
      <c r="C2" s="205"/>
      <c r="D2" s="82"/>
      <c r="E2" s="82"/>
      <c r="F2" s="82"/>
      <c r="G2" s="82"/>
      <c r="H2" s="82"/>
      <c r="I2" s="82"/>
      <c r="J2" s="82"/>
      <c r="K2" s="82"/>
      <c r="L2" s="82"/>
      <c r="M2" s="82"/>
    </row>
    <row r="3" spans="1:13" ht="14.4" customHeight="1" x14ac:dyDescent="0.3">
      <c r="A3" s="80"/>
      <c r="B3" s="378"/>
      <c r="C3" s="378"/>
      <c r="D3" s="80"/>
      <c r="E3" s="80"/>
      <c r="F3" s="80"/>
      <c r="G3" s="80"/>
      <c r="H3" s="80"/>
      <c r="I3" s="80"/>
      <c r="J3" s="80"/>
      <c r="K3" s="80"/>
      <c r="L3" s="80"/>
      <c r="M3" s="80"/>
    </row>
    <row r="4" spans="1:13" ht="14.4" customHeight="1" x14ac:dyDescent="0.3">
      <c r="A4" s="80"/>
      <c r="B4" s="378"/>
      <c r="C4" s="378"/>
      <c r="D4" s="80"/>
      <c r="E4" s="80"/>
      <c r="F4" s="80"/>
      <c r="G4" s="80"/>
      <c r="H4" s="80"/>
      <c r="I4" s="80"/>
      <c r="J4" s="80"/>
      <c r="K4" s="80"/>
      <c r="L4" s="80"/>
      <c r="M4" s="80"/>
    </row>
    <row r="5" spans="1:13" ht="14.4" customHeight="1" x14ac:dyDescent="0.3">
      <c r="A5" s="80"/>
      <c r="B5" s="378"/>
      <c r="C5" s="378"/>
      <c r="D5" s="80"/>
      <c r="E5" s="80"/>
      <c r="F5" s="80"/>
      <c r="G5" s="80"/>
      <c r="H5" s="80"/>
      <c r="I5" s="80"/>
      <c r="J5" s="80"/>
      <c r="K5" s="80"/>
      <c r="L5" s="80"/>
      <c r="M5" s="80"/>
    </row>
    <row r="6" spans="1:13" ht="14.4" customHeight="1" x14ac:dyDescent="0.3">
      <c r="A6" s="80"/>
      <c r="B6" s="378"/>
      <c r="C6" s="378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ht="14.4" customHeight="1" x14ac:dyDescent="0.3">
      <c r="A7" s="80"/>
      <c r="B7" s="378"/>
      <c r="C7" s="378"/>
      <c r="D7" s="80"/>
      <c r="E7" s="80"/>
      <c r="F7" s="80"/>
      <c r="G7" s="80"/>
      <c r="H7" s="80"/>
      <c r="I7" s="80"/>
      <c r="J7" s="80"/>
      <c r="K7" s="80"/>
      <c r="L7" s="80"/>
      <c r="M7" s="80"/>
    </row>
    <row r="8" spans="1:13" ht="14.4" customHeight="1" x14ac:dyDescent="0.3">
      <c r="A8" s="80"/>
      <c r="B8" s="378"/>
      <c r="C8" s="378"/>
      <c r="D8" s="80"/>
      <c r="E8" s="80"/>
      <c r="F8" s="80"/>
      <c r="G8" s="80"/>
      <c r="H8" s="80"/>
      <c r="I8" s="80"/>
      <c r="J8" s="80"/>
      <c r="K8" s="80"/>
      <c r="L8" s="80"/>
      <c r="M8" s="80"/>
    </row>
    <row r="9" spans="1:13" ht="14.4" customHeight="1" x14ac:dyDescent="0.3">
      <c r="A9" s="80"/>
      <c r="B9" s="378"/>
      <c r="C9" s="378"/>
      <c r="D9" s="80"/>
      <c r="E9" s="80"/>
      <c r="F9" s="80"/>
      <c r="G9" s="80"/>
      <c r="H9" s="80"/>
      <c r="I9" s="80"/>
      <c r="J9" s="80"/>
      <c r="K9" s="80"/>
      <c r="L9" s="80"/>
      <c r="M9" s="80"/>
    </row>
    <row r="10" spans="1:13" ht="14.4" customHeight="1" x14ac:dyDescent="0.3">
      <c r="A10" s="80"/>
      <c r="B10" s="378"/>
      <c r="C10" s="378"/>
      <c r="D10" s="80"/>
      <c r="E10" s="80"/>
      <c r="F10" s="80"/>
      <c r="G10" s="80"/>
      <c r="H10" s="80"/>
      <c r="I10" s="80"/>
      <c r="J10" s="80"/>
      <c r="K10" s="80"/>
      <c r="L10" s="80"/>
      <c r="M10" s="80"/>
    </row>
    <row r="11" spans="1:13" ht="14.4" customHeight="1" x14ac:dyDescent="0.3">
      <c r="A11" s="80"/>
      <c r="B11" s="378"/>
      <c r="C11" s="378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 ht="14.4" customHeight="1" x14ac:dyDescent="0.3">
      <c r="A12" s="80"/>
      <c r="B12" s="378"/>
      <c r="C12" s="378"/>
      <c r="D12" s="80"/>
      <c r="E12" s="80"/>
      <c r="F12" s="80"/>
      <c r="G12" s="80"/>
      <c r="H12" s="80"/>
      <c r="I12" s="80"/>
      <c r="J12" s="80"/>
      <c r="K12" s="80"/>
      <c r="L12" s="80"/>
      <c r="M12" s="80"/>
    </row>
    <row r="13" spans="1:13" ht="14.4" customHeight="1" x14ac:dyDescent="0.3">
      <c r="A13" s="80"/>
      <c r="B13" s="378"/>
      <c r="C13" s="378"/>
      <c r="D13" s="80"/>
      <c r="E13" s="80"/>
      <c r="F13" s="80"/>
      <c r="G13" s="80"/>
      <c r="H13" s="80"/>
      <c r="I13" s="80"/>
      <c r="J13" s="80"/>
      <c r="K13" s="80"/>
      <c r="L13" s="80"/>
      <c r="M13" s="80"/>
    </row>
    <row r="14" spans="1:13" ht="14.4" customHeight="1" x14ac:dyDescent="0.3">
      <c r="A14" s="80"/>
      <c r="B14" s="378"/>
      <c r="C14" s="378"/>
      <c r="D14" s="80"/>
      <c r="E14" s="80"/>
      <c r="F14" s="80"/>
      <c r="G14" s="80"/>
      <c r="H14" s="80"/>
      <c r="I14" s="80"/>
      <c r="J14" s="80"/>
      <c r="K14" s="80"/>
      <c r="L14" s="80"/>
      <c r="M14" s="80"/>
    </row>
    <row r="15" spans="1:13" ht="14.4" customHeight="1" x14ac:dyDescent="0.3">
      <c r="A15" s="80"/>
      <c r="B15" s="378"/>
      <c r="C15" s="378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3" ht="14.4" customHeight="1" x14ac:dyDescent="0.3">
      <c r="A16" s="80"/>
      <c r="B16" s="378"/>
      <c r="C16" s="378"/>
      <c r="D16" s="80"/>
      <c r="E16" s="80"/>
      <c r="F16" s="80"/>
      <c r="G16" s="80"/>
      <c r="H16" s="80"/>
      <c r="I16" s="80"/>
      <c r="J16" s="80"/>
      <c r="K16" s="80"/>
      <c r="L16" s="80"/>
      <c r="M16" s="80"/>
    </row>
    <row r="17" spans="1:13" ht="14.4" customHeight="1" x14ac:dyDescent="0.3">
      <c r="A17" s="80"/>
      <c r="B17" s="378"/>
      <c r="C17" s="378"/>
      <c r="D17" s="80"/>
      <c r="E17" s="80"/>
      <c r="F17" s="80"/>
      <c r="G17" s="80"/>
      <c r="H17" s="80"/>
      <c r="I17" s="80"/>
      <c r="J17" s="80"/>
      <c r="K17" s="80"/>
      <c r="L17" s="80"/>
      <c r="M17" s="80"/>
    </row>
    <row r="18" spans="1:13" ht="14.4" customHeight="1" x14ac:dyDescent="0.3">
      <c r="A18" s="80"/>
      <c r="B18" s="378"/>
      <c r="C18" s="378"/>
      <c r="D18" s="80"/>
      <c r="E18" s="80"/>
      <c r="F18" s="80"/>
      <c r="G18" s="80"/>
      <c r="H18" s="80"/>
      <c r="I18" s="80"/>
      <c r="J18" s="80"/>
      <c r="K18" s="80"/>
      <c r="L18" s="80"/>
      <c r="M18" s="80"/>
    </row>
    <row r="19" spans="1:13" ht="14.4" customHeight="1" x14ac:dyDescent="0.3">
      <c r="A19" s="80"/>
      <c r="B19" s="378"/>
      <c r="C19" s="378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 ht="14.4" customHeight="1" x14ac:dyDescent="0.3">
      <c r="A20" s="80"/>
      <c r="B20" s="378"/>
      <c r="C20" s="378"/>
      <c r="D20" s="80"/>
      <c r="E20" s="80"/>
      <c r="F20" s="80"/>
      <c r="G20" s="80"/>
      <c r="H20" s="80"/>
      <c r="I20" s="80"/>
      <c r="J20" s="80"/>
      <c r="K20" s="80"/>
      <c r="L20" s="80"/>
      <c r="M20" s="80"/>
    </row>
    <row r="21" spans="1:13" ht="14.4" customHeight="1" x14ac:dyDescent="0.3">
      <c r="A21" s="80"/>
      <c r="B21" s="378"/>
      <c r="C21" s="378"/>
      <c r="D21" s="80"/>
      <c r="E21" s="80"/>
      <c r="F21" s="80"/>
      <c r="G21" s="80"/>
      <c r="H21" s="80"/>
      <c r="I21" s="80"/>
      <c r="J21" s="80"/>
      <c r="K21" s="80"/>
      <c r="L21" s="80"/>
      <c r="M21" s="80"/>
    </row>
    <row r="22" spans="1:13" ht="14.4" customHeight="1" x14ac:dyDescent="0.3">
      <c r="A22" s="80"/>
      <c r="B22" s="378"/>
      <c r="C22" s="378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 ht="14.4" customHeight="1" x14ac:dyDescent="0.3">
      <c r="A23" s="80"/>
      <c r="B23" s="378"/>
      <c r="C23" s="378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1:13" ht="14.4" customHeight="1" x14ac:dyDescent="0.3">
      <c r="A24" s="80"/>
      <c r="B24" s="378"/>
      <c r="C24" s="378"/>
      <c r="D24" s="80"/>
      <c r="E24" s="80"/>
      <c r="F24" s="80"/>
      <c r="G24" s="80"/>
      <c r="H24" s="80"/>
      <c r="I24" s="80"/>
      <c r="J24" s="80"/>
      <c r="K24" s="80"/>
      <c r="L24" s="80"/>
      <c r="M24" s="80"/>
    </row>
    <row r="25" spans="1:13" ht="14.4" customHeight="1" x14ac:dyDescent="0.3">
      <c r="A25" s="80"/>
      <c r="B25" s="378"/>
      <c r="C25" s="378"/>
      <c r="D25" s="80"/>
      <c r="E25" s="80"/>
      <c r="F25" s="80"/>
      <c r="G25" s="80"/>
      <c r="H25" s="80"/>
      <c r="I25" s="80"/>
      <c r="J25" s="80"/>
      <c r="K25" s="80"/>
      <c r="L25" s="80"/>
      <c r="M25" s="80"/>
    </row>
    <row r="26" spans="1:13" ht="14.4" customHeight="1" x14ac:dyDescent="0.3">
      <c r="A26" s="80"/>
      <c r="B26" s="378"/>
      <c r="C26" s="378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4.4" customHeight="1" x14ac:dyDescent="0.3">
      <c r="A27" s="80"/>
      <c r="B27" s="378"/>
      <c r="C27" s="378"/>
      <c r="D27" s="80"/>
      <c r="E27" s="80"/>
      <c r="F27" s="80"/>
      <c r="G27" s="80"/>
      <c r="H27" s="80"/>
      <c r="I27" s="80"/>
      <c r="J27" s="80"/>
      <c r="K27" s="80"/>
      <c r="L27" s="80"/>
      <c r="M27" s="80"/>
    </row>
    <row r="28" spans="1:13" ht="14.4" customHeight="1" x14ac:dyDescent="0.3">
      <c r="A28" s="80"/>
      <c r="B28" s="378"/>
      <c r="C28" s="378"/>
      <c r="D28" s="80"/>
      <c r="E28" s="80"/>
      <c r="F28" s="80"/>
      <c r="G28" s="80"/>
      <c r="H28" s="80"/>
      <c r="I28" s="80"/>
      <c r="J28" s="80"/>
      <c r="K28" s="80"/>
      <c r="L28" s="80"/>
      <c r="M28" s="80"/>
    </row>
    <row r="29" spans="1:13" ht="14.4" customHeight="1" x14ac:dyDescent="0.3">
      <c r="A29" s="80"/>
      <c r="B29" s="378"/>
      <c r="C29" s="378"/>
      <c r="D29" s="80"/>
      <c r="E29" s="80"/>
      <c r="F29" s="80"/>
      <c r="G29" s="80"/>
      <c r="H29" s="80"/>
      <c r="I29" s="80"/>
      <c r="J29" s="80"/>
      <c r="K29" s="80"/>
      <c r="L29" s="80"/>
      <c r="M29" s="80"/>
    </row>
    <row r="30" spans="1:13" ht="14.4" customHeight="1" thickBot="1" x14ac:dyDescent="0.35">
      <c r="A30" s="80"/>
      <c r="B30" s="378"/>
      <c r="C30" s="378"/>
      <c r="D30" s="80"/>
      <c r="E30" s="80"/>
      <c r="F30" s="80"/>
      <c r="G30" s="80"/>
      <c r="H30" s="80"/>
      <c r="I30" s="80"/>
      <c r="J30" s="80"/>
      <c r="K30" s="80"/>
      <c r="L30" s="80"/>
      <c r="M30" s="80"/>
    </row>
    <row r="31" spans="1:13" ht="14.4" customHeight="1" x14ac:dyDescent="0.3">
      <c r="A31" s="179"/>
      <c r="B31" s="564" t="s">
        <v>86</v>
      </c>
      <c r="C31" s="565"/>
      <c r="D31" s="565"/>
      <c r="E31" s="566"/>
      <c r="F31" s="171" t="s">
        <v>86</v>
      </c>
      <c r="G31" s="83"/>
      <c r="H31" s="83"/>
      <c r="I31" s="80"/>
      <c r="J31" s="80"/>
      <c r="K31" s="80"/>
      <c r="L31" s="80"/>
      <c r="M31" s="80"/>
    </row>
    <row r="32" spans="1:13" ht="14.4" customHeight="1" thickBot="1" x14ac:dyDescent="0.35">
      <c r="A32" s="180" t="s">
        <v>70</v>
      </c>
      <c r="B32" s="172" t="s">
        <v>89</v>
      </c>
      <c r="C32" s="173" t="s">
        <v>90</v>
      </c>
      <c r="D32" s="173" t="s">
        <v>91</v>
      </c>
      <c r="E32" s="174" t="s">
        <v>5</v>
      </c>
      <c r="F32" s="175" t="s">
        <v>92</v>
      </c>
      <c r="G32" s="379"/>
      <c r="H32" s="379" t="s">
        <v>119</v>
      </c>
      <c r="I32" s="80"/>
      <c r="J32" s="80"/>
      <c r="K32" s="80"/>
      <c r="L32" s="80"/>
      <c r="M32" s="80"/>
    </row>
    <row r="33" spans="1:13" ht="14.4" customHeight="1" x14ac:dyDescent="0.3">
      <c r="A33" s="176" t="s">
        <v>106</v>
      </c>
      <c r="B33" s="206">
        <v>381.54</v>
      </c>
      <c r="C33" s="206">
        <v>326</v>
      </c>
      <c r="D33" s="84">
        <f>IF(C33="","",C33-B33)</f>
        <v>-55.54000000000002</v>
      </c>
      <c r="E33" s="85">
        <f>IF(C33="","",C33/B33)</f>
        <v>0.85443203858048955</v>
      </c>
      <c r="F33" s="86">
        <v>23.83</v>
      </c>
      <c r="G33" s="379">
        <v>0</v>
      </c>
      <c r="H33" s="380">
        <v>1</v>
      </c>
      <c r="I33" s="80"/>
      <c r="J33" s="80"/>
      <c r="K33" s="80"/>
      <c r="L33" s="80"/>
      <c r="M33" s="80"/>
    </row>
    <row r="34" spans="1:13" ht="14.4" customHeight="1" x14ac:dyDescent="0.3">
      <c r="A34" s="177" t="s">
        <v>107</v>
      </c>
      <c r="B34" s="207">
        <v>1303.8699999999999</v>
      </c>
      <c r="C34" s="207">
        <v>1263</v>
      </c>
      <c r="D34" s="87">
        <f t="shared" ref="D34:D45" si="0">IF(C34="","",C34-B34)</f>
        <v>-40.869999999999891</v>
      </c>
      <c r="E34" s="88">
        <f t="shared" ref="E34:E45" si="1">IF(C34="","",C34/B34)</f>
        <v>0.96865485056025535</v>
      </c>
      <c r="F34" s="89">
        <v>175.81</v>
      </c>
      <c r="G34" s="379">
        <v>1</v>
      </c>
      <c r="H34" s="380">
        <v>1</v>
      </c>
      <c r="I34" s="80"/>
      <c r="J34" s="80"/>
      <c r="K34" s="80"/>
      <c r="L34" s="80"/>
      <c r="M34" s="80"/>
    </row>
    <row r="35" spans="1:13" ht="14.4" customHeight="1" x14ac:dyDescent="0.3">
      <c r="A35" s="177" t="s">
        <v>108</v>
      </c>
      <c r="B35" s="207"/>
      <c r="C35" s="207"/>
      <c r="D35" s="87" t="str">
        <f t="shared" si="0"/>
        <v/>
      </c>
      <c r="E35" s="88" t="str">
        <f t="shared" si="1"/>
        <v/>
      </c>
      <c r="F35" s="89"/>
      <c r="G35" s="381"/>
      <c r="H35" s="381"/>
      <c r="I35" s="80"/>
      <c r="J35" s="80"/>
      <c r="K35" s="80"/>
      <c r="L35" s="80"/>
      <c r="M35" s="80"/>
    </row>
    <row r="36" spans="1:13" ht="14.4" customHeight="1" x14ac:dyDescent="0.3">
      <c r="A36" s="177" t="s">
        <v>109</v>
      </c>
      <c r="B36" s="207"/>
      <c r="C36" s="207"/>
      <c r="D36" s="87" t="str">
        <f t="shared" si="0"/>
        <v/>
      </c>
      <c r="E36" s="88" t="str">
        <f t="shared" si="1"/>
        <v/>
      </c>
      <c r="F36" s="89"/>
      <c r="G36" s="381"/>
      <c r="H36" s="381"/>
      <c r="I36" s="80"/>
      <c r="J36" s="80"/>
      <c r="K36" s="80"/>
      <c r="L36" s="80"/>
      <c r="M36" s="80"/>
    </row>
    <row r="37" spans="1:13" ht="14.4" customHeight="1" x14ac:dyDescent="0.3">
      <c r="A37" s="177" t="s">
        <v>110</v>
      </c>
      <c r="B37" s="207"/>
      <c r="C37" s="207"/>
      <c r="D37" s="87" t="str">
        <f t="shared" si="0"/>
        <v/>
      </c>
      <c r="E37" s="88" t="str">
        <f t="shared" si="1"/>
        <v/>
      </c>
      <c r="F37" s="89"/>
      <c r="G37" s="381"/>
      <c r="H37" s="381"/>
      <c r="I37" s="80"/>
      <c r="J37" s="80"/>
      <c r="K37" s="80"/>
      <c r="L37" s="80"/>
      <c r="M37" s="80"/>
    </row>
    <row r="38" spans="1:13" ht="14.4" customHeight="1" x14ac:dyDescent="0.3">
      <c r="A38" s="177" t="s">
        <v>111</v>
      </c>
      <c r="B38" s="207"/>
      <c r="C38" s="207"/>
      <c r="D38" s="87" t="str">
        <f t="shared" si="0"/>
        <v/>
      </c>
      <c r="E38" s="88" t="str">
        <f t="shared" si="1"/>
        <v/>
      </c>
      <c r="F38" s="89"/>
      <c r="G38" s="381"/>
      <c r="H38" s="381"/>
      <c r="I38" s="80"/>
      <c r="J38" s="80"/>
      <c r="K38" s="80"/>
      <c r="L38" s="80"/>
      <c r="M38" s="80"/>
    </row>
    <row r="39" spans="1:13" ht="14.4" customHeight="1" x14ac:dyDescent="0.3">
      <c r="A39" s="177" t="s">
        <v>112</v>
      </c>
      <c r="B39" s="207"/>
      <c r="C39" s="207"/>
      <c r="D39" s="87" t="str">
        <f t="shared" si="0"/>
        <v/>
      </c>
      <c r="E39" s="88" t="str">
        <f t="shared" si="1"/>
        <v/>
      </c>
      <c r="F39" s="89"/>
      <c r="G39" s="381"/>
      <c r="H39" s="381"/>
      <c r="I39" s="80"/>
      <c r="J39" s="80"/>
      <c r="K39" s="80"/>
      <c r="L39" s="80"/>
      <c r="M39" s="80"/>
    </row>
    <row r="40" spans="1:13" ht="14.4" customHeight="1" x14ac:dyDescent="0.3">
      <c r="A40" s="177" t="s">
        <v>113</v>
      </c>
      <c r="B40" s="207"/>
      <c r="C40" s="207"/>
      <c r="D40" s="87" t="str">
        <f t="shared" si="0"/>
        <v/>
      </c>
      <c r="E40" s="88" t="str">
        <f t="shared" si="1"/>
        <v/>
      </c>
      <c r="F40" s="89"/>
      <c r="G40" s="381"/>
      <c r="H40" s="381"/>
      <c r="I40" s="80"/>
      <c r="J40" s="80"/>
      <c r="K40" s="80"/>
      <c r="L40" s="80"/>
      <c r="M40" s="80"/>
    </row>
    <row r="41" spans="1:13" ht="14.4" customHeight="1" x14ac:dyDescent="0.3">
      <c r="A41" s="177" t="s">
        <v>114</v>
      </c>
      <c r="B41" s="207"/>
      <c r="C41" s="207"/>
      <c r="D41" s="87" t="str">
        <f t="shared" si="0"/>
        <v/>
      </c>
      <c r="E41" s="88" t="str">
        <f t="shared" si="1"/>
        <v/>
      </c>
      <c r="F41" s="89"/>
      <c r="G41" s="381"/>
      <c r="H41" s="381"/>
      <c r="I41" s="80"/>
      <c r="J41" s="80"/>
      <c r="K41" s="80"/>
      <c r="L41" s="80"/>
      <c r="M41" s="80"/>
    </row>
    <row r="42" spans="1:13" ht="14.4" customHeight="1" x14ac:dyDescent="0.3">
      <c r="A42" s="177" t="s">
        <v>115</v>
      </c>
      <c r="B42" s="207"/>
      <c r="C42" s="207"/>
      <c r="D42" s="87" t="str">
        <f t="shared" si="0"/>
        <v/>
      </c>
      <c r="E42" s="88" t="str">
        <f t="shared" si="1"/>
        <v/>
      </c>
      <c r="F42" s="89"/>
      <c r="G42" s="381"/>
      <c r="H42" s="381"/>
      <c r="I42" s="80"/>
      <c r="J42" s="80"/>
      <c r="K42" s="80"/>
      <c r="L42" s="80"/>
      <c r="M42" s="80"/>
    </row>
    <row r="43" spans="1:13" ht="14.4" customHeight="1" x14ac:dyDescent="0.3">
      <c r="A43" s="177" t="s">
        <v>116</v>
      </c>
      <c r="B43" s="207"/>
      <c r="C43" s="207"/>
      <c r="D43" s="87" t="str">
        <f t="shared" si="0"/>
        <v/>
      </c>
      <c r="E43" s="88" t="str">
        <f t="shared" si="1"/>
        <v/>
      </c>
      <c r="F43" s="89"/>
      <c r="G43" s="381"/>
      <c r="H43" s="381"/>
      <c r="I43" s="80"/>
      <c r="J43" s="80"/>
      <c r="K43" s="80"/>
      <c r="L43" s="80"/>
      <c r="M43" s="80"/>
    </row>
    <row r="44" spans="1:13" ht="14.4" customHeight="1" x14ac:dyDescent="0.3">
      <c r="A44" s="177" t="s">
        <v>117</v>
      </c>
      <c r="B44" s="207"/>
      <c r="C44" s="207"/>
      <c r="D44" s="87" t="str">
        <f t="shared" si="0"/>
        <v/>
      </c>
      <c r="E44" s="88" t="str">
        <f t="shared" si="1"/>
        <v/>
      </c>
      <c r="F44" s="89"/>
      <c r="G44" s="381"/>
      <c r="H44" s="381"/>
      <c r="I44" s="80"/>
      <c r="J44" s="80"/>
      <c r="K44" s="80"/>
      <c r="L44" s="80"/>
      <c r="M44" s="80"/>
    </row>
    <row r="45" spans="1:13" ht="14.4" customHeight="1" thickBot="1" x14ac:dyDescent="0.35">
      <c r="A45" s="178" t="s">
        <v>120</v>
      </c>
      <c r="B45" s="208"/>
      <c r="C45" s="208"/>
      <c r="D45" s="90" t="str">
        <f t="shared" si="0"/>
        <v/>
      </c>
      <c r="E45" s="91" t="str">
        <f t="shared" si="1"/>
        <v/>
      </c>
      <c r="F45" s="92"/>
      <c r="G45" s="381"/>
      <c r="H45" s="381"/>
      <c r="I45" s="80"/>
      <c r="J45" s="80"/>
      <c r="K45" s="80"/>
      <c r="L45" s="80"/>
      <c r="M45" s="80"/>
    </row>
  </sheetData>
  <mergeCells count="2">
    <mergeCell ref="A1:M1"/>
    <mergeCell ref="B31:E31"/>
  </mergeCells>
  <conditionalFormatting sqref="E33:E45">
    <cfRule type="cellIs" dxfId="14" priority="2" operator="greaterThan">
      <formula>1</formula>
    </cfRule>
  </conditionalFormatting>
  <conditionalFormatting sqref="F33:F45">
    <cfRule type="cellIs" dxfId="13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77" fitToHeight="0" orientation="portrait" r:id="rId1"/>
  <headerFooter alignWithMargins="0"/>
  <ignoredErrors>
    <ignoredError sqref="A45" twoDigitTextYear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4">
    <tabColor theme="0" tint="-0.249977111117893"/>
    <pageSetUpPr fitToPage="1"/>
  </sheetPr>
  <dimension ref="A1:W47"/>
  <sheetViews>
    <sheetView showGridLines="0" showRowColHeaders="0" zoomScaleNormal="100" workbookViewId="0">
      <pane ySplit="4" topLeftCell="A5" activePane="bottomLeft" state="frozen"/>
      <selection sqref="A1:N1"/>
      <selection pane="bottomLeft" sqref="A1:W1"/>
    </sheetView>
  </sheetViews>
  <sheetFormatPr defaultRowHeight="14.4" customHeight="1" x14ac:dyDescent="0.3"/>
  <cols>
    <col min="1" max="1" width="6.109375" style="96" customWidth="1"/>
    <col min="2" max="2" width="6.5546875" style="223" customWidth="1"/>
    <col min="3" max="3" width="5.88671875" style="223" customWidth="1"/>
    <col min="4" max="4" width="7.6640625" style="223" customWidth="1"/>
    <col min="5" max="5" width="6.5546875" style="99" customWidth="1"/>
    <col min="6" max="6" width="5.88671875" style="99" customWidth="1"/>
    <col min="7" max="7" width="7.6640625" style="99" customWidth="1"/>
    <col min="8" max="8" width="6.6640625" style="99" bestFit="1" customWidth="1"/>
    <col min="9" max="9" width="6" style="99" bestFit="1" customWidth="1"/>
    <col min="10" max="10" width="7.77734375" style="99" bestFit="1" customWidth="1"/>
    <col min="11" max="11" width="9.109375" style="99" bestFit="1" customWidth="1"/>
    <col min="12" max="12" width="3.88671875" style="99" bestFit="1" customWidth="1"/>
    <col min="13" max="13" width="4.33203125" style="99" bestFit="1" customWidth="1"/>
    <col min="14" max="14" width="5.44140625" style="99" bestFit="1" customWidth="1"/>
    <col min="15" max="15" width="4" style="99" bestFit="1" customWidth="1"/>
    <col min="16" max="16" width="55.44140625" style="93" customWidth="1"/>
    <col min="17" max="17" width="7.88671875" style="97" bestFit="1" customWidth="1"/>
    <col min="18" max="18" width="6" style="97" bestFit="1" customWidth="1"/>
    <col min="19" max="19" width="9.5546875" style="223" customWidth="1"/>
    <col min="20" max="20" width="9.6640625" style="223" customWidth="1"/>
    <col min="21" max="21" width="7.6640625" style="223" bestFit="1" customWidth="1"/>
    <col min="22" max="22" width="6.109375" style="100" bestFit="1" customWidth="1"/>
    <col min="23" max="23" width="17.21875" style="98" bestFit="1" customWidth="1"/>
    <col min="24" max="16384" width="8.88671875" style="93"/>
  </cols>
  <sheetData>
    <row r="1" spans="1:23" s="327" customFormat="1" ht="18.600000000000001" customHeight="1" thickBot="1" x14ac:dyDescent="0.4">
      <c r="A1" s="520" t="s">
        <v>4002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  <c r="O1" s="463"/>
      <c r="P1" s="463"/>
      <c r="Q1" s="463"/>
      <c r="R1" s="463"/>
      <c r="S1" s="463"/>
      <c r="T1" s="463"/>
      <c r="U1" s="463"/>
      <c r="V1" s="463"/>
      <c r="W1" s="463"/>
    </row>
    <row r="2" spans="1:23" ht="14.4" customHeight="1" thickBot="1" x14ac:dyDescent="0.35">
      <c r="A2" s="389" t="s">
        <v>298</v>
      </c>
      <c r="B2" s="383"/>
      <c r="C2" s="383"/>
      <c r="D2" s="383"/>
      <c r="E2" s="383"/>
      <c r="F2" s="383"/>
      <c r="G2" s="383"/>
      <c r="H2" s="383"/>
      <c r="I2" s="383"/>
      <c r="J2" s="383"/>
      <c r="K2" s="383"/>
      <c r="L2" s="383"/>
      <c r="M2" s="383"/>
      <c r="N2" s="383"/>
      <c r="O2" s="383"/>
      <c r="P2" s="382"/>
      <c r="Q2" s="382"/>
      <c r="R2" s="382"/>
      <c r="S2" s="383"/>
      <c r="T2" s="383"/>
      <c r="U2" s="383"/>
      <c r="V2" s="382"/>
      <c r="W2" s="384"/>
    </row>
    <row r="3" spans="1:23" s="94" customFormat="1" ht="14.4" customHeight="1" x14ac:dyDescent="0.3">
      <c r="A3" s="573" t="s">
        <v>78</v>
      </c>
      <c r="B3" s="574">
        <v>2012</v>
      </c>
      <c r="C3" s="575"/>
      <c r="D3" s="576"/>
      <c r="E3" s="574">
        <v>2013</v>
      </c>
      <c r="F3" s="575"/>
      <c r="G3" s="576"/>
      <c r="H3" s="574">
        <v>2014</v>
      </c>
      <c r="I3" s="575"/>
      <c r="J3" s="576"/>
      <c r="K3" s="577" t="s">
        <v>79</v>
      </c>
      <c r="L3" s="569" t="s">
        <v>80</v>
      </c>
      <c r="M3" s="569" t="s">
        <v>81</v>
      </c>
      <c r="N3" s="569" t="s">
        <v>82</v>
      </c>
      <c r="O3" s="276" t="s">
        <v>83</v>
      </c>
      <c r="P3" s="570" t="s">
        <v>84</v>
      </c>
      <c r="Q3" s="571" t="s">
        <v>85</v>
      </c>
      <c r="R3" s="572"/>
      <c r="S3" s="567" t="s">
        <v>86</v>
      </c>
      <c r="T3" s="568"/>
      <c r="U3" s="568"/>
      <c r="V3" s="568"/>
      <c r="W3" s="224" t="s">
        <v>86</v>
      </c>
    </row>
    <row r="4" spans="1:23" s="95" customFormat="1" ht="14.4" customHeight="1" thickBot="1" x14ac:dyDescent="0.35">
      <c r="A4" s="777"/>
      <c r="B4" s="778" t="s">
        <v>87</v>
      </c>
      <c r="C4" s="779" t="s">
        <v>75</v>
      </c>
      <c r="D4" s="780" t="s">
        <v>88</v>
      </c>
      <c r="E4" s="778" t="s">
        <v>87</v>
      </c>
      <c r="F4" s="779" t="s">
        <v>75</v>
      </c>
      <c r="G4" s="780" t="s">
        <v>88</v>
      </c>
      <c r="H4" s="778" t="s">
        <v>87</v>
      </c>
      <c r="I4" s="779" t="s">
        <v>75</v>
      </c>
      <c r="J4" s="780" t="s">
        <v>88</v>
      </c>
      <c r="K4" s="781"/>
      <c r="L4" s="782"/>
      <c r="M4" s="782"/>
      <c r="N4" s="782"/>
      <c r="O4" s="783"/>
      <c r="P4" s="784"/>
      <c r="Q4" s="785" t="s">
        <v>76</v>
      </c>
      <c r="R4" s="786" t="s">
        <v>75</v>
      </c>
      <c r="S4" s="787" t="s">
        <v>89</v>
      </c>
      <c r="T4" s="788" t="s">
        <v>90</v>
      </c>
      <c r="U4" s="788" t="s">
        <v>91</v>
      </c>
      <c r="V4" s="789" t="s">
        <v>5</v>
      </c>
      <c r="W4" s="790" t="s">
        <v>92</v>
      </c>
    </row>
    <row r="5" spans="1:23" ht="14.4" customHeight="1" x14ac:dyDescent="0.3">
      <c r="A5" s="820" t="s">
        <v>3915</v>
      </c>
      <c r="B5" s="791">
        <v>1</v>
      </c>
      <c r="C5" s="792">
        <v>50.61</v>
      </c>
      <c r="D5" s="793">
        <v>27</v>
      </c>
      <c r="E5" s="794">
        <v>3</v>
      </c>
      <c r="F5" s="795">
        <v>167.76</v>
      </c>
      <c r="G5" s="796">
        <v>43.7</v>
      </c>
      <c r="H5" s="797">
        <v>1</v>
      </c>
      <c r="I5" s="798">
        <v>51.41</v>
      </c>
      <c r="J5" s="799">
        <v>76</v>
      </c>
      <c r="K5" s="800">
        <v>50.61</v>
      </c>
      <c r="L5" s="797">
        <v>22</v>
      </c>
      <c r="M5" s="797">
        <v>149</v>
      </c>
      <c r="N5" s="801">
        <v>49.56</v>
      </c>
      <c r="O5" s="797" t="s">
        <v>3916</v>
      </c>
      <c r="P5" s="802" t="s">
        <v>3917</v>
      </c>
      <c r="Q5" s="803">
        <f>H5-B5</f>
        <v>0</v>
      </c>
      <c r="R5" s="803">
        <f>I5-C5</f>
        <v>0.79999999999999716</v>
      </c>
      <c r="S5" s="791">
        <f>IF(H5=0,"",H5*N5)</f>
        <v>49.56</v>
      </c>
      <c r="T5" s="791">
        <f>IF(H5=0,"",H5*J5)</f>
        <v>76</v>
      </c>
      <c r="U5" s="791">
        <f>IF(H5=0,"",T5-S5)</f>
        <v>26.439999999999998</v>
      </c>
      <c r="V5" s="804">
        <f>IF(H5=0,"",T5/S5)</f>
        <v>1.5334947538337369</v>
      </c>
      <c r="W5" s="805">
        <v>26</v>
      </c>
    </row>
    <row r="6" spans="1:23" ht="14.4" customHeight="1" x14ac:dyDescent="0.3">
      <c r="A6" s="821" t="s">
        <v>3918</v>
      </c>
      <c r="B6" s="761"/>
      <c r="C6" s="762"/>
      <c r="D6" s="763"/>
      <c r="E6" s="775"/>
      <c r="F6" s="755"/>
      <c r="G6" s="764"/>
      <c r="H6" s="754">
        <v>1</v>
      </c>
      <c r="I6" s="755">
        <v>27.01</v>
      </c>
      <c r="J6" s="764">
        <v>17</v>
      </c>
      <c r="K6" s="757">
        <v>27.01</v>
      </c>
      <c r="L6" s="754">
        <v>11</v>
      </c>
      <c r="M6" s="754">
        <v>83</v>
      </c>
      <c r="N6" s="758">
        <v>27.75</v>
      </c>
      <c r="O6" s="754" t="s">
        <v>3916</v>
      </c>
      <c r="P6" s="773" t="s">
        <v>3919</v>
      </c>
      <c r="Q6" s="759">
        <f t="shared" ref="Q6:R47" si="0">H6-B6</f>
        <v>1</v>
      </c>
      <c r="R6" s="759">
        <f t="shared" si="0"/>
        <v>27.01</v>
      </c>
      <c r="S6" s="770">
        <f t="shared" ref="S6:S47" si="1">IF(H6=0,"",H6*N6)</f>
        <v>27.75</v>
      </c>
      <c r="T6" s="770">
        <f t="shared" ref="T6:T47" si="2">IF(H6=0,"",H6*J6)</f>
        <v>17</v>
      </c>
      <c r="U6" s="770">
        <f t="shared" ref="U6:U47" si="3">IF(H6=0,"",T6-S6)</f>
        <v>-10.75</v>
      </c>
      <c r="V6" s="774">
        <f t="shared" ref="V6:V47" si="4">IF(H6=0,"",T6/S6)</f>
        <v>0.61261261261261257</v>
      </c>
      <c r="W6" s="760"/>
    </row>
    <row r="7" spans="1:23" ht="14.4" customHeight="1" x14ac:dyDescent="0.3">
      <c r="A7" s="822" t="s">
        <v>3920</v>
      </c>
      <c r="B7" s="806">
        <v>3</v>
      </c>
      <c r="C7" s="807">
        <v>92.4</v>
      </c>
      <c r="D7" s="765">
        <v>33.700000000000003</v>
      </c>
      <c r="E7" s="808"/>
      <c r="F7" s="809"/>
      <c r="G7" s="766"/>
      <c r="H7" s="810">
        <v>1</v>
      </c>
      <c r="I7" s="809">
        <v>30.58</v>
      </c>
      <c r="J7" s="766">
        <v>13</v>
      </c>
      <c r="K7" s="811">
        <v>30.58</v>
      </c>
      <c r="L7" s="810">
        <v>11</v>
      </c>
      <c r="M7" s="810">
        <v>98</v>
      </c>
      <c r="N7" s="812">
        <v>32.64</v>
      </c>
      <c r="O7" s="810" t="s">
        <v>3916</v>
      </c>
      <c r="P7" s="813" t="s">
        <v>3921</v>
      </c>
      <c r="Q7" s="814">
        <f t="shared" si="0"/>
        <v>-2</v>
      </c>
      <c r="R7" s="814">
        <f t="shared" si="0"/>
        <v>-61.820000000000007</v>
      </c>
      <c r="S7" s="815">
        <f t="shared" si="1"/>
        <v>32.64</v>
      </c>
      <c r="T7" s="815">
        <f t="shared" si="2"/>
        <v>13</v>
      </c>
      <c r="U7" s="815">
        <f t="shared" si="3"/>
        <v>-19.64</v>
      </c>
      <c r="V7" s="816">
        <f t="shared" si="4"/>
        <v>0.39828431372549017</v>
      </c>
      <c r="W7" s="767"/>
    </row>
    <row r="8" spans="1:23" ht="14.4" customHeight="1" x14ac:dyDescent="0.3">
      <c r="A8" s="821" t="s">
        <v>3922</v>
      </c>
      <c r="B8" s="770"/>
      <c r="C8" s="771"/>
      <c r="D8" s="772"/>
      <c r="E8" s="751">
        <v>1</v>
      </c>
      <c r="F8" s="752">
        <v>20.03</v>
      </c>
      <c r="G8" s="753">
        <v>12</v>
      </c>
      <c r="H8" s="754"/>
      <c r="I8" s="755"/>
      <c r="J8" s="764"/>
      <c r="K8" s="757">
        <v>19.600000000000001</v>
      </c>
      <c r="L8" s="754">
        <v>8</v>
      </c>
      <c r="M8" s="754">
        <v>69</v>
      </c>
      <c r="N8" s="758">
        <v>23.12</v>
      </c>
      <c r="O8" s="754" t="s">
        <v>3916</v>
      </c>
      <c r="P8" s="773" t="s">
        <v>3923</v>
      </c>
      <c r="Q8" s="759">
        <f t="shared" si="0"/>
        <v>0</v>
      </c>
      <c r="R8" s="759">
        <f t="shared" si="0"/>
        <v>0</v>
      </c>
      <c r="S8" s="770" t="str">
        <f t="shared" si="1"/>
        <v/>
      </c>
      <c r="T8" s="770" t="str">
        <f t="shared" si="2"/>
        <v/>
      </c>
      <c r="U8" s="770" t="str">
        <f t="shared" si="3"/>
        <v/>
      </c>
      <c r="V8" s="774" t="str">
        <f t="shared" si="4"/>
        <v/>
      </c>
      <c r="W8" s="760"/>
    </row>
    <row r="9" spans="1:23" ht="14.4" customHeight="1" x14ac:dyDescent="0.3">
      <c r="A9" s="821" t="s">
        <v>3924</v>
      </c>
      <c r="B9" s="770"/>
      <c r="C9" s="771"/>
      <c r="D9" s="772"/>
      <c r="E9" s="751">
        <v>1</v>
      </c>
      <c r="F9" s="752">
        <v>0.63</v>
      </c>
      <c r="G9" s="753">
        <v>5</v>
      </c>
      <c r="H9" s="754"/>
      <c r="I9" s="755"/>
      <c r="J9" s="764"/>
      <c r="K9" s="757">
        <v>0.57999999999999996</v>
      </c>
      <c r="L9" s="754">
        <v>2</v>
      </c>
      <c r="M9" s="754">
        <v>18</v>
      </c>
      <c r="N9" s="758">
        <v>5.9</v>
      </c>
      <c r="O9" s="754" t="s">
        <v>3916</v>
      </c>
      <c r="P9" s="773" t="s">
        <v>3925</v>
      </c>
      <c r="Q9" s="759">
        <f t="shared" si="0"/>
        <v>0</v>
      </c>
      <c r="R9" s="759">
        <f t="shared" si="0"/>
        <v>0</v>
      </c>
      <c r="S9" s="770" t="str">
        <f t="shared" si="1"/>
        <v/>
      </c>
      <c r="T9" s="770" t="str">
        <f t="shared" si="2"/>
        <v/>
      </c>
      <c r="U9" s="770" t="str">
        <f t="shared" si="3"/>
        <v/>
      </c>
      <c r="V9" s="774" t="str">
        <f t="shared" si="4"/>
        <v/>
      </c>
      <c r="W9" s="760"/>
    </row>
    <row r="10" spans="1:23" ht="14.4" customHeight="1" x14ac:dyDescent="0.3">
      <c r="A10" s="821" t="s">
        <v>3926</v>
      </c>
      <c r="B10" s="770"/>
      <c r="C10" s="771"/>
      <c r="D10" s="772"/>
      <c r="E10" s="775"/>
      <c r="F10" s="755"/>
      <c r="G10" s="764"/>
      <c r="H10" s="751">
        <v>1</v>
      </c>
      <c r="I10" s="752">
        <v>1.64</v>
      </c>
      <c r="J10" s="753">
        <v>1</v>
      </c>
      <c r="K10" s="757">
        <v>0.45</v>
      </c>
      <c r="L10" s="754">
        <v>1</v>
      </c>
      <c r="M10" s="754">
        <v>5</v>
      </c>
      <c r="N10" s="758">
        <v>2.4900000000000002</v>
      </c>
      <c r="O10" s="754" t="s">
        <v>3916</v>
      </c>
      <c r="P10" s="773" t="s">
        <v>3927</v>
      </c>
      <c r="Q10" s="759">
        <f t="shared" si="0"/>
        <v>1</v>
      </c>
      <c r="R10" s="759">
        <f t="shared" si="0"/>
        <v>1.64</v>
      </c>
      <c r="S10" s="770">
        <f t="shared" si="1"/>
        <v>2.4900000000000002</v>
      </c>
      <c r="T10" s="770">
        <f t="shared" si="2"/>
        <v>1</v>
      </c>
      <c r="U10" s="770">
        <f t="shared" si="3"/>
        <v>-1.4900000000000002</v>
      </c>
      <c r="V10" s="774">
        <f t="shared" si="4"/>
        <v>0.40160642570281119</v>
      </c>
      <c r="W10" s="760"/>
    </row>
    <row r="11" spans="1:23" ht="14.4" customHeight="1" x14ac:dyDescent="0.3">
      <c r="A11" s="821" t="s">
        <v>3928</v>
      </c>
      <c r="B11" s="770"/>
      <c r="C11" s="771"/>
      <c r="D11" s="772"/>
      <c r="E11" s="751">
        <v>3</v>
      </c>
      <c r="F11" s="752">
        <v>94.38</v>
      </c>
      <c r="G11" s="753">
        <v>14.7</v>
      </c>
      <c r="H11" s="754"/>
      <c r="I11" s="755"/>
      <c r="J11" s="764"/>
      <c r="K11" s="757">
        <v>31.46</v>
      </c>
      <c r="L11" s="754">
        <v>2</v>
      </c>
      <c r="M11" s="754">
        <v>22</v>
      </c>
      <c r="N11" s="758">
        <v>7.49</v>
      </c>
      <c r="O11" s="754" t="s">
        <v>3303</v>
      </c>
      <c r="P11" s="773" t="s">
        <v>3929</v>
      </c>
      <c r="Q11" s="759">
        <f t="shared" si="0"/>
        <v>0</v>
      </c>
      <c r="R11" s="759">
        <f t="shared" si="0"/>
        <v>0</v>
      </c>
      <c r="S11" s="770" t="str">
        <f t="shared" si="1"/>
        <v/>
      </c>
      <c r="T11" s="770" t="str">
        <f t="shared" si="2"/>
        <v/>
      </c>
      <c r="U11" s="770" t="str">
        <f t="shared" si="3"/>
        <v/>
      </c>
      <c r="V11" s="774" t="str">
        <f t="shared" si="4"/>
        <v/>
      </c>
      <c r="W11" s="760"/>
    </row>
    <row r="12" spans="1:23" ht="14.4" customHeight="1" x14ac:dyDescent="0.3">
      <c r="A12" s="822" t="s">
        <v>3930</v>
      </c>
      <c r="B12" s="815"/>
      <c r="C12" s="817"/>
      <c r="D12" s="776"/>
      <c r="E12" s="818">
        <v>1</v>
      </c>
      <c r="F12" s="819">
        <v>32.53</v>
      </c>
      <c r="G12" s="768">
        <v>9</v>
      </c>
      <c r="H12" s="810">
        <v>1</v>
      </c>
      <c r="I12" s="809">
        <v>13.27</v>
      </c>
      <c r="J12" s="766">
        <v>7</v>
      </c>
      <c r="K12" s="811">
        <v>32.53</v>
      </c>
      <c r="L12" s="810">
        <v>4</v>
      </c>
      <c r="M12" s="810">
        <v>35</v>
      </c>
      <c r="N12" s="812">
        <v>11.72</v>
      </c>
      <c r="O12" s="810" t="s">
        <v>3303</v>
      </c>
      <c r="P12" s="813" t="s">
        <v>3931</v>
      </c>
      <c r="Q12" s="814">
        <f t="shared" si="0"/>
        <v>1</v>
      </c>
      <c r="R12" s="814">
        <f t="shared" si="0"/>
        <v>13.27</v>
      </c>
      <c r="S12" s="815">
        <f t="shared" si="1"/>
        <v>11.72</v>
      </c>
      <c r="T12" s="815">
        <f t="shared" si="2"/>
        <v>7</v>
      </c>
      <c r="U12" s="815">
        <f t="shared" si="3"/>
        <v>-4.7200000000000006</v>
      </c>
      <c r="V12" s="816">
        <f t="shared" si="4"/>
        <v>0.59726962457337884</v>
      </c>
      <c r="W12" s="767"/>
    </row>
    <row r="13" spans="1:23" ht="14.4" customHeight="1" x14ac:dyDescent="0.3">
      <c r="A13" s="821" t="s">
        <v>3932</v>
      </c>
      <c r="B13" s="770"/>
      <c r="C13" s="771"/>
      <c r="D13" s="772"/>
      <c r="E13" s="775">
        <v>2</v>
      </c>
      <c r="F13" s="755">
        <v>51.99</v>
      </c>
      <c r="G13" s="764">
        <v>28</v>
      </c>
      <c r="H13" s="751"/>
      <c r="I13" s="752"/>
      <c r="J13" s="753"/>
      <c r="K13" s="757">
        <v>26</v>
      </c>
      <c r="L13" s="754">
        <v>5</v>
      </c>
      <c r="M13" s="754">
        <v>47</v>
      </c>
      <c r="N13" s="758">
        <v>15.75</v>
      </c>
      <c r="O13" s="754" t="s">
        <v>3916</v>
      </c>
      <c r="P13" s="773" t="s">
        <v>3933</v>
      </c>
      <c r="Q13" s="759">
        <f t="shared" si="0"/>
        <v>0</v>
      </c>
      <c r="R13" s="759">
        <f t="shared" si="0"/>
        <v>0</v>
      </c>
      <c r="S13" s="770" t="str">
        <f t="shared" si="1"/>
        <v/>
      </c>
      <c r="T13" s="770" t="str">
        <f t="shared" si="2"/>
        <v/>
      </c>
      <c r="U13" s="770" t="str">
        <f t="shared" si="3"/>
        <v/>
      </c>
      <c r="V13" s="774" t="str">
        <f t="shared" si="4"/>
        <v/>
      </c>
      <c r="W13" s="760"/>
    </row>
    <row r="14" spans="1:23" ht="14.4" customHeight="1" x14ac:dyDescent="0.3">
      <c r="A14" s="822" t="s">
        <v>3934</v>
      </c>
      <c r="B14" s="815">
        <v>2</v>
      </c>
      <c r="C14" s="817">
        <v>54.91</v>
      </c>
      <c r="D14" s="776">
        <v>26.5</v>
      </c>
      <c r="E14" s="808">
        <v>1</v>
      </c>
      <c r="F14" s="809">
        <v>27.45</v>
      </c>
      <c r="G14" s="766">
        <v>28</v>
      </c>
      <c r="H14" s="818">
        <v>6</v>
      </c>
      <c r="I14" s="819">
        <v>165.61</v>
      </c>
      <c r="J14" s="769">
        <v>22.7</v>
      </c>
      <c r="K14" s="811">
        <v>27.45</v>
      </c>
      <c r="L14" s="810">
        <v>7</v>
      </c>
      <c r="M14" s="810">
        <v>59</v>
      </c>
      <c r="N14" s="812">
        <v>19.809999999999999</v>
      </c>
      <c r="O14" s="810" t="s">
        <v>3916</v>
      </c>
      <c r="P14" s="813" t="s">
        <v>3935</v>
      </c>
      <c r="Q14" s="814">
        <f t="shared" si="0"/>
        <v>4</v>
      </c>
      <c r="R14" s="814">
        <f t="shared" si="0"/>
        <v>110.70000000000002</v>
      </c>
      <c r="S14" s="815">
        <f t="shared" si="1"/>
        <v>118.85999999999999</v>
      </c>
      <c r="T14" s="815">
        <f t="shared" si="2"/>
        <v>136.19999999999999</v>
      </c>
      <c r="U14" s="815">
        <f t="shared" si="3"/>
        <v>17.340000000000003</v>
      </c>
      <c r="V14" s="816">
        <f t="shared" si="4"/>
        <v>1.1458859162039374</v>
      </c>
      <c r="W14" s="767">
        <v>23</v>
      </c>
    </row>
    <row r="15" spans="1:23" ht="14.4" customHeight="1" x14ac:dyDescent="0.3">
      <c r="A15" s="822" t="s">
        <v>3936</v>
      </c>
      <c r="B15" s="815"/>
      <c r="C15" s="817"/>
      <c r="D15" s="776"/>
      <c r="E15" s="808">
        <v>1</v>
      </c>
      <c r="F15" s="809">
        <v>19.64</v>
      </c>
      <c r="G15" s="766">
        <v>4</v>
      </c>
      <c r="H15" s="818"/>
      <c r="I15" s="819"/>
      <c r="J15" s="768"/>
      <c r="K15" s="811">
        <v>31.35</v>
      </c>
      <c r="L15" s="810">
        <v>8</v>
      </c>
      <c r="M15" s="810">
        <v>71</v>
      </c>
      <c r="N15" s="812">
        <v>23.54</v>
      </c>
      <c r="O15" s="810" t="s">
        <v>3916</v>
      </c>
      <c r="P15" s="813" t="s">
        <v>3937</v>
      </c>
      <c r="Q15" s="814">
        <f t="shared" si="0"/>
        <v>0</v>
      </c>
      <c r="R15" s="814">
        <f t="shared" si="0"/>
        <v>0</v>
      </c>
      <c r="S15" s="815" t="str">
        <f t="shared" si="1"/>
        <v/>
      </c>
      <c r="T15" s="815" t="str">
        <f t="shared" si="2"/>
        <v/>
      </c>
      <c r="U15" s="815" t="str">
        <f t="shared" si="3"/>
        <v/>
      </c>
      <c r="V15" s="816" t="str">
        <f t="shared" si="4"/>
        <v/>
      </c>
      <c r="W15" s="767"/>
    </row>
    <row r="16" spans="1:23" ht="14.4" customHeight="1" x14ac:dyDescent="0.3">
      <c r="A16" s="821" t="s">
        <v>3938</v>
      </c>
      <c r="B16" s="770">
        <v>4</v>
      </c>
      <c r="C16" s="771">
        <v>86.36</v>
      </c>
      <c r="D16" s="772">
        <v>10.8</v>
      </c>
      <c r="E16" s="775">
        <v>9</v>
      </c>
      <c r="F16" s="755">
        <v>194.32</v>
      </c>
      <c r="G16" s="764">
        <v>11.1</v>
      </c>
      <c r="H16" s="751">
        <v>14</v>
      </c>
      <c r="I16" s="752">
        <v>302.27</v>
      </c>
      <c r="J16" s="753">
        <v>11.1</v>
      </c>
      <c r="K16" s="757">
        <v>21.59</v>
      </c>
      <c r="L16" s="754">
        <v>4</v>
      </c>
      <c r="M16" s="754">
        <v>37</v>
      </c>
      <c r="N16" s="758">
        <v>12.43</v>
      </c>
      <c r="O16" s="754" t="s">
        <v>3916</v>
      </c>
      <c r="P16" s="773" t="s">
        <v>3939</v>
      </c>
      <c r="Q16" s="759">
        <f t="shared" si="0"/>
        <v>10</v>
      </c>
      <c r="R16" s="759">
        <f t="shared" si="0"/>
        <v>215.90999999999997</v>
      </c>
      <c r="S16" s="770">
        <f t="shared" si="1"/>
        <v>174.01999999999998</v>
      </c>
      <c r="T16" s="770">
        <f t="shared" si="2"/>
        <v>155.4</v>
      </c>
      <c r="U16" s="770">
        <f t="shared" si="3"/>
        <v>-18.619999999999976</v>
      </c>
      <c r="V16" s="774">
        <f t="shared" si="4"/>
        <v>0.89300080450522945</v>
      </c>
      <c r="W16" s="760">
        <v>13</v>
      </c>
    </row>
    <row r="17" spans="1:23" ht="14.4" customHeight="1" x14ac:dyDescent="0.3">
      <c r="A17" s="822" t="s">
        <v>3940</v>
      </c>
      <c r="B17" s="815">
        <v>11</v>
      </c>
      <c r="C17" s="817">
        <v>247.36</v>
      </c>
      <c r="D17" s="776">
        <v>13.3</v>
      </c>
      <c r="E17" s="808">
        <v>6</v>
      </c>
      <c r="F17" s="809">
        <v>134.91999999999999</v>
      </c>
      <c r="G17" s="766">
        <v>13</v>
      </c>
      <c r="H17" s="818">
        <v>9</v>
      </c>
      <c r="I17" s="819">
        <v>202.38</v>
      </c>
      <c r="J17" s="769">
        <v>14.1</v>
      </c>
      <c r="K17" s="811">
        <v>22.49</v>
      </c>
      <c r="L17" s="810">
        <v>5</v>
      </c>
      <c r="M17" s="810">
        <v>42</v>
      </c>
      <c r="N17" s="812">
        <v>14.04</v>
      </c>
      <c r="O17" s="810" t="s">
        <v>3916</v>
      </c>
      <c r="P17" s="813" t="s">
        <v>3941</v>
      </c>
      <c r="Q17" s="814">
        <f t="shared" si="0"/>
        <v>-2</v>
      </c>
      <c r="R17" s="814">
        <f t="shared" si="0"/>
        <v>-44.980000000000018</v>
      </c>
      <c r="S17" s="815">
        <f t="shared" si="1"/>
        <v>126.35999999999999</v>
      </c>
      <c r="T17" s="815">
        <f t="shared" si="2"/>
        <v>126.89999999999999</v>
      </c>
      <c r="U17" s="815">
        <f t="shared" si="3"/>
        <v>0.54000000000000625</v>
      </c>
      <c r="V17" s="816">
        <f t="shared" si="4"/>
        <v>1.0042735042735043</v>
      </c>
      <c r="W17" s="767">
        <v>14</v>
      </c>
    </row>
    <row r="18" spans="1:23" ht="14.4" customHeight="1" x14ac:dyDescent="0.3">
      <c r="A18" s="822" t="s">
        <v>3942</v>
      </c>
      <c r="B18" s="815">
        <v>4</v>
      </c>
      <c r="C18" s="817">
        <v>112.84</v>
      </c>
      <c r="D18" s="776">
        <v>13.3</v>
      </c>
      <c r="E18" s="808">
        <v>2</v>
      </c>
      <c r="F18" s="809">
        <v>56.42</v>
      </c>
      <c r="G18" s="766">
        <v>18</v>
      </c>
      <c r="H18" s="818">
        <v>3</v>
      </c>
      <c r="I18" s="819">
        <v>84.63</v>
      </c>
      <c r="J18" s="768">
        <v>10.7</v>
      </c>
      <c r="K18" s="811">
        <v>28.21</v>
      </c>
      <c r="L18" s="810">
        <v>6</v>
      </c>
      <c r="M18" s="810">
        <v>55</v>
      </c>
      <c r="N18" s="812">
        <v>18.350000000000001</v>
      </c>
      <c r="O18" s="810" t="s">
        <v>3916</v>
      </c>
      <c r="P18" s="813" t="s">
        <v>3943</v>
      </c>
      <c r="Q18" s="814">
        <f t="shared" si="0"/>
        <v>-1</v>
      </c>
      <c r="R18" s="814">
        <f t="shared" si="0"/>
        <v>-28.210000000000008</v>
      </c>
      <c r="S18" s="815">
        <f t="shared" si="1"/>
        <v>55.050000000000004</v>
      </c>
      <c r="T18" s="815">
        <f t="shared" si="2"/>
        <v>32.099999999999994</v>
      </c>
      <c r="U18" s="815">
        <f t="shared" si="3"/>
        <v>-22.95000000000001</v>
      </c>
      <c r="V18" s="816">
        <f t="shared" si="4"/>
        <v>0.58310626702997259</v>
      </c>
      <c r="W18" s="767"/>
    </row>
    <row r="19" spans="1:23" ht="14.4" customHeight="1" x14ac:dyDescent="0.3">
      <c r="A19" s="821" t="s">
        <v>3944</v>
      </c>
      <c r="B19" s="761">
        <v>7</v>
      </c>
      <c r="C19" s="762">
        <v>130.5</v>
      </c>
      <c r="D19" s="763">
        <v>10.6</v>
      </c>
      <c r="E19" s="775">
        <v>10</v>
      </c>
      <c r="F19" s="755">
        <v>186.42</v>
      </c>
      <c r="G19" s="764">
        <v>12.5</v>
      </c>
      <c r="H19" s="754">
        <v>14</v>
      </c>
      <c r="I19" s="755">
        <v>260.35000000000002</v>
      </c>
      <c r="J19" s="756">
        <v>14.2</v>
      </c>
      <c r="K19" s="757">
        <v>18.64</v>
      </c>
      <c r="L19" s="754">
        <v>5</v>
      </c>
      <c r="M19" s="754">
        <v>42</v>
      </c>
      <c r="N19" s="758">
        <v>13.91</v>
      </c>
      <c r="O19" s="754" t="s">
        <v>3916</v>
      </c>
      <c r="P19" s="773" t="s">
        <v>3945</v>
      </c>
      <c r="Q19" s="759">
        <f t="shared" si="0"/>
        <v>7</v>
      </c>
      <c r="R19" s="759">
        <f t="shared" si="0"/>
        <v>129.85000000000002</v>
      </c>
      <c r="S19" s="770">
        <f t="shared" si="1"/>
        <v>194.74</v>
      </c>
      <c r="T19" s="770">
        <f t="shared" si="2"/>
        <v>198.79999999999998</v>
      </c>
      <c r="U19" s="770">
        <f t="shared" si="3"/>
        <v>4.0599999999999739</v>
      </c>
      <c r="V19" s="774">
        <f t="shared" si="4"/>
        <v>1.0208483105679367</v>
      </c>
      <c r="W19" s="760">
        <v>38</v>
      </c>
    </row>
    <row r="20" spans="1:23" ht="14.4" customHeight="1" x14ac:dyDescent="0.3">
      <c r="A20" s="822" t="s">
        <v>3946</v>
      </c>
      <c r="B20" s="806">
        <v>9</v>
      </c>
      <c r="C20" s="807">
        <v>175.06</v>
      </c>
      <c r="D20" s="765">
        <v>13.8</v>
      </c>
      <c r="E20" s="808">
        <v>1</v>
      </c>
      <c r="F20" s="809">
        <v>19.46</v>
      </c>
      <c r="G20" s="766">
        <v>10</v>
      </c>
      <c r="H20" s="810">
        <v>4</v>
      </c>
      <c r="I20" s="809">
        <v>78.69</v>
      </c>
      <c r="J20" s="769">
        <v>15</v>
      </c>
      <c r="K20" s="811">
        <v>19.46</v>
      </c>
      <c r="L20" s="810">
        <v>5</v>
      </c>
      <c r="M20" s="810">
        <v>45</v>
      </c>
      <c r="N20" s="812">
        <v>14.9</v>
      </c>
      <c r="O20" s="810" t="s">
        <v>3916</v>
      </c>
      <c r="P20" s="813" t="s">
        <v>3947</v>
      </c>
      <c r="Q20" s="814">
        <f t="shared" si="0"/>
        <v>-5</v>
      </c>
      <c r="R20" s="814">
        <f t="shared" si="0"/>
        <v>-96.37</v>
      </c>
      <c r="S20" s="815">
        <f t="shared" si="1"/>
        <v>59.6</v>
      </c>
      <c r="T20" s="815">
        <f t="shared" si="2"/>
        <v>60</v>
      </c>
      <c r="U20" s="815">
        <f t="shared" si="3"/>
        <v>0.39999999999999858</v>
      </c>
      <c r="V20" s="816">
        <f t="shared" si="4"/>
        <v>1.006711409395973</v>
      </c>
      <c r="W20" s="767">
        <v>8</v>
      </c>
    </row>
    <row r="21" spans="1:23" ht="14.4" customHeight="1" x14ac:dyDescent="0.3">
      <c r="A21" s="822" t="s">
        <v>3948</v>
      </c>
      <c r="B21" s="806">
        <v>12</v>
      </c>
      <c r="C21" s="807">
        <v>249.28</v>
      </c>
      <c r="D21" s="765">
        <v>11</v>
      </c>
      <c r="E21" s="808">
        <v>1</v>
      </c>
      <c r="F21" s="809">
        <v>20.87</v>
      </c>
      <c r="G21" s="766">
        <v>24</v>
      </c>
      <c r="H21" s="810">
        <v>2</v>
      </c>
      <c r="I21" s="809">
        <v>45.76</v>
      </c>
      <c r="J21" s="769">
        <v>20.5</v>
      </c>
      <c r="K21" s="811">
        <v>20.87</v>
      </c>
      <c r="L21" s="810">
        <v>6</v>
      </c>
      <c r="M21" s="810">
        <v>52</v>
      </c>
      <c r="N21" s="812">
        <v>17.27</v>
      </c>
      <c r="O21" s="810" t="s">
        <v>3916</v>
      </c>
      <c r="P21" s="813" t="s">
        <v>3949</v>
      </c>
      <c r="Q21" s="814">
        <f t="shared" si="0"/>
        <v>-10</v>
      </c>
      <c r="R21" s="814">
        <f t="shared" si="0"/>
        <v>-203.52</v>
      </c>
      <c r="S21" s="815">
        <f t="shared" si="1"/>
        <v>34.54</v>
      </c>
      <c r="T21" s="815">
        <f t="shared" si="2"/>
        <v>41</v>
      </c>
      <c r="U21" s="815">
        <f t="shared" si="3"/>
        <v>6.4600000000000009</v>
      </c>
      <c r="V21" s="816">
        <f t="shared" si="4"/>
        <v>1.1870295309785757</v>
      </c>
      <c r="W21" s="767">
        <v>7</v>
      </c>
    </row>
    <row r="22" spans="1:23" ht="14.4" customHeight="1" x14ac:dyDescent="0.3">
      <c r="A22" s="821" t="s">
        <v>3950</v>
      </c>
      <c r="B22" s="761">
        <v>25</v>
      </c>
      <c r="C22" s="762">
        <v>405.4</v>
      </c>
      <c r="D22" s="763">
        <v>9.8000000000000007</v>
      </c>
      <c r="E22" s="775">
        <v>31</v>
      </c>
      <c r="F22" s="755">
        <v>502.69</v>
      </c>
      <c r="G22" s="764">
        <v>10.4</v>
      </c>
      <c r="H22" s="754">
        <v>24</v>
      </c>
      <c r="I22" s="755">
        <v>389.18</v>
      </c>
      <c r="J22" s="756">
        <v>10.5</v>
      </c>
      <c r="K22" s="757">
        <v>16.22</v>
      </c>
      <c r="L22" s="754">
        <v>3</v>
      </c>
      <c r="M22" s="754">
        <v>31</v>
      </c>
      <c r="N22" s="758">
        <v>10.38</v>
      </c>
      <c r="O22" s="754" t="s">
        <v>3916</v>
      </c>
      <c r="P22" s="773" t="s">
        <v>3951</v>
      </c>
      <c r="Q22" s="759">
        <f t="shared" si="0"/>
        <v>-1</v>
      </c>
      <c r="R22" s="759">
        <f t="shared" si="0"/>
        <v>-16.21999999999997</v>
      </c>
      <c r="S22" s="770">
        <f t="shared" si="1"/>
        <v>249.12</v>
      </c>
      <c r="T22" s="770">
        <f t="shared" si="2"/>
        <v>252</v>
      </c>
      <c r="U22" s="770">
        <f t="shared" si="3"/>
        <v>2.8799999999999955</v>
      </c>
      <c r="V22" s="774">
        <f t="shared" si="4"/>
        <v>1.0115606936416184</v>
      </c>
      <c r="W22" s="760">
        <v>20</v>
      </c>
    </row>
    <row r="23" spans="1:23" ht="14.4" customHeight="1" x14ac:dyDescent="0.3">
      <c r="A23" s="822" t="s">
        <v>3952</v>
      </c>
      <c r="B23" s="806">
        <v>13</v>
      </c>
      <c r="C23" s="807">
        <v>215.54</v>
      </c>
      <c r="D23" s="765">
        <v>10.9</v>
      </c>
      <c r="E23" s="808">
        <v>3</v>
      </c>
      <c r="F23" s="809">
        <v>49.46</v>
      </c>
      <c r="G23" s="766">
        <v>10</v>
      </c>
      <c r="H23" s="810">
        <v>4</v>
      </c>
      <c r="I23" s="809">
        <v>66.510000000000005</v>
      </c>
      <c r="J23" s="769">
        <v>12</v>
      </c>
      <c r="K23" s="811">
        <v>16.66</v>
      </c>
      <c r="L23" s="810">
        <v>4</v>
      </c>
      <c r="M23" s="810">
        <v>34</v>
      </c>
      <c r="N23" s="812">
        <v>11.24</v>
      </c>
      <c r="O23" s="810" t="s">
        <v>3916</v>
      </c>
      <c r="P23" s="813" t="s">
        <v>3953</v>
      </c>
      <c r="Q23" s="814">
        <f t="shared" si="0"/>
        <v>-9</v>
      </c>
      <c r="R23" s="814">
        <f t="shared" si="0"/>
        <v>-149.02999999999997</v>
      </c>
      <c r="S23" s="815">
        <f t="shared" si="1"/>
        <v>44.96</v>
      </c>
      <c r="T23" s="815">
        <f t="shared" si="2"/>
        <v>48</v>
      </c>
      <c r="U23" s="815">
        <f t="shared" si="3"/>
        <v>3.0399999999999991</v>
      </c>
      <c r="V23" s="816">
        <f t="shared" si="4"/>
        <v>1.0676156583629892</v>
      </c>
      <c r="W23" s="767">
        <v>10</v>
      </c>
    </row>
    <row r="24" spans="1:23" ht="14.4" customHeight="1" x14ac:dyDescent="0.3">
      <c r="A24" s="822" t="s">
        <v>3954</v>
      </c>
      <c r="B24" s="806">
        <v>7</v>
      </c>
      <c r="C24" s="807">
        <v>120.05</v>
      </c>
      <c r="D24" s="765">
        <v>18</v>
      </c>
      <c r="E24" s="808">
        <v>4</v>
      </c>
      <c r="F24" s="809">
        <v>70.94</v>
      </c>
      <c r="G24" s="766">
        <v>15</v>
      </c>
      <c r="H24" s="810">
        <v>1</v>
      </c>
      <c r="I24" s="809">
        <v>18.7</v>
      </c>
      <c r="J24" s="766">
        <v>10</v>
      </c>
      <c r="K24" s="811">
        <v>18.7</v>
      </c>
      <c r="L24" s="810">
        <v>4</v>
      </c>
      <c r="M24" s="810">
        <v>39</v>
      </c>
      <c r="N24" s="812">
        <v>13.12</v>
      </c>
      <c r="O24" s="810" t="s">
        <v>3916</v>
      </c>
      <c r="P24" s="813" t="s">
        <v>3955</v>
      </c>
      <c r="Q24" s="814">
        <f t="shared" si="0"/>
        <v>-6</v>
      </c>
      <c r="R24" s="814">
        <f t="shared" si="0"/>
        <v>-101.35</v>
      </c>
      <c r="S24" s="815">
        <f t="shared" si="1"/>
        <v>13.12</v>
      </c>
      <c r="T24" s="815">
        <f t="shared" si="2"/>
        <v>10</v>
      </c>
      <c r="U24" s="815">
        <f t="shared" si="3"/>
        <v>-3.1199999999999992</v>
      </c>
      <c r="V24" s="816">
        <f t="shared" si="4"/>
        <v>0.76219512195121952</v>
      </c>
      <c r="W24" s="767"/>
    </row>
    <row r="25" spans="1:23" ht="14.4" customHeight="1" x14ac:dyDescent="0.3">
      <c r="A25" s="821" t="s">
        <v>3956</v>
      </c>
      <c r="B25" s="761">
        <v>1</v>
      </c>
      <c r="C25" s="762">
        <v>8.6</v>
      </c>
      <c r="D25" s="763">
        <v>26</v>
      </c>
      <c r="E25" s="775"/>
      <c r="F25" s="755"/>
      <c r="G25" s="764"/>
      <c r="H25" s="754"/>
      <c r="I25" s="755"/>
      <c r="J25" s="764"/>
      <c r="K25" s="757">
        <v>6.74</v>
      </c>
      <c r="L25" s="754">
        <v>2</v>
      </c>
      <c r="M25" s="754">
        <v>19</v>
      </c>
      <c r="N25" s="758">
        <v>6.43</v>
      </c>
      <c r="O25" s="754" t="s">
        <v>3916</v>
      </c>
      <c r="P25" s="773" t="s">
        <v>3957</v>
      </c>
      <c r="Q25" s="759">
        <f t="shared" si="0"/>
        <v>-1</v>
      </c>
      <c r="R25" s="759">
        <f t="shared" si="0"/>
        <v>-8.6</v>
      </c>
      <c r="S25" s="770" t="str">
        <f t="shared" si="1"/>
        <v/>
      </c>
      <c r="T25" s="770" t="str">
        <f t="shared" si="2"/>
        <v/>
      </c>
      <c r="U25" s="770" t="str">
        <f t="shared" si="3"/>
        <v/>
      </c>
      <c r="V25" s="774" t="str">
        <f t="shared" si="4"/>
        <v/>
      </c>
      <c r="W25" s="760"/>
    </row>
    <row r="26" spans="1:23" ht="14.4" customHeight="1" x14ac:dyDescent="0.3">
      <c r="A26" s="821" t="s">
        <v>3958</v>
      </c>
      <c r="B26" s="770"/>
      <c r="C26" s="771"/>
      <c r="D26" s="772"/>
      <c r="E26" s="775">
        <v>1</v>
      </c>
      <c r="F26" s="755">
        <v>4.6399999999999997</v>
      </c>
      <c r="G26" s="764">
        <v>8</v>
      </c>
      <c r="H26" s="751">
        <v>2</v>
      </c>
      <c r="I26" s="752">
        <v>9.1199999999999992</v>
      </c>
      <c r="J26" s="756">
        <v>10</v>
      </c>
      <c r="K26" s="757">
        <v>4.5599999999999996</v>
      </c>
      <c r="L26" s="754">
        <v>3</v>
      </c>
      <c r="M26" s="754">
        <v>23</v>
      </c>
      <c r="N26" s="758">
        <v>7.66</v>
      </c>
      <c r="O26" s="754" t="s">
        <v>3303</v>
      </c>
      <c r="P26" s="773" t="s">
        <v>3959</v>
      </c>
      <c r="Q26" s="759">
        <f t="shared" si="0"/>
        <v>2</v>
      </c>
      <c r="R26" s="759">
        <f t="shared" si="0"/>
        <v>9.1199999999999992</v>
      </c>
      <c r="S26" s="770">
        <f t="shared" si="1"/>
        <v>15.32</v>
      </c>
      <c r="T26" s="770">
        <f t="shared" si="2"/>
        <v>20</v>
      </c>
      <c r="U26" s="770">
        <f t="shared" si="3"/>
        <v>4.68</v>
      </c>
      <c r="V26" s="774">
        <f t="shared" si="4"/>
        <v>1.3054830287206267</v>
      </c>
      <c r="W26" s="760">
        <v>5</v>
      </c>
    </row>
    <row r="27" spans="1:23" ht="14.4" customHeight="1" x14ac:dyDescent="0.3">
      <c r="A27" s="821" t="s">
        <v>3960</v>
      </c>
      <c r="B27" s="770">
        <v>3</v>
      </c>
      <c r="C27" s="771">
        <v>56.17</v>
      </c>
      <c r="D27" s="772">
        <v>9</v>
      </c>
      <c r="E27" s="751">
        <v>3</v>
      </c>
      <c r="F27" s="752">
        <v>54.71</v>
      </c>
      <c r="G27" s="753">
        <v>6.7</v>
      </c>
      <c r="H27" s="754">
        <v>1</v>
      </c>
      <c r="I27" s="755">
        <v>18.48</v>
      </c>
      <c r="J27" s="764">
        <v>9</v>
      </c>
      <c r="K27" s="757">
        <v>19.52</v>
      </c>
      <c r="L27" s="754">
        <v>5</v>
      </c>
      <c r="M27" s="754">
        <v>47</v>
      </c>
      <c r="N27" s="758">
        <v>15.75</v>
      </c>
      <c r="O27" s="754" t="s">
        <v>3916</v>
      </c>
      <c r="P27" s="773" t="s">
        <v>3961</v>
      </c>
      <c r="Q27" s="759">
        <f t="shared" si="0"/>
        <v>-2</v>
      </c>
      <c r="R27" s="759">
        <f t="shared" si="0"/>
        <v>-37.69</v>
      </c>
      <c r="S27" s="770">
        <f t="shared" si="1"/>
        <v>15.75</v>
      </c>
      <c r="T27" s="770">
        <f t="shared" si="2"/>
        <v>9</v>
      </c>
      <c r="U27" s="770">
        <f t="shared" si="3"/>
        <v>-6.75</v>
      </c>
      <c r="V27" s="774">
        <f t="shared" si="4"/>
        <v>0.5714285714285714</v>
      </c>
      <c r="W27" s="760"/>
    </row>
    <row r="28" spans="1:23" ht="14.4" customHeight="1" x14ac:dyDescent="0.3">
      <c r="A28" s="822" t="s">
        <v>3962</v>
      </c>
      <c r="B28" s="815"/>
      <c r="C28" s="817"/>
      <c r="D28" s="776"/>
      <c r="E28" s="818">
        <v>1</v>
      </c>
      <c r="F28" s="819">
        <v>22.57</v>
      </c>
      <c r="G28" s="768">
        <v>6</v>
      </c>
      <c r="H28" s="810">
        <v>2</v>
      </c>
      <c r="I28" s="809">
        <v>34.799999999999997</v>
      </c>
      <c r="J28" s="766">
        <v>13.5</v>
      </c>
      <c r="K28" s="811">
        <v>22.57</v>
      </c>
      <c r="L28" s="810">
        <v>5</v>
      </c>
      <c r="M28" s="810">
        <v>48</v>
      </c>
      <c r="N28" s="812">
        <v>16.11</v>
      </c>
      <c r="O28" s="810" t="s">
        <v>3916</v>
      </c>
      <c r="P28" s="813" t="s">
        <v>3963</v>
      </c>
      <c r="Q28" s="814">
        <f t="shared" si="0"/>
        <v>2</v>
      </c>
      <c r="R28" s="814">
        <f t="shared" si="0"/>
        <v>34.799999999999997</v>
      </c>
      <c r="S28" s="815">
        <f t="shared" si="1"/>
        <v>32.22</v>
      </c>
      <c r="T28" s="815">
        <f t="shared" si="2"/>
        <v>27</v>
      </c>
      <c r="U28" s="815">
        <f t="shared" si="3"/>
        <v>-5.2199999999999989</v>
      </c>
      <c r="V28" s="816">
        <f t="shared" si="4"/>
        <v>0.83798882681564246</v>
      </c>
      <c r="W28" s="767">
        <v>9</v>
      </c>
    </row>
    <row r="29" spans="1:23" ht="14.4" customHeight="1" x14ac:dyDescent="0.3">
      <c r="A29" s="821" t="s">
        <v>3964</v>
      </c>
      <c r="B29" s="770"/>
      <c r="C29" s="771"/>
      <c r="D29" s="772"/>
      <c r="E29" s="775"/>
      <c r="F29" s="755"/>
      <c r="G29" s="764"/>
      <c r="H29" s="751">
        <v>1</v>
      </c>
      <c r="I29" s="752">
        <v>7.63</v>
      </c>
      <c r="J29" s="756">
        <v>7</v>
      </c>
      <c r="K29" s="757">
        <v>7.63</v>
      </c>
      <c r="L29" s="754">
        <v>2</v>
      </c>
      <c r="M29" s="754">
        <v>14</v>
      </c>
      <c r="N29" s="758">
        <v>4.57</v>
      </c>
      <c r="O29" s="754" t="s">
        <v>3916</v>
      </c>
      <c r="P29" s="773" t="s">
        <v>3965</v>
      </c>
      <c r="Q29" s="759">
        <f t="shared" si="0"/>
        <v>1</v>
      </c>
      <c r="R29" s="759">
        <f t="shared" si="0"/>
        <v>7.63</v>
      </c>
      <c r="S29" s="770">
        <f t="shared" si="1"/>
        <v>4.57</v>
      </c>
      <c r="T29" s="770">
        <f t="shared" si="2"/>
        <v>7</v>
      </c>
      <c r="U29" s="770">
        <f t="shared" si="3"/>
        <v>2.4299999999999997</v>
      </c>
      <c r="V29" s="774">
        <f t="shared" si="4"/>
        <v>1.5317286652078774</v>
      </c>
      <c r="W29" s="760">
        <v>2</v>
      </c>
    </row>
    <row r="30" spans="1:23" ht="14.4" customHeight="1" x14ac:dyDescent="0.3">
      <c r="A30" s="821" t="s">
        <v>3966</v>
      </c>
      <c r="B30" s="770"/>
      <c r="C30" s="771"/>
      <c r="D30" s="772"/>
      <c r="E30" s="751">
        <v>1</v>
      </c>
      <c r="F30" s="752">
        <v>1.98</v>
      </c>
      <c r="G30" s="753">
        <v>11</v>
      </c>
      <c r="H30" s="754"/>
      <c r="I30" s="755"/>
      <c r="J30" s="764"/>
      <c r="K30" s="757">
        <v>1.98</v>
      </c>
      <c r="L30" s="754">
        <v>2</v>
      </c>
      <c r="M30" s="754">
        <v>19</v>
      </c>
      <c r="N30" s="758">
        <v>6.46</v>
      </c>
      <c r="O30" s="754" t="s">
        <v>3916</v>
      </c>
      <c r="P30" s="773" t="s">
        <v>3967</v>
      </c>
      <c r="Q30" s="759">
        <f t="shared" si="0"/>
        <v>0</v>
      </c>
      <c r="R30" s="759">
        <f t="shared" si="0"/>
        <v>0</v>
      </c>
      <c r="S30" s="770" t="str">
        <f t="shared" si="1"/>
        <v/>
      </c>
      <c r="T30" s="770" t="str">
        <f t="shared" si="2"/>
        <v/>
      </c>
      <c r="U30" s="770" t="str">
        <f t="shared" si="3"/>
        <v/>
      </c>
      <c r="V30" s="774" t="str">
        <f t="shared" si="4"/>
        <v/>
      </c>
      <c r="W30" s="760"/>
    </row>
    <row r="31" spans="1:23" ht="14.4" customHeight="1" x14ac:dyDescent="0.3">
      <c r="A31" s="821" t="s">
        <v>3968</v>
      </c>
      <c r="B31" s="770">
        <v>1</v>
      </c>
      <c r="C31" s="771">
        <v>1.1100000000000001</v>
      </c>
      <c r="D31" s="772">
        <v>2</v>
      </c>
      <c r="E31" s="751">
        <v>1</v>
      </c>
      <c r="F31" s="752">
        <v>1.1100000000000001</v>
      </c>
      <c r="G31" s="753">
        <v>2</v>
      </c>
      <c r="H31" s="754">
        <v>1</v>
      </c>
      <c r="I31" s="755">
        <v>1.1100000000000001</v>
      </c>
      <c r="J31" s="764">
        <v>2</v>
      </c>
      <c r="K31" s="757">
        <v>1.1100000000000001</v>
      </c>
      <c r="L31" s="754">
        <v>1</v>
      </c>
      <c r="M31" s="754">
        <v>11</v>
      </c>
      <c r="N31" s="758">
        <v>3.52</v>
      </c>
      <c r="O31" s="754" t="s">
        <v>3916</v>
      </c>
      <c r="P31" s="773" t="s">
        <v>3969</v>
      </c>
      <c r="Q31" s="759">
        <f t="shared" si="0"/>
        <v>0</v>
      </c>
      <c r="R31" s="759">
        <f t="shared" si="0"/>
        <v>0</v>
      </c>
      <c r="S31" s="770">
        <f t="shared" si="1"/>
        <v>3.52</v>
      </c>
      <c r="T31" s="770">
        <f t="shared" si="2"/>
        <v>2</v>
      </c>
      <c r="U31" s="770">
        <f t="shared" si="3"/>
        <v>-1.52</v>
      </c>
      <c r="V31" s="774">
        <f t="shared" si="4"/>
        <v>0.56818181818181823</v>
      </c>
      <c r="W31" s="760"/>
    </row>
    <row r="32" spans="1:23" ht="14.4" customHeight="1" x14ac:dyDescent="0.3">
      <c r="A32" s="822" t="s">
        <v>3970</v>
      </c>
      <c r="B32" s="815">
        <v>1</v>
      </c>
      <c r="C32" s="817">
        <v>1.59</v>
      </c>
      <c r="D32" s="776">
        <v>9</v>
      </c>
      <c r="E32" s="818">
        <v>1</v>
      </c>
      <c r="F32" s="819">
        <v>1.59</v>
      </c>
      <c r="G32" s="768">
        <v>2</v>
      </c>
      <c r="H32" s="810"/>
      <c r="I32" s="809"/>
      <c r="J32" s="766"/>
      <c r="K32" s="811">
        <v>1.59</v>
      </c>
      <c r="L32" s="810">
        <v>2</v>
      </c>
      <c r="M32" s="810">
        <v>17</v>
      </c>
      <c r="N32" s="812">
        <v>5.72</v>
      </c>
      <c r="O32" s="810" t="s">
        <v>3916</v>
      </c>
      <c r="P32" s="813" t="s">
        <v>3971</v>
      </c>
      <c r="Q32" s="814">
        <f t="shared" si="0"/>
        <v>-1</v>
      </c>
      <c r="R32" s="814">
        <f t="shared" si="0"/>
        <v>-1.59</v>
      </c>
      <c r="S32" s="815" t="str">
        <f t="shared" si="1"/>
        <v/>
      </c>
      <c r="T32" s="815" t="str">
        <f t="shared" si="2"/>
        <v/>
      </c>
      <c r="U32" s="815" t="str">
        <f t="shared" si="3"/>
        <v/>
      </c>
      <c r="V32" s="816" t="str">
        <f t="shared" si="4"/>
        <v/>
      </c>
      <c r="W32" s="767"/>
    </row>
    <row r="33" spans="1:23" ht="14.4" customHeight="1" x14ac:dyDescent="0.3">
      <c r="A33" s="821" t="s">
        <v>3972</v>
      </c>
      <c r="B33" s="761">
        <v>1</v>
      </c>
      <c r="C33" s="762">
        <v>0.85</v>
      </c>
      <c r="D33" s="763">
        <v>4</v>
      </c>
      <c r="E33" s="775"/>
      <c r="F33" s="755"/>
      <c r="G33" s="764"/>
      <c r="H33" s="754"/>
      <c r="I33" s="755"/>
      <c r="J33" s="764"/>
      <c r="K33" s="757">
        <v>0.85</v>
      </c>
      <c r="L33" s="754">
        <v>3</v>
      </c>
      <c r="M33" s="754">
        <v>24</v>
      </c>
      <c r="N33" s="758">
        <v>7.94</v>
      </c>
      <c r="O33" s="754" t="s">
        <v>3916</v>
      </c>
      <c r="P33" s="773" t="s">
        <v>3973</v>
      </c>
      <c r="Q33" s="759">
        <f t="shared" si="0"/>
        <v>-1</v>
      </c>
      <c r="R33" s="759">
        <f t="shared" si="0"/>
        <v>-0.85</v>
      </c>
      <c r="S33" s="770" t="str">
        <f t="shared" si="1"/>
        <v/>
      </c>
      <c r="T33" s="770" t="str">
        <f t="shared" si="2"/>
        <v/>
      </c>
      <c r="U33" s="770" t="str">
        <f t="shared" si="3"/>
        <v/>
      </c>
      <c r="V33" s="774" t="str">
        <f t="shared" si="4"/>
        <v/>
      </c>
      <c r="W33" s="760"/>
    </row>
    <row r="34" spans="1:23" ht="14.4" customHeight="1" x14ac:dyDescent="0.3">
      <c r="A34" s="821" t="s">
        <v>3974</v>
      </c>
      <c r="B34" s="770"/>
      <c r="C34" s="771"/>
      <c r="D34" s="772"/>
      <c r="E34" s="751">
        <v>1</v>
      </c>
      <c r="F34" s="752">
        <v>0.46</v>
      </c>
      <c r="G34" s="753">
        <v>2</v>
      </c>
      <c r="H34" s="754"/>
      <c r="I34" s="755"/>
      <c r="J34" s="764"/>
      <c r="K34" s="757">
        <v>0.68</v>
      </c>
      <c r="L34" s="754">
        <v>3</v>
      </c>
      <c r="M34" s="754">
        <v>27</v>
      </c>
      <c r="N34" s="758">
        <v>9.1199999999999992</v>
      </c>
      <c r="O34" s="754" t="s">
        <v>3916</v>
      </c>
      <c r="P34" s="773" t="s">
        <v>3975</v>
      </c>
      <c r="Q34" s="759">
        <f t="shared" si="0"/>
        <v>0</v>
      </c>
      <c r="R34" s="759">
        <f t="shared" si="0"/>
        <v>0</v>
      </c>
      <c r="S34" s="770" t="str">
        <f t="shared" si="1"/>
        <v/>
      </c>
      <c r="T34" s="770" t="str">
        <f t="shared" si="2"/>
        <v/>
      </c>
      <c r="U34" s="770" t="str">
        <f t="shared" si="3"/>
        <v/>
      </c>
      <c r="V34" s="774" t="str">
        <f t="shared" si="4"/>
        <v/>
      </c>
      <c r="W34" s="760"/>
    </row>
    <row r="35" spans="1:23" ht="14.4" customHeight="1" x14ac:dyDescent="0.3">
      <c r="A35" s="822" t="s">
        <v>3976</v>
      </c>
      <c r="B35" s="815">
        <v>1</v>
      </c>
      <c r="C35" s="817">
        <v>0.78</v>
      </c>
      <c r="D35" s="776">
        <v>3</v>
      </c>
      <c r="E35" s="818"/>
      <c r="F35" s="819"/>
      <c r="G35" s="768"/>
      <c r="H35" s="810"/>
      <c r="I35" s="809"/>
      <c r="J35" s="766"/>
      <c r="K35" s="811">
        <v>0.78</v>
      </c>
      <c r="L35" s="810">
        <v>3</v>
      </c>
      <c r="M35" s="810">
        <v>31</v>
      </c>
      <c r="N35" s="812">
        <v>10.24</v>
      </c>
      <c r="O35" s="810" t="s">
        <v>3916</v>
      </c>
      <c r="P35" s="813" t="s">
        <v>3977</v>
      </c>
      <c r="Q35" s="814">
        <f t="shared" si="0"/>
        <v>-1</v>
      </c>
      <c r="R35" s="814">
        <f t="shared" si="0"/>
        <v>-0.78</v>
      </c>
      <c r="S35" s="815" t="str">
        <f t="shared" si="1"/>
        <v/>
      </c>
      <c r="T35" s="815" t="str">
        <f t="shared" si="2"/>
        <v/>
      </c>
      <c r="U35" s="815" t="str">
        <f t="shared" si="3"/>
        <v/>
      </c>
      <c r="V35" s="816" t="str">
        <f t="shared" si="4"/>
        <v/>
      </c>
      <c r="W35" s="767"/>
    </row>
    <row r="36" spans="1:23" ht="14.4" customHeight="1" x14ac:dyDescent="0.3">
      <c r="A36" s="821" t="s">
        <v>3978</v>
      </c>
      <c r="B36" s="770"/>
      <c r="C36" s="771"/>
      <c r="D36" s="772"/>
      <c r="E36" s="751">
        <v>1</v>
      </c>
      <c r="F36" s="752">
        <v>0.51</v>
      </c>
      <c r="G36" s="753">
        <v>3</v>
      </c>
      <c r="H36" s="754"/>
      <c r="I36" s="755"/>
      <c r="J36" s="764"/>
      <c r="K36" s="757">
        <v>0.51</v>
      </c>
      <c r="L36" s="754">
        <v>2</v>
      </c>
      <c r="M36" s="754">
        <v>20</v>
      </c>
      <c r="N36" s="758">
        <v>6.7</v>
      </c>
      <c r="O36" s="754" t="s">
        <v>3916</v>
      </c>
      <c r="P36" s="773" t="s">
        <v>3979</v>
      </c>
      <c r="Q36" s="759">
        <f t="shared" si="0"/>
        <v>0</v>
      </c>
      <c r="R36" s="759">
        <f t="shared" si="0"/>
        <v>0</v>
      </c>
      <c r="S36" s="770" t="str">
        <f t="shared" si="1"/>
        <v/>
      </c>
      <c r="T36" s="770" t="str">
        <f t="shared" si="2"/>
        <v/>
      </c>
      <c r="U36" s="770" t="str">
        <f t="shared" si="3"/>
        <v/>
      </c>
      <c r="V36" s="774" t="str">
        <f t="shared" si="4"/>
        <v/>
      </c>
      <c r="W36" s="760"/>
    </row>
    <row r="37" spans="1:23" ht="14.4" customHeight="1" x14ac:dyDescent="0.3">
      <c r="A37" s="821" t="s">
        <v>3980</v>
      </c>
      <c r="B37" s="770">
        <v>2</v>
      </c>
      <c r="C37" s="771">
        <v>0.76</v>
      </c>
      <c r="D37" s="772">
        <v>3.5</v>
      </c>
      <c r="E37" s="775">
        <v>2</v>
      </c>
      <c r="F37" s="755">
        <v>0.76</v>
      </c>
      <c r="G37" s="764">
        <v>2.5</v>
      </c>
      <c r="H37" s="751">
        <v>4</v>
      </c>
      <c r="I37" s="752">
        <v>1.67</v>
      </c>
      <c r="J37" s="753">
        <v>3.3</v>
      </c>
      <c r="K37" s="757">
        <v>0.38</v>
      </c>
      <c r="L37" s="754">
        <v>2</v>
      </c>
      <c r="M37" s="754">
        <v>15</v>
      </c>
      <c r="N37" s="758">
        <v>4.9000000000000004</v>
      </c>
      <c r="O37" s="754" t="s">
        <v>3916</v>
      </c>
      <c r="P37" s="773" t="s">
        <v>3981</v>
      </c>
      <c r="Q37" s="759">
        <f t="shared" si="0"/>
        <v>2</v>
      </c>
      <c r="R37" s="759">
        <f t="shared" si="0"/>
        <v>0.90999999999999992</v>
      </c>
      <c r="S37" s="770">
        <f t="shared" si="1"/>
        <v>19.600000000000001</v>
      </c>
      <c r="T37" s="770">
        <f t="shared" si="2"/>
        <v>13.2</v>
      </c>
      <c r="U37" s="770">
        <f t="shared" si="3"/>
        <v>-6.4000000000000021</v>
      </c>
      <c r="V37" s="774">
        <f t="shared" si="4"/>
        <v>0.6734693877551019</v>
      </c>
      <c r="W37" s="760"/>
    </row>
    <row r="38" spans="1:23" ht="14.4" customHeight="1" x14ac:dyDescent="0.3">
      <c r="A38" s="822" t="s">
        <v>3982</v>
      </c>
      <c r="B38" s="815"/>
      <c r="C38" s="817"/>
      <c r="D38" s="776"/>
      <c r="E38" s="808">
        <v>1</v>
      </c>
      <c r="F38" s="809">
        <v>0.39</v>
      </c>
      <c r="G38" s="766">
        <v>2</v>
      </c>
      <c r="H38" s="818"/>
      <c r="I38" s="819"/>
      <c r="J38" s="768"/>
      <c r="K38" s="811">
        <v>0.57999999999999996</v>
      </c>
      <c r="L38" s="810">
        <v>3</v>
      </c>
      <c r="M38" s="810">
        <v>23</v>
      </c>
      <c r="N38" s="812">
        <v>7.73</v>
      </c>
      <c r="O38" s="810" t="s">
        <v>3916</v>
      </c>
      <c r="P38" s="813" t="s">
        <v>3983</v>
      </c>
      <c r="Q38" s="814">
        <f t="shared" si="0"/>
        <v>0</v>
      </c>
      <c r="R38" s="814">
        <f t="shared" si="0"/>
        <v>0</v>
      </c>
      <c r="S38" s="815" t="str">
        <f t="shared" si="1"/>
        <v/>
      </c>
      <c r="T38" s="815" t="str">
        <f t="shared" si="2"/>
        <v/>
      </c>
      <c r="U38" s="815" t="str">
        <f t="shared" si="3"/>
        <v/>
      </c>
      <c r="V38" s="816" t="str">
        <f t="shared" si="4"/>
        <v/>
      </c>
      <c r="W38" s="767"/>
    </row>
    <row r="39" spans="1:23" ht="14.4" customHeight="1" x14ac:dyDescent="0.3">
      <c r="A39" s="821" t="s">
        <v>3984</v>
      </c>
      <c r="B39" s="770">
        <v>1</v>
      </c>
      <c r="C39" s="771">
        <v>0.44</v>
      </c>
      <c r="D39" s="772">
        <v>4</v>
      </c>
      <c r="E39" s="751">
        <v>3</v>
      </c>
      <c r="F39" s="752">
        <v>1.33</v>
      </c>
      <c r="G39" s="753">
        <v>2</v>
      </c>
      <c r="H39" s="754">
        <v>1</v>
      </c>
      <c r="I39" s="755">
        <v>0.44</v>
      </c>
      <c r="J39" s="764">
        <v>2</v>
      </c>
      <c r="K39" s="757">
        <v>0.44</v>
      </c>
      <c r="L39" s="754">
        <v>2</v>
      </c>
      <c r="M39" s="754">
        <v>14</v>
      </c>
      <c r="N39" s="758">
        <v>4.82</v>
      </c>
      <c r="O39" s="754" t="s">
        <v>3916</v>
      </c>
      <c r="P39" s="773" t="s">
        <v>3985</v>
      </c>
      <c r="Q39" s="759">
        <f t="shared" si="0"/>
        <v>0</v>
      </c>
      <c r="R39" s="759">
        <f t="shared" si="0"/>
        <v>0</v>
      </c>
      <c r="S39" s="770">
        <f t="shared" si="1"/>
        <v>4.82</v>
      </c>
      <c r="T39" s="770">
        <f t="shared" si="2"/>
        <v>2</v>
      </c>
      <c r="U39" s="770">
        <f t="shared" si="3"/>
        <v>-2.8200000000000003</v>
      </c>
      <c r="V39" s="774">
        <f t="shared" si="4"/>
        <v>0.41493775933609955</v>
      </c>
      <c r="W39" s="760"/>
    </row>
    <row r="40" spans="1:23" ht="14.4" customHeight="1" x14ac:dyDescent="0.3">
      <c r="A40" s="822" t="s">
        <v>3986</v>
      </c>
      <c r="B40" s="815">
        <v>2</v>
      </c>
      <c r="C40" s="817">
        <v>1.1499999999999999</v>
      </c>
      <c r="D40" s="776">
        <v>3</v>
      </c>
      <c r="E40" s="818"/>
      <c r="F40" s="819"/>
      <c r="G40" s="768"/>
      <c r="H40" s="810"/>
      <c r="I40" s="809"/>
      <c r="J40" s="766"/>
      <c r="K40" s="811">
        <v>0.69</v>
      </c>
      <c r="L40" s="810">
        <v>3</v>
      </c>
      <c r="M40" s="810">
        <v>25</v>
      </c>
      <c r="N40" s="812">
        <v>8.19</v>
      </c>
      <c r="O40" s="810" t="s">
        <v>3916</v>
      </c>
      <c r="P40" s="813" t="s">
        <v>3987</v>
      </c>
      <c r="Q40" s="814">
        <f t="shared" si="0"/>
        <v>-2</v>
      </c>
      <c r="R40" s="814">
        <f t="shared" si="0"/>
        <v>-1.1499999999999999</v>
      </c>
      <c r="S40" s="815" t="str">
        <f t="shared" si="1"/>
        <v/>
      </c>
      <c r="T40" s="815" t="str">
        <f t="shared" si="2"/>
        <v/>
      </c>
      <c r="U40" s="815" t="str">
        <f t="shared" si="3"/>
        <v/>
      </c>
      <c r="V40" s="816" t="str">
        <f t="shared" si="4"/>
        <v/>
      </c>
      <c r="W40" s="767"/>
    </row>
    <row r="41" spans="1:23" ht="14.4" customHeight="1" x14ac:dyDescent="0.3">
      <c r="A41" s="821" t="s">
        <v>3988</v>
      </c>
      <c r="B41" s="770">
        <v>1</v>
      </c>
      <c r="C41" s="771">
        <v>0.43</v>
      </c>
      <c r="D41" s="772">
        <v>2</v>
      </c>
      <c r="E41" s="751">
        <v>5</v>
      </c>
      <c r="F41" s="752">
        <v>2.16</v>
      </c>
      <c r="G41" s="753">
        <v>2</v>
      </c>
      <c r="H41" s="754">
        <v>2</v>
      </c>
      <c r="I41" s="755">
        <v>0.86</v>
      </c>
      <c r="J41" s="764">
        <v>2</v>
      </c>
      <c r="K41" s="757">
        <v>0.43</v>
      </c>
      <c r="L41" s="754">
        <v>1</v>
      </c>
      <c r="M41" s="754">
        <v>13</v>
      </c>
      <c r="N41" s="758">
        <v>4.3499999999999996</v>
      </c>
      <c r="O41" s="754" t="s">
        <v>3916</v>
      </c>
      <c r="P41" s="773" t="s">
        <v>3989</v>
      </c>
      <c r="Q41" s="759">
        <f t="shared" si="0"/>
        <v>1</v>
      </c>
      <c r="R41" s="759">
        <f t="shared" si="0"/>
        <v>0.43</v>
      </c>
      <c r="S41" s="770">
        <f t="shared" si="1"/>
        <v>8.6999999999999993</v>
      </c>
      <c r="T41" s="770">
        <f t="shared" si="2"/>
        <v>4</v>
      </c>
      <c r="U41" s="770">
        <f t="shared" si="3"/>
        <v>-4.6999999999999993</v>
      </c>
      <c r="V41" s="774">
        <f t="shared" si="4"/>
        <v>0.45977011494252878</v>
      </c>
      <c r="W41" s="760"/>
    </row>
    <row r="42" spans="1:23" ht="14.4" customHeight="1" x14ac:dyDescent="0.3">
      <c r="A42" s="822" t="s">
        <v>3990</v>
      </c>
      <c r="B42" s="815"/>
      <c r="C42" s="817"/>
      <c r="D42" s="776"/>
      <c r="E42" s="818">
        <v>1</v>
      </c>
      <c r="F42" s="819">
        <v>0.62</v>
      </c>
      <c r="G42" s="768">
        <v>2</v>
      </c>
      <c r="H42" s="810"/>
      <c r="I42" s="809"/>
      <c r="J42" s="766"/>
      <c r="K42" s="811">
        <v>0.62</v>
      </c>
      <c r="L42" s="810">
        <v>2</v>
      </c>
      <c r="M42" s="810">
        <v>20</v>
      </c>
      <c r="N42" s="812">
        <v>6.8</v>
      </c>
      <c r="O42" s="810" t="s">
        <v>3916</v>
      </c>
      <c r="P42" s="813" t="s">
        <v>3991</v>
      </c>
      <c r="Q42" s="814">
        <f t="shared" si="0"/>
        <v>0</v>
      </c>
      <c r="R42" s="814">
        <f t="shared" si="0"/>
        <v>0</v>
      </c>
      <c r="S42" s="815" t="str">
        <f t="shared" si="1"/>
        <v/>
      </c>
      <c r="T42" s="815" t="str">
        <f t="shared" si="2"/>
        <v/>
      </c>
      <c r="U42" s="815" t="str">
        <f t="shared" si="3"/>
        <v/>
      </c>
      <c r="V42" s="816" t="str">
        <f t="shared" si="4"/>
        <v/>
      </c>
      <c r="W42" s="767"/>
    </row>
    <row r="43" spans="1:23" ht="14.4" customHeight="1" x14ac:dyDescent="0.3">
      <c r="A43" s="821" t="s">
        <v>3992</v>
      </c>
      <c r="B43" s="770"/>
      <c r="C43" s="771"/>
      <c r="D43" s="772"/>
      <c r="E43" s="775">
        <v>1</v>
      </c>
      <c r="F43" s="755">
        <v>0.49</v>
      </c>
      <c r="G43" s="764">
        <v>2</v>
      </c>
      <c r="H43" s="751">
        <v>1</v>
      </c>
      <c r="I43" s="752">
        <v>0.48</v>
      </c>
      <c r="J43" s="756">
        <v>6</v>
      </c>
      <c r="K43" s="757">
        <v>0.43</v>
      </c>
      <c r="L43" s="754">
        <v>2</v>
      </c>
      <c r="M43" s="754">
        <v>15</v>
      </c>
      <c r="N43" s="758">
        <v>4.84</v>
      </c>
      <c r="O43" s="754" t="s">
        <v>3916</v>
      </c>
      <c r="P43" s="773" t="s">
        <v>3993</v>
      </c>
      <c r="Q43" s="759">
        <f t="shared" si="0"/>
        <v>1</v>
      </c>
      <c r="R43" s="759">
        <f t="shared" si="0"/>
        <v>0.48</v>
      </c>
      <c r="S43" s="770">
        <f t="shared" si="1"/>
        <v>4.84</v>
      </c>
      <c r="T43" s="770">
        <f t="shared" si="2"/>
        <v>6</v>
      </c>
      <c r="U43" s="770">
        <f t="shared" si="3"/>
        <v>1.1600000000000001</v>
      </c>
      <c r="V43" s="774">
        <f t="shared" si="4"/>
        <v>1.2396694214876034</v>
      </c>
      <c r="W43" s="760">
        <v>1</v>
      </c>
    </row>
    <row r="44" spans="1:23" ht="14.4" customHeight="1" x14ac:dyDescent="0.3">
      <c r="A44" s="822" t="s">
        <v>3994</v>
      </c>
      <c r="B44" s="815">
        <v>1</v>
      </c>
      <c r="C44" s="817">
        <v>0.57999999999999996</v>
      </c>
      <c r="D44" s="776">
        <v>4</v>
      </c>
      <c r="E44" s="808"/>
      <c r="F44" s="809"/>
      <c r="G44" s="766"/>
      <c r="H44" s="818"/>
      <c r="I44" s="819"/>
      <c r="J44" s="768"/>
      <c r="K44" s="811">
        <v>0.57999999999999996</v>
      </c>
      <c r="L44" s="810">
        <v>2</v>
      </c>
      <c r="M44" s="810">
        <v>21</v>
      </c>
      <c r="N44" s="812">
        <v>6.97</v>
      </c>
      <c r="O44" s="810" t="s">
        <v>3916</v>
      </c>
      <c r="P44" s="813" t="s">
        <v>3995</v>
      </c>
      <c r="Q44" s="814">
        <f t="shared" si="0"/>
        <v>-1</v>
      </c>
      <c r="R44" s="814">
        <f t="shared" si="0"/>
        <v>-0.57999999999999996</v>
      </c>
      <c r="S44" s="815" t="str">
        <f t="shared" si="1"/>
        <v/>
      </c>
      <c r="T44" s="815" t="str">
        <f t="shared" si="2"/>
        <v/>
      </c>
      <c r="U44" s="815" t="str">
        <f t="shared" si="3"/>
        <v/>
      </c>
      <c r="V44" s="816" t="str">
        <f t="shared" si="4"/>
        <v/>
      </c>
      <c r="W44" s="767"/>
    </row>
    <row r="45" spans="1:23" ht="14.4" customHeight="1" x14ac:dyDescent="0.3">
      <c r="A45" s="821" t="s">
        <v>3996</v>
      </c>
      <c r="B45" s="770"/>
      <c r="C45" s="771"/>
      <c r="D45" s="772"/>
      <c r="E45" s="751">
        <v>1</v>
      </c>
      <c r="F45" s="752">
        <v>2.0099999999999998</v>
      </c>
      <c r="G45" s="753">
        <v>22</v>
      </c>
      <c r="H45" s="754"/>
      <c r="I45" s="755"/>
      <c r="J45" s="764"/>
      <c r="K45" s="757">
        <v>1.72</v>
      </c>
      <c r="L45" s="754">
        <v>4</v>
      </c>
      <c r="M45" s="754">
        <v>35</v>
      </c>
      <c r="N45" s="758">
        <v>11.83</v>
      </c>
      <c r="O45" s="754" t="s">
        <v>3916</v>
      </c>
      <c r="P45" s="773" t="s">
        <v>3997</v>
      </c>
      <c r="Q45" s="759">
        <f t="shared" si="0"/>
        <v>0</v>
      </c>
      <c r="R45" s="759">
        <f t="shared" si="0"/>
        <v>0</v>
      </c>
      <c r="S45" s="770" t="str">
        <f t="shared" si="1"/>
        <v/>
      </c>
      <c r="T45" s="770" t="str">
        <f t="shared" si="2"/>
        <v/>
      </c>
      <c r="U45" s="770" t="str">
        <f t="shared" si="3"/>
        <v/>
      </c>
      <c r="V45" s="774" t="str">
        <f t="shared" si="4"/>
        <v/>
      </c>
      <c r="W45" s="760"/>
    </row>
    <row r="46" spans="1:23" ht="14.4" customHeight="1" x14ac:dyDescent="0.3">
      <c r="A46" s="822" t="s">
        <v>3998</v>
      </c>
      <c r="B46" s="815"/>
      <c r="C46" s="817"/>
      <c r="D46" s="776"/>
      <c r="E46" s="818">
        <v>2</v>
      </c>
      <c r="F46" s="819">
        <v>6.55</v>
      </c>
      <c r="G46" s="768">
        <v>19.5</v>
      </c>
      <c r="H46" s="810"/>
      <c r="I46" s="809"/>
      <c r="J46" s="766"/>
      <c r="K46" s="811">
        <v>2.6</v>
      </c>
      <c r="L46" s="810">
        <v>6</v>
      </c>
      <c r="M46" s="810">
        <v>55</v>
      </c>
      <c r="N46" s="812">
        <v>18.22</v>
      </c>
      <c r="O46" s="810" t="s">
        <v>3916</v>
      </c>
      <c r="P46" s="813" t="s">
        <v>3999</v>
      </c>
      <c r="Q46" s="814">
        <f t="shared" si="0"/>
        <v>0</v>
      </c>
      <c r="R46" s="814">
        <f t="shared" si="0"/>
        <v>0</v>
      </c>
      <c r="S46" s="815" t="str">
        <f t="shared" si="1"/>
        <v/>
      </c>
      <c r="T46" s="815" t="str">
        <f t="shared" si="2"/>
        <v/>
      </c>
      <c r="U46" s="815" t="str">
        <f t="shared" si="3"/>
        <v/>
      </c>
      <c r="V46" s="816" t="str">
        <f t="shared" si="4"/>
        <v/>
      </c>
      <c r="W46" s="767"/>
    </row>
    <row r="47" spans="1:23" ht="14.4" customHeight="1" thickBot="1" x14ac:dyDescent="0.35">
      <c r="A47" s="823" t="s">
        <v>4000</v>
      </c>
      <c r="B47" s="824">
        <v>1</v>
      </c>
      <c r="C47" s="825">
        <v>6.88</v>
      </c>
      <c r="D47" s="826">
        <v>31</v>
      </c>
      <c r="E47" s="827"/>
      <c r="F47" s="828"/>
      <c r="G47" s="829"/>
      <c r="H47" s="830"/>
      <c r="I47" s="828"/>
      <c r="J47" s="829"/>
      <c r="K47" s="831">
        <v>2.76</v>
      </c>
      <c r="L47" s="830">
        <v>4</v>
      </c>
      <c r="M47" s="830">
        <v>40</v>
      </c>
      <c r="N47" s="832">
        <v>13.31</v>
      </c>
      <c r="O47" s="830" t="s">
        <v>3916</v>
      </c>
      <c r="P47" s="833" t="s">
        <v>4001</v>
      </c>
      <c r="Q47" s="834">
        <f t="shared" si="0"/>
        <v>-1</v>
      </c>
      <c r="R47" s="834">
        <f t="shared" si="0"/>
        <v>-6.88</v>
      </c>
      <c r="S47" s="835" t="str">
        <f t="shared" si="1"/>
        <v/>
      </c>
      <c r="T47" s="835" t="str">
        <f t="shared" si="2"/>
        <v/>
      </c>
      <c r="U47" s="835" t="str">
        <f t="shared" si="3"/>
        <v/>
      </c>
      <c r="V47" s="836" t="str">
        <f t="shared" si="4"/>
        <v/>
      </c>
      <c r="W47" s="837"/>
    </row>
  </sheetData>
  <autoFilter ref="A4:W4"/>
  <mergeCells count="12">
    <mergeCell ref="S3:V3"/>
    <mergeCell ref="A1:W1"/>
    <mergeCell ref="L3:L4"/>
    <mergeCell ref="M3:M4"/>
    <mergeCell ref="N3:N4"/>
    <mergeCell ref="P3:P4"/>
    <mergeCell ref="Q3:R3"/>
    <mergeCell ref="A3:A4"/>
    <mergeCell ref="B3:D3"/>
    <mergeCell ref="E3:G3"/>
    <mergeCell ref="H3:J3"/>
    <mergeCell ref="K3:K4"/>
  </mergeCells>
  <conditionalFormatting sqref="Q48:Q1048576">
    <cfRule type="cellIs" dxfId="12" priority="9" stopIfTrue="1" operator="lessThan">
      <formula>0</formula>
    </cfRule>
  </conditionalFormatting>
  <conditionalFormatting sqref="U48:U1048576">
    <cfRule type="cellIs" dxfId="11" priority="8" stopIfTrue="1" operator="greaterThan">
      <formula>0</formula>
    </cfRule>
  </conditionalFormatting>
  <conditionalFormatting sqref="V48:V1048576">
    <cfRule type="cellIs" dxfId="10" priority="7" stopIfTrue="1" operator="greaterThan">
      <formula>1</formula>
    </cfRule>
  </conditionalFormatting>
  <conditionalFormatting sqref="V48:V1048576">
    <cfRule type="cellIs" dxfId="9" priority="4" stopIfTrue="1" operator="greaterThan">
      <formula>1</formula>
    </cfRule>
  </conditionalFormatting>
  <conditionalFormatting sqref="U48:U1048576">
    <cfRule type="cellIs" dxfId="8" priority="5" stopIfTrue="1" operator="greaterThan">
      <formula>0</formula>
    </cfRule>
  </conditionalFormatting>
  <conditionalFormatting sqref="Q48:Q1048576">
    <cfRule type="cellIs" dxfId="7" priority="6" stopIfTrue="1" operator="lessThan">
      <formula>0</formula>
    </cfRule>
  </conditionalFormatting>
  <conditionalFormatting sqref="V5:V47">
    <cfRule type="cellIs" dxfId="6" priority="1" stopIfTrue="1" operator="greaterThan">
      <formula>1</formula>
    </cfRule>
  </conditionalFormatting>
  <conditionalFormatting sqref="U5:U47">
    <cfRule type="cellIs" dxfId="5" priority="2" stopIfTrue="1" operator="greaterThan">
      <formula>0</formula>
    </cfRule>
  </conditionalFormatting>
  <conditionalFormatting sqref="Q5:Q47">
    <cfRule type="cellIs" dxfId="4" priority="3" stopIfTrue="1" operator="lessThan">
      <formula>0</formula>
    </cfRule>
  </conditionalFormatting>
  <hyperlinks>
    <hyperlink ref="A2" location="Obsah!A1" display="Zpět na Obsah  KL 01  1.-4.měsíc"/>
  </hyperlinks>
  <printOptions gridLines="1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4">
    <tabColor theme="0" tint="-0.249977111117893"/>
    <pageSetUpPr fitToPage="1"/>
  </sheetPr>
  <dimension ref="A1:M17"/>
  <sheetViews>
    <sheetView showGridLines="0" showRowColHeaders="0" workbookViewId="0">
      <pane ySplit="5" topLeftCell="A6" activePane="bottomLeft" state="frozen"/>
      <selection sqref="A1:N1"/>
      <selection pane="bottomLeft" sqref="A1:M1"/>
    </sheetView>
  </sheetViews>
  <sheetFormatPr defaultRowHeight="14.4" customHeight="1" x14ac:dyDescent="0.3"/>
  <cols>
    <col min="1" max="1" width="43.21875" style="260" customWidth="1"/>
    <col min="2" max="2" width="7.77734375" style="225" customWidth="1"/>
    <col min="3" max="3" width="7.21875" style="260" hidden="1" customWidth="1"/>
    <col min="4" max="4" width="7.77734375" style="225" customWidth="1"/>
    <col min="5" max="5" width="7.21875" style="260" hidden="1" customWidth="1"/>
    <col min="6" max="6" width="7.77734375" style="225" customWidth="1"/>
    <col min="7" max="7" width="7.77734375" style="346" customWidth="1"/>
    <col min="8" max="8" width="7.77734375" style="225" customWidth="1"/>
    <col min="9" max="9" width="7.21875" style="260" hidden="1" customWidth="1"/>
    <col min="10" max="10" width="7.77734375" style="225" customWidth="1"/>
    <col min="11" max="11" width="7.21875" style="260" hidden="1" customWidth="1"/>
    <col min="12" max="12" width="7.77734375" style="225" customWidth="1"/>
    <col min="13" max="13" width="7.77734375" style="346" customWidth="1"/>
    <col min="14" max="16384" width="8.88671875" style="260"/>
  </cols>
  <sheetData>
    <row r="1" spans="1:13" ht="18.600000000000001" customHeight="1" thickBot="1" x14ac:dyDescent="0.4">
      <c r="A1" s="471" t="s">
        <v>162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ht="14.4" customHeight="1" thickBot="1" x14ac:dyDescent="0.35">
      <c r="A2" s="389" t="s">
        <v>298</v>
      </c>
      <c r="B2" s="362"/>
      <c r="C2" s="230"/>
      <c r="D2" s="362"/>
      <c r="E2" s="230"/>
      <c r="F2" s="362"/>
      <c r="G2" s="363"/>
      <c r="H2" s="362"/>
      <c r="I2" s="230"/>
      <c r="J2" s="362"/>
      <c r="K2" s="230"/>
      <c r="L2" s="362"/>
      <c r="M2" s="363"/>
    </row>
    <row r="3" spans="1:13" ht="14.4" customHeight="1" thickBot="1" x14ac:dyDescent="0.35">
      <c r="A3" s="356" t="s">
        <v>163</v>
      </c>
      <c r="B3" s="357">
        <f>SUBTOTAL(9,B6:B1048576)</f>
        <v>1030983</v>
      </c>
      <c r="C3" s="358">
        <f t="shared" ref="C3:L3" si="0">SUBTOTAL(9,C6:C1048576)</f>
        <v>7</v>
      </c>
      <c r="D3" s="358">
        <f t="shared" si="0"/>
        <v>844291</v>
      </c>
      <c r="E3" s="358">
        <f t="shared" si="0"/>
        <v>14.840222920484662</v>
      </c>
      <c r="F3" s="358">
        <f t="shared" si="0"/>
        <v>714433</v>
      </c>
      <c r="G3" s="361">
        <f>IF(B3&lt;&gt;0,F3/B3,"")</f>
        <v>0.69296292955363958</v>
      </c>
      <c r="H3" s="357">
        <f t="shared" si="0"/>
        <v>6906.0099999999993</v>
      </c>
      <c r="I3" s="358">
        <f t="shared" si="0"/>
        <v>1</v>
      </c>
      <c r="J3" s="358">
        <f t="shared" si="0"/>
        <v>61704.69</v>
      </c>
      <c r="K3" s="358">
        <f t="shared" si="0"/>
        <v>8.9349262454007459</v>
      </c>
      <c r="L3" s="358">
        <f t="shared" si="0"/>
        <v>10655.95</v>
      </c>
      <c r="M3" s="359">
        <f>IF(H3&lt;&gt;0,L3/H3,"")</f>
        <v>1.5429966073029147</v>
      </c>
    </row>
    <row r="4" spans="1:13" ht="14.4" customHeight="1" x14ac:dyDescent="0.3">
      <c r="A4" s="578" t="s">
        <v>121</v>
      </c>
      <c r="B4" s="529" t="s">
        <v>127</v>
      </c>
      <c r="C4" s="530"/>
      <c r="D4" s="530"/>
      <c r="E4" s="530"/>
      <c r="F4" s="530"/>
      <c r="G4" s="531"/>
      <c r="H4" s="529" t="s">
        <v>128</v>
      </c>
      <c r="I4" s="530"/>
      <c r="J4" s="530"/>
      <c r="K4" s="530"/>
      <c r="L4" s="530"/>
      <c r="M4" s="531"/>
    </row>
    <row r="5" spans="1:13" s="344" customFormat="1" ht="14.4" customHeight="1" thickBot="1" x14ac:dyDescent="0.35">
      <c r="A5" s="838"/>
      <c r="B5" s="839">
        <v>2012</v>
      </c>
      <c r="C5" s="840"/>
      <c r="D5" s="840">
        <v>2013</v>
      </c>
      <c r="E5" s="840"/>
      <c r="F5" s="840">
        <v>2014</v>
      </c>
      <c r="G5" s="731" t="s">
        <v>5</v>
      </c>
      <c r="H5" s="839">
        <v>2012</v>
      </c>
      <c r="I5" s="840"/>
      <c r="J5" s="840">
        <v>2013</v>
      </c>
      <c r="K5" s="840"/>
      <c r="L5" s="840">
        <v>2014</v>
      </c>
      <c r="M5" s="731" t="s">
        <v>5</v>
      </c>
    </row>
    <row r="6" spans="1:13" ht="14.4" customHeight="1" x14ac:dyDescent="0.3">
      <c r="A6" s="716" t="s">
        <v>4003</v>
      </c>
      <c r="B6" s="732"/>
      <c r="C6" s="697"/>
      <c r="D6" s="732">
        <v>126</v>
      </c>
      <c r="E6" s="697"/>
      <c r="F6" s="732"/>
      <c r="G6" s="702"/>
      <c r="H6" s="732"/>
      <c r="I6" s="697"/>
      <c r="J6" s="732"/>
      <c r="K6" s="697"/>
      <c r="L6" s="732"/>
      <c r="M6" s="241"/>
    </row>
    <row r="7" spans="1:13" ht="14.4" customHeight="1" x14ac:dyDescent="0.3">
      <c r="A7" s="717" t="s">
        <v>4004</v>
      </c>
      <c r="B7" s="746"/>
      <c r="C7" s="671"/>
      <c r="D7" s="746">
        <v>51991</v>
      </c>
      <c r="E7" s="671"/>
      <c r="F7" s="746"/>
      <c r="G7" s="682"/>
      <c r="H7" s="746"/>
      <c r="I7" s="671"/>
      <c r="J7" s="746"/>
      <c r="K7" s="671"/>
      <c r="L7" s="746"/>
      <c r="M7" s="242"/>
    </row>
    <row r="8" spans="1:13" ht="14.4" customHeight="1" x14ac:dyDescent="0.3">
      <c r="A8" s="717" t="s">
        <v>3375</v>
      </c>
      <c r="B8" s="746"/>
      <c r="C8" s="671"/>
      <c r="D8" s="746">
        <v>1973</v>
      </c>
      <c r="E8" s="671"/>
      <c r="F8" s="746"/>
      <c r="G8" s="682"/>
      <c r="H8" s="746"/>
      <c r="I8" s="671"/>
      <c r="J8" s="746"/>
      <c r="K8" s="671"/>
      <c r="L8" s="746"/>
      <c r="M8" s="242"/>
    </row>
    <row r="9" spans="1:13" ht="14.4" customHeight="1" x14ac:dyDescent="0.3">
      <c r="A9" s="717" t="s">
        <v>4005</v>
      </c>
      <c r="B9" s="746"/>
      <c r="C9" s="671"/>
      <c r="D9" s="746">
        <v>163</v>
      </c>
      <c r="E9" s="671"/>
      <c r="F9" s="746">
        <v>4328</v>
      </c>
      <c r="G9" s="682"/>
      <c r="H9" s="746"/>
      <c r="I9" s="671"/>
      <c r="J9" s="746"/>
      <c r="K9" s="671"/>
      <c r="L9" s="746">
        <v>5550</v>
      </c>
      <c r="M9" s="242"/>
    </row>
    <row r="10" spans="1:13" ht="14.4" customHeight="1" x14ac:dyDescent="0.3">
      <c r="A10" s="717" t="s">
        <v>4006</v>
      </c>
      <c r="B10" s="746">
        <v>57838</v>
      </c>
      <c r="C10" s="671">
        <v>1</v>
      </c>
      <c r="D10" s="746">
        <v>51672</v>
      </c>
      <c r="E10" s="671">
        <v>0.89339188768629618</v>
      </c>
      <c r="F10" s="746">
        <v>61806</v>
      </c>
      <c r="G10" s="682">
        <v>1.0686054151250044</v>
      </c>
      <c r="H10" s="746"/>
      <c r="I10" s="671"/>
      <c r="J10" s="746"/>
      <c r="K10" s="671"/>
      <c r="L10" s="746"/>
      <c r="M10" s="242"/>
    </row>
    <row r="11" spans="1:13" ht="14.4" customHeight="1" x14ac:dyDescent="0.3">
      <c r="A11" s="717" t="s">
        <v>4007</v>
      </c>
      <c r="B11" s="746">
        <v>620999</v>
      </c>
      <c r="C11" s="671">
        <v>1</v>
      </c>
      <c r="D11" s="746">
        <v>307394</v>
      </c>
      <c r="E11" s="671">
        <v>0.49499918679418164</v>
      </c>
      <c r="F11" s="746">
        <v>319763</v>
      </c>
      <c r="G11" s="682">
        <v>0.5149170932642404</v>
      </c>
      <c r="H11" s="746"/>
      <c r="I11" s="671"/>
      <c r="J11" s="746"/>
      <c r="K11" s="671"/>
      <c r="L11" s="746"/>
      <c r="M11" s="242"/>
    </row>
    <row r="12" spans="1:13" ht="14.4" customHeight="1" x14ac:dyDescent="0.3">
      <c r="A12" s="717" t="s">
        <v>4008</v>
      </c>
      <c r="B12" s="746">
        <v>123206</v>
      </c>
      <c r="C12" s="671">
        <v>1</v>
      </c>
      <c r="D12" s="746">
        <v>151765</v>
      </c>
      <c r="E12" s="671">
        <v>1.2317987760336346</v>
      </c>
      <c r="F12" s="746">
        <v>144213</v>
      </c>
      <c r="G12" s="682">
        <v>1.1705030599159132</v>
      </c>
      <c r="H12" s="746">
        <v>6906.0099999999993</v>
      </c>
      <c r="I12" s="671">
        <v>1</v>
      </c>
      <c r="J12" s="746">
        <v>61704.69</v>
      </c>
      <c r="K12" s="671">
        <v>8.9349262454007459</v>
      </c>
      <c r="L12" s="746">
        <v>5105.95</v>
      </c>
      <c r="M12" s="242">
        <v>0.7393487701292063</v>
      </c>
    </row>
    <row r="13" spans="1:13" ht="14.4" customHeight="1" x14ac:dyDescent="0.3">
      <c r="A13" s="717" t="s">
        <v>4009</v>
      </c>
      <c r="B13" s="746">
        <v>100893</v>
      </c>
      <c r="C13" s="671">
        <v>1</v>
      </c>
      <c r="D13" s="746">
        <v>135019</v>
      </c>
      <c r="E13" s="671">
        <v>1.3382395210767843</v>
      </c>
      <c r="F13" s="746">
        <v>127837</v>
      </c>
      <c r="G13" s="682">
        <v>1.2670551970899864</v>
      </c>
      <c r="H13" s="746"/>
      <c r="I13" s="671"/>
      <c r="J13" s="746"/>
      <c r="K13" s="671"/>
      <c r="L13" s="746"/>
      <c r="M13" s="242"/>
    </row>
    <row r="14" spans="1:13" ht="14.4" customHeight="1" x14ac:dyDescent="0.3">
      <c r="A14" s="717" t="s">
        <v>4010</v>
      </c>
      <c r="B14" s="746">
        <v>6964</v>
      </c>
      <c r="C14" s="671">
        <v>1</v>
      </c>
      <c r="D14" s="746">
        <v>67250</v>
      </c>
      <c r="E14" s="671">
        <v>9.6568064330844336</v>
      </c>
      <c r="F14" s="746">
        <v>9727</v>
      </c>
      <c r="G14" s="682">
        <v>1.3967547386559449</v>
      </c>
      <c r="H14" s="746"/>
      <c r="I14" s="671"/>
      <c r="J14" s="746"/>
      <c r="K14" s="671"/>
      <c r="L14" s="746"/>
      <c r="M14" s="242"/>
    </row>
    <row r="15" spans="1:13" ht="14.4" customHeight="1" x14ac:dyDescent="0.3">
      <c r="A15" s="717" t="s">
        <v>4011</v>
      </c>
      <c r="B15" s="746">
        <v>63786</v>
      </c>
      <c r="C15" s="671">
        <v>1</v>
      </c>
      <c r="D15" s="746">
        <v>61367</v>
      </c>
      <c r="E15" s="671">
        <v>0.96207631768726676</v>
      </c>
      <c r="F15" s="746">
        <v>46759</v>
      </c>
      <c r="G15" s="682">
        <v>0.73306054620136085</v>
      </c>
      <c r="H15" s="746"/>
      <c r="I15" s="671"/>
      <c r="J15" s="746"/>
      <c r="K15" s="671"/>
      <c r="L15" s="746"/>
      <c r="M15" s="242"/>
    </row>
    <row r="16" spans="1:13" ht="14.4" customHeight="1" x14ac:dyDescent="0.3">
      <c r="A16" s="717" t="s">
        <v>4012</v>
      </c>
      <c r="B16" s="746"/>
      <c r="C16" s="671"/>
      <c r="D16" s="746">
        <v>507</v>
      </c>
      <c r="E16" s="671"/>
      <c r="F16" s="746"/>
      <c r="G16" s="682"/>
      <c r="H16" s="746"/>
      <c r="I16" s="671"/>
      <c r="J16" s="746"/>
      <c r="K16" s="671"/>
      <c r="L16" s="746"/>
      <c r="M16" s="242"/>
    </row>
    <row r="17" spans="1:13" ht="14.4" customHeight="1" thickBot="1" x14ac:dyDescent="0.35">
      <c r="A17" s="734" t="s">
        <v>3380</v>
      </c>
      <c r="B17" s="733">
        <v>57297</v>
      </c>
      <c r="C17" s="673">
        <v>1</v>
      </c>
      <c r="D17" s="733">
        <v>15064</v>
      </c>
      <c r="E17" s="673">
        <v>0.26291079812206575</v>
      </c>
      <c r="F17" s="733"/>
      <c r="G17" s="683"/>
      <c r="H17" s="733"/>
      <c r="I17" s="673"/>
      <c r="J17" s="733"/>
      <c r="K17" s="673"/>
      <c r="L17" s="733"/>
      <c r="M17" s="684"/>
    </row>
  </sheetData>
  <mergeCells count="4">
    <mergeCell ref="A4:A5"/>
    <mergeCell ref="B4:G4"/>
    <mergeCell ref="H4:M4"/>
    <mergeCell ref="A1:M1"/>
  </mergeCells>
  <conditionalFormatting sqref="F6:F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{B0D7810C-1ECB-49F3-AEA4-0F83D5AE3D8E}</x14:id>
        </ext>
      </extLst>
    </cfRule>
  </conditionalFormatting>
  <conditionalFormatting sqref="L6:L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{62A185C8-0356-41DC-9157-C12418624882}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80" fitToHeight="0" orientation="portrait" r:id="rId1"/>
  <ignoredErrors>
    <ignoredError sqref="B3 D3 F3 H3 J3 L3" formulaRange="1"/>
    <ignoredError sqref="G3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0D7810C-1ECB-49F3-AEA4-0F83D5AE3D8E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F6:F1048576</xm:sqref>
        </x14:conditionalFormatting>
        <x14:conditionalFormatting xmlns:xm="http://schemas.microsoft.com/office/excel/2006/main">
          <x14:cfRule type="dataBar" id="{62A185C8-0356-41DC-9157-C12418624882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L6:L1048576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tabColor theme="0" tint="-0.249977111117893"/>
    <pageSetUpPr fitToPage="1"/>
  </sheetPr>
  <dimension ref="A1:Q205"/>
  <sheetViews>
    <sheetView showGridLines="0" showRowColHeaders="0" workbookViewId="0">
      <pane ySplit="5" topLeftCell="A6" activePane="bottomLeft" state="frozen"/>
      <selection sqref="A1:N1"/>
      <selection pane="bottomLeft" sqref="A1:Q1"/>
    </sheetView>
  </sheetViews>
  <sheetFormatPr defaultRowHeight="14.4" customHeight="1" x14ac:dyDescent="0.3"/>
  <cols>
    <col min="1" max="1" width="3" style="260" bestFit="1" customWidth="1"/>
    <col min="2" max="2" width="8.6640625" style="260" bestFit="1" customWidth="1"/>
    <col min="3" max="3" width="2.109375" style="260" bestFit="1" customWidth="1"/>
    <col min="4" max="4" width="8" style="260" bestFit="1" customWidth="1"/>
    <col min="5" max="5" width="52.88671875" style="260" bestFit="1" customWidth="1"/>
    <col min="6" max="7" width="11.109375" style="343" customWidth="1"/>
    <col min="8" max="9" width="9.33203125" style="343" hidden="1" customWidth="1"/>
    <col min="10" max="11" width="11.109375" style="343" customWidth="1"/>
    <col min="12" max="13" width="9.33203125" style="343" hidden="1" customWidth="1"/>
    <col min="14" max="15" width="11.109375" style="343" customWidth="1"/>
    <col min="16" max="16" width="11.109375" style="346" customWidth="1"/>
    <col min="17" max="17" width="11.109375" style="343" customWidth="1"/>
    <col min="18" max="16384" width="8.88671875" style="260"/>
  </cols>
  <sheetData>
    <row r="1" spans="1:17" ht="18.600000000000001" customHeight="1" thickBot="1" x14ac:dyDescent="0.4">
      <c r="A1" s="471" t="s">
        <v>4384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ht="14.4" customHeight="1" thickBot="1" x14ac:dyDescent="0.35">
      <c r="A2" s="389" t="s">
        <v>298</v>
      </c>
      <c r="B2" s="230"/>
      <c r="C2" s="230"/>
      <c r="D2" s="230"/>
      <c r="E2" s="230"/>
      <c r="F2" s="366"/>
      <c r="G2" s="366"/>
      <c r="H2" s="366"/>
      <c r="I2" s="366"/>
      <c r="J2" s="366"/>
      <c r="K2" s="366"/>
      <c r="L2" s="366"/>
      <c r="M2" s="366"/>
      <c r="N2" s="366"/>
      <c r="O2" s="366"/>
      <c r="P2" s="363"/>
      <c r="Q2" s="366"/>
    </row>
    <row r="3" spans="1:17" ht="14.4" customHeight="1" thickBot="1" x14ac:dyDescent="0.35">
      <c r="E3" s="112" t="s">
        <v>163</v>
      </c>
      <c r="F3" s="217">
        <f t="shared" ref="F3:O3" si="0">SUBTOTAL(9,F6:F1048576)</f>
        <v>11232.779999999999</v>
      </c>
      <c r="G3" s="221">
        <f t="shared" si="0"/>
        <v>1037889.01</v>
      </c>
      <c r="H3" s="222"/>
      <c r="I3" s="222"/>
      <c r="J3" s="217">
        <f t="shared" si="0"/>
        <v>7833.19</v>
      </c>
      <c r="K3" s="221">
        <f t="shared" si="0"/>
        <v>905995.69</v>
      </c>
      <c r="L3" s="222"/>
      <c r="M3" s="222"/>
      <c r="N3" s="217">
        <f t="shared" si="0"/>
        <v>9248.6899999999987</v>
      </c>
      <c r="O3" s="221">
        <f t="shared" si="0"/>
        <v>725088.95</v>
      </c>
      <c r="P3" s="181">
        <f>IF(G3=0,"",O3/G3)</f>
        <v>0.69861896890111586</v>
      </c>
      <c r="Q3" s="219">
        <f>IF(N3=0,"",O3/N3)</f>
        <v>78.399097601930663</v>
      </c>
    </row>
    <row r="4" spans="1:17" ht="14.4" customHeight="1" x14ac:dyDescent="0.3">
      <c r="A4" s="534" t="s">
        <v>77</v>
      </c>
      <c r="B4" s="533" t="s">
        <v>122</v>
      </c>
      <c r="C4" s="534" t="s">
        <v>123</v>
      </c>
      <c r="D4" s="535" t="s">
        <v>93</v>
      </c>
      <c r="E4" s="536" t="s">
        <v>14</v>
      </c>
      <c r="F4" s="540">
        <v>2012</v>
      </c>
      <c r="G4" s="541"/>
      <c r="H4" s="220"/>
      <c r="I4" s="220"/>
      <c r="J4" s="540">
        <v>2013</v>
      </c>
      <c r="K4" s="541"/>
      <c r="L4" s="220"/>
      <c r="M4" s="220"/>
      <c r="N4" s="540">
        <v>2014</v>
      </c>
      <c r="O4" s="541"/>
      <c r="P4" s="542" t="s">
        <v>5</v>
      </c>
      <c r="Q4" s="532" t="s">
        <v>125</v>
      </c>
    </row>
    <row r="5" spans="1:17" ht="14.4" customHeight="1" thickBot="1" x14ac:dyDescent="0.35">
      <c r="A5" s="738"/>
      <c r="B5" s="737"/>
      <c r="C5" s="738"/>
      <c r="D5" s="739"/>
      <c r="E5" s="740"/>
      <c r="F5" s="747" t="s">
        <v>94</v>
      </c>
      <c r="G5" s="748" t="s">
        <v>17</v>
      </c>
      <c r="H5" s="749"/>
      <c r="I5" s="749"/>
      <c r="J5" s="747" t="s">
        <v>94</v>
      </c>
      <c r="K5" s="748" t="s">
        <v>17</v>
      </c>
      <c r="L5" s="749"/>
      <c r="M5" s="749"/>
      <c r="N5" s="747" t="s">
        <v>94</v>
      </c>
      <c r="O5" s="748" t="s">
        <v>17</v>
      </c>
      <c r="P5" s="750"/>
      <c r="Q5" s="745"/>
    </row>
    <row r="6" spans="1:17" ht="14.4" customHeight="1" x14ac:dyDescent="0.3">
      <c r="A6" s="696" t="s">
        <v>4013</v>
      </c>
      <c r="B6" s="697" t="s">
        <v>4014</v>
      </c>
      <c r="C6" s="697" t="s">
        <v>3303</v>
      </c>
      <c r="D6" s="697" t="s">
        <v>4015</v>
      </c>
      <c r="E6" s="697" t="s">
        <v>4016</v>
      </c>
      <c r="F6" s="235"/>
      <c r="G6" s="235"/>
      <c r="H6" s="235"/>
      <c r="I6" s="235"/>
      <c r="J6" s="235">
        <v>2</v>
      </c>
      <c r="K6" s="235">
        <v>126</v>
      </c>
      <c r="L6" s="235"/>
      <c r="M6" s="235">
        <v>63</v>
      </c>
      <c r="N6" s="235"/>
      <c r="O6" s="235"/>
      <c r="P6" s="702"/>
      <c r="Q6" s="712"/>
    </row>
    <row r="7" spans="1:17" ht="14.4" customHeight="1" x14ac:dyDescent="0.3">
      <c r="A7" s="680" t="s">
        <v>4017</v>
      </c>
      <c r="B7" s="671" t="s">
        <v>4018</v>
      </c>
      <c r="C7" s="671" t="s">
        <v>3303</v>
      </c>
      <c r="D7" s="671" t="s">
        <v>4019</v>
      </c>
      <c r="E7" s="671" t="s">
        <v>4020</v>
      </c>
      <c r="F7" s="238"/>
      <c r="G7" s="238"/>
      <c r="H7" s="238"/>
      <c r="I7" s="238"/>
      <c r="J7" s="238">
        <v>1</v>
      </c>
      <c r="K7" s="238">
        <v>1245</v>
      </c>
      <c r="L7" s="238"/>
      <c r="M7" s="238">
        <v>1245</v>
      </c>
      <c r="N7" s="238"/>
      <c r="O7" s="238"/>
      <c r="P7" s="682"/>
      <c r="Q7" s="713"/>
    </row>
    <row r="8" spans="1:17" ht="14.4" customHeight="1" x14ac:dyDescent="0.3">
      <c r="A8" s="680" t="s">
        <v>4017</v>
      </c>
      <c r="B8" s="671" t="s">
        <v>4018</v>
      </c>
      <c r="C8" s="671" t="s">
        <v>3303</v>
      </c>
      <c r="D8" s="671" t="s">
        <v>4021</v>
      </c>
      <c r="E8" s="671" t="s">
        <v>4022</v>
      </c>
      <c r="F8" s="238"/>
      <c r="G8" s="238"/>
      <c r="H8" s="238"/>
      <c r="I8" s="238"/>
      <c r="J8" s="238">
        <v>4</v>
      </c>
      <c r="K8" s="238">
        <v>37348</v>
      </c>
      <c r="L8" s="238"/>
      <c r="M8" s="238">
        <v>9337</v>
      </c>
      <c r="N8" s="238"/>
      <c r="O8" s="238"/>
      <c r="P8" s="682"/>
      <c r="Q8" s="713"/>
    </row>
    <row r="9" spans="1:17" ht="14.4" customHeight="1" x14ac:dyDescent="0.3">
      <c r="A9" s="680" t="s">
        <v>4017</v>
      </c>
      <c r="B9" s="671" t="s">
        <v>4018</v>
      </c>
      <c r="C9" s="671" t="s">
        <v>3303</v>
      </c>
      <c r="D9" s="671" t="s">
        <v>4023</v>
      </c>
      <c r="E9" s="671" t="s">
        <v>4024</v>
      </c>
      <c r="F9" s="238"/>
      <c r="G9" s="238"/>
      <c r="H9" s="238"/>
      <c r="I9" s="238"/>
      <c r="J9" s="238">
        <v>6</v>
      </c>
      <c r="K9" s="238">
        <v>13398</v>
      </c>
      <c r="L9" s="238"/>
      <c r="M9" s="238">
        <v>2233</v>
      </c>
      <c r="N9" s="238"/>
      <c r="O9" s="238"/>
      <c r="P9" s="682"/>
      <c r="Q9" s="713"/>
    </row>
    <row r="10" spans="1:17" ht="14.4" customHeight="1" x14ac:dyDescent="0.3">
      <c r="A10" s="680" t="s">
        <v>3393</v>
      </c>
      <c r="B10" s="671" t="s">
        <v>4025</v>
      </c>
      <c r="C10" s="671" t="s">
        <v>3303</v>
      </c>
      <c r="D10" s="671" t="s">
        <v>4026</v>
      </c>
      <c r="E10" s="671" t="s">
        <v>4027</v>
      </c>
      <c r="F10" s="238"/>
      <c r="G10" s="238"/>
      <c r="H10" s="238"/>
      <c r="I10" s="238"/>
      <c r="J10" s="238">
        <v>1</v>
      </c>
      <c r="K10" s="238">
        <v>664</v>
      </c>
      <c r="L10" s="238"/>
      <c r="M10" s="238">
        <v>664</v>
      </c>
      <c r="N10" s="238"/>
      <c r="O10" s="238"/>
      <c r="P10" s="682"/>
      <c r="Q10" s="713"/>
    </row>
    <row r="11" spans="1:17" ht="14.4" customHeight="1" x14ac:dyDescent="0.3">
      <c r="A11" s="680" t="s">
        <v>3393</v>
      </c>
      <c r="B11" s="671" t="s">
        <v>4025</v>
      </c>
      <c r="C11" s="671" t="s">
        <v>3303</v>
      </c>
      <c r="D11" s="671" t="s">
        <v>4028</v>
      </c>
      <c r="E11" s="671" t="s">
        <v>4029</v>
      </c>
      <c r="F11" s="238"/>
      <c r="G11" s="238"/>
      <c r="H11" s="238"/>
      <c r="I11" s="238"/>
      <c r="J11" s="238">
        <v>2</v>
      </c>
      <c r="K11" s="238">
        <v>914</v>
      </c>
      <c r="L11" s="238"/>
      <c r="M11" s="238">
        <v>457</v>
      </c>
      <c r="N11" s="238"/>
      <c r="O11" s="238"/>
      <c r="P11" s="682"/>
      <c r="Q11" s="713"/>
    </row>
    <row r="12" spans="1:17" ht="14.4" customHeight="1" x14ac:dyDescent="0.3">
      <c r="A12" s="680" t="s">
        <v>3393</v>
      </c>
      <c r="B12" s="671" t="s">
        <v>4025</v>
      </c>
      <c r="C12" s="671" t="s">
        <v>3303</v>
      </c>
      <c r="D12" s="671" t="s">
        <v>4030</v>
      </c>
      <c r="E12" s="671" t="s">
        <v>4031</v>
      </c>
      <c r="F12" s="238"/>
      <c r="G12" s="238"/>
      <c r="H12" s="238"/>
      <c r="I12" s="238"/>
      <c r="J12" s="238">
        <v>1</v>
      </c>
      <c r="K12" s="238">
        <v>237</v>
      </c>
      <c r="L12" s="238"/>
      <c r="M12" s="238">
        <v>237</v>
      </c>
      <c r="N12" s="238"/>
      <c r="O12" s="238"/>
      <c r="P12" s="682"/>
      <c r="Q12" s="713"/>
    </row>
    <row r="13" spans="1:17" ht="14.4" customHeight="1" x14ac:dyDescent="0.3">
      <c r="A13" s="680" t="s">
        <v>3393</v>
      </c>
      <c r="B13" s="671" t="s">
        <v>4025</v>
      </c>
      <c r="C13" s="671" t="s">
        <v>3303</v>
      </c>
      <c r="D13" s="671" t="s">
        <v>4032</v>
      </c>
      <c r="E13" s="671" t="s">
        <v>4033</v>
      </c>
      <c r="F13" s="238"/>
      <c r="G13" s="238"/>
      <c r="H13" s="238"/>
      <c r="I13" s="238"/>
      <c r="J13" s="238">
        <v>2</v>
      </c>
      <c r="K13" s="238">
        <v>158</v>
      </c>
      <c r="L13" s="238"/>
      <c r="M13" s="238">
        <v>79</v>
      </c>
      <c r="N13" s="238"/>
      <c r="O13" s="238"/>
      <c r="P13" s="682"/>
      <c r="Q13" s="713"/>
    </row>
    <row r="14" spans="1:17" ht="14.4" customHeight="1" x14ac:dyDescent="0.3">
      <c r="A14" s="680" t="s">
        <v>4034</v>
      </c>
      <c r="B14" s="671" t="s">
        <v>972</v>
      </c>
      <c r="C14" s="671" t="s">
        <v>3454</v>
      </c>
      <c r="D14" s="671" t="s">
        <v>4035</v>
      </c>
      <c r="E14" s="671" t="s">
        <v>4036</v>
      </c>
      <c r="F14" s="238"/>
      <c r="G14" s="238"/>
      <c r="H14" s="238"/>
      <c r="I14" s="238"/>
      <c r="J14" s="238"/>
      <c r="K14" s="238"/>
      <c r="L14" s="238"/>
      <c r="M14" s="238"/>
      <c r="N14" s="238">
        <v>1000</v>
      </c>
      <c r="O14" s="238">
        <v>5550</v>
      </c>
      <c r="P14" s="682"/>
      <c r="Q14" s="713">
        <v>5.55</v>
      </c>
    </row>
    <row r="15" spans="1:17" ht="14.4" customHeight="1" x14ac:dyDescent="0.3">
      <c r="A15" s="680" t="s">
        <v>4034</v>
      </c>
      <c r="B15" s="671" t="s">
        <v>972</v>
      </c>
      <c r="C15" s="671" t="s">
        <v>3303</v>
      </c>
      <c r="D15" s="671" t="s">
        <v>4037</v>
      </c>
      <c r="E15" s="671" t="s">
        <v>4038</v>
      </c>
      <c r="F15" s="238"/>
      <c r="G15" s="238"/>
      <c r="H15" s="238"/>
      <c r="I15" s="238"/>
      <c r="J15" s="238">
        <v>1</v>
      </c>
      <c r="K15" s="238">
        <v>163</v>
      </c>
      <c r="L15" s="238"/>
      <c r="M15" s="238">
        <v>163</v>
      </c>
      <c r="N15" s="238"/>
      <c r="O15" s="238"/>
      <c r="P15" s="682"/>
      <c r="Q15" s="713"/>
    </row>
    <row r="16" spans="1:17" ht="14.4" customHeight="1" x14ac:dyDescent="0.3">
      <c r="A16" s="680" t="s">
        <v>4034</v>
      </c>
      <c r="B16" s="671" t="s">
        <v>972</v>
      </c>
      <c r="C16" s="671" t="s">
        <v>3303</v>
      </c>
      <c r="D16" s="671" t="s">
        <v>4039</v>
      </c>
      <c r="E16" s="671" t="s">
        <v>4040</v>
      </c>
      <c r="F16" s="238"/>
      <c r="G16" s="238"/>
      <c r="H16" s="238"/>
      <c r="I16" s="238"/>
      <c r="J16" s="238"/>
      <c r="K16" s="238"/>
      <c r="L16" s="238"/>
      <c r="M16" s="238"/>
      <c r="N16" s="238">
        <v>2</v>
      </c>
      <c r="O16" s="238">
        <v>3508</v>
      </c>
      <c r="P16" s="682"/>
      <c r="Q16" s="713">
        <v>1754</v>
      </c>
    </row>
    <row r="17" spans="1:17" ht="14.4" customHeight="1" x14ac:dyDescent="0.3">
      <c r="A17" s="680" t="s">
        <v>4034</v>
      </c>
      <c r="B17" s="671" t="s">
        <v>972</v>
      </c>
      <c r="C17" s="671" t="s">
        <v>3303</v>
      </c>
      <c r="D17" s="671" t="s">
        <v>4041</v>
      </c>
      <c r="E17" s="671" t="s">
        <v>4042</v>
      </c>
      <c r="F17" s="238"/>
      <c r="G17" s="238"/>
      <c r="H17" s="238"/>
      <c r="I17" s="238"/>
      <c r="J17" s="238"/>
      <c r="K17" s="238"/>
      <c r="L17" s="238"/>
      <c r="M17" s="238"/>
      <c r="N17" s="238">
        <v>2</v>
      </c>
      <c r="O17" s="238">
        <v>820</v>
      </c>
      <c r="P17" s="682"/>
      <c r="Q17" s="713">
        <v>410</v>
      </c>
    </row>
    <row r="18" spans="1:17" ht="14.4" customHeight="1" x14ac:dyDescent="0.3">
      <c r="A18" s="680" t="s">
        <v>4043</v>
      </c>
      <c r="B18" s="671" t="s">
        <v>4044</v>
      </c>
      <c r="C18" s="671" t="s">
        <v>3303</v>
      </c>
      <c r="D18" s="671" t="s">
        <v>4045</v>
      </c>
      <c r="E18" s="671" t="s">
        <v>4046</v>
      </c>
      <c r="F18" s="238">
        <v>1</v>
      </c>
      <c r="G18" s="238">
        <v>350</v>
      </c>
      <c r="H18" s="238">
        <v>1</v>
      </c>
      <c r="I18" s="238">
        <v>350</v>
      </c>
      <c r="J18" s="238">
        <v>6</v>
      </c>
      <c r="K18" s="238">
        <v>2100</v>
      </c>
      <c r="L18" s="238">
        <v>6</v>
      </c>
      <c r="M18" s="238">
        <v>350</v>
      </c>
      <c r="N18" s="238">
        <v>11</v>
      </c>
      <c r="O18" s="238">
        <v>3850</v>
      </c>
      <c r="P18" s="682">
        <v>11</v>
      </c>
      <c r="Q18" s="713">
        <v>350</v>
      </c>
    </row>
    <row r="19" spans="1:17" ht="14.4" customHeight="1" x14ac:dyDescent="0.3">
      <c r="A19" s="680" t="s">
        <v>4043</v>
      </c>
      <c r="B19" s="671" t="s">
        <v>4044</v>
      </c>
      <c r="C19" s="671" t="s">
        <v>3303</v>
      </c>
      <c r="D19" s="671" t="s">
        <v>4047</v>
      </c>
      <c r="E19" s="671" t="s">
        <v>4048</v>
      </c>
      <c r="F19" s="238">
        <v>5</v>
      </c>
      <c r="G19" s="238">
        <v>320</v>
      </c>
      <c r="H19" s="238">
        <v>1</v>
      </c>
      <c r="I19" s="238">
        <v>64</v>
      </c>
      <c r="J19" s="238">
        <v>7</v>
      </c>
      <c r="K19" s="238">
        <v>455</v>
      </c>
      <c r="L19" s="238">
        <v>1.421875</v>
      </c>
      <c r="M19" s="238">
        <v>65</v>
      </c>
      <c r="N19" s="238">
        <v>8</v>
      </c>
      <c r="O19" s="238">
        <v>520</v>
      </c>
      <c r="P19" s="682">
        <v>1.625</v>
      </c>
      <c r="Q19" s="713">
        <v>65</v>
      </c>
    </row>
    <row r="20" spans="1:17" ht="14.4" customHeight="1" x14ac:dyDescent="0.3">
      <c r="A20" s="680" t="s">
        <v>4043</v>
      </c>
      <c r="B20" s="671" t="s">
        <v>4044</v>
      </c>
      <c r="C20" s="671" t="s">
        <v>3303</v>
      </c>
      <c r="D20" s="671" t="s">
        <v>4049</v>
      </c>
      <c r="E20" s="671" t="s">
        <v>4050</v>
      </c>
      <c r="F20" s="238">
        <v>9</v>
      </c>
      <c r="G20" s="238">
        <v>207</v>
      </c>
      <c r="H20" s="238">
        <v>1</v>
      </c>
      <c r="I20" s="238">
        <v>23</v>
      </c>
      <c r="J20" s="238">
        <v>9</v>
      </c>
      <c r="K20" s="238">
        <v>207</v>
      </c>
      <c r="L20" s="238">
        <v>1</v>
      </c>
      <c r="M20" s="238">
        <v>23</v>
      </c>
      <c r="N20" s="238">
        <v>7</v>
      </c>
      <c r="O20" s="238">
        <v>161</v>
      </c>
      <c r="P20" s="682">
        <v>0.77777777777777779</v>
      </c>
      <c r="Q20" s="713">
        <v>23</v>
      </c>
    </row>
    <row r="21" spans="1:17" ht="14.4" customHeight="1" x14ac:dyDescent="0.3">
      <c r="A21" s="680" t="s">
        <v>4043</v>
      </c>
      <c r="B21" s="671" t="s">
        <v>4044</v>
      </c>
      <c r="C21" s="671" t="s">
        <v>3303</v>
      </c>
      <c r="D21" s="671" t="s">
        <v>4051</v>
      </c>
      <c r="E21" s="671" t="s">
        <v>4052</v>
      </c>
      <c r="F21" s="238">
        <v>11</v>
      </c>
      <c r="G21" s="238">
        <v>594</v>
      </c>
      <c r="H21" s="238">
        <v>1</v>
      </c>
      <c r="I21" s="238">
        <v>54</v>
      </c>
      <c r="J21" s="238">
        <v>7</v>
      </c>
      <c r="K21" s="238">
        <v>378</v>
      </c>
      <c r="L21" s="238">
        <v>0.63636363636363635</v>
      </c>
      <c r="M21" s="238">
        <v>54</v>
      </c>
      <c r="N21" s="238">
        <v>5</v>
      </c>
      <c r="O21" s="238">
        <v>270</v>
      </c>
      <c r="P21" s="682">
        <v>0.45454545454545453</v>
      </c>
      <c r="Q21" s="713">
        <v>54</v>
      </c>
    </row>
    <row r="22" spans="1:17" ht="14.4" customHeight="1" x14ac:dyDescent="0.3">
      <c r="A22" s="680" t="s">
        <v>4043</v>
      </c>
      <c r="B22" s="671" t="s">
        <v>4044</v>
      </c>
      <c r="C22" s="671" t="s">
        <v>3303</v>
      </c>
      <c r="D22" s="671" t="s">
        <v>4053</v>
      </c>
      <c r="E22" s="671" t="s">
        <v>4054</v>
      </c>
      <c r="F22" s="238">
        <v>377</v>
      </c>
      <c r="G22" s="238">
        <v>29029</v>
      </c>
      <c r="H22" s="238">
        <v>1</v>
      </c>
      <c r="I22" s="238">
        <v>77</v>
      </c>
      <c r="J22" s="238">
        <v>301</v>
      </c>
      <c r="K22" s="238">
        <v>23177</v>
      </c>
      <c r="L22" s="238">
        <v>0.79840848806366049</v>
      </c>
      <c r="M22" s="238">
        <v>77</v>
      </c>
      <c r="N22" s="238">
        <v>392</v>
      </c>
      <c r="O22" s="238">
        <v>30184</v>
      </c>
      <c r="P22" s="682">
        <v>1.039787798408488</v>
      </c>
      <c r="Q22" s="713">
        <v>77</v>
      </c>
    </row>
    <row r="23" spans="1:17" ht="14.4" customHeight="1" x14ac:dyDescent="0.3">
      <c r="A23" s="680" t="s">
        <v>4043</v>
      </c>
      <c r="B23" s="671" t="s">
        <v>4044</v>
      </c>
      <c r="C23" s="671" t="s">
        <v>3303</v>
      </c>
      <c r="D23" s="671" t="s">
        <v>4055</v>
      </c>
      <c r="E23" s="671" t="s">
        <v>4056</v>
      </c>
      <c r="F23" s="238">
        <v>10</v>
      </c>
      <c r="G23" s="238">
        <v>220</v>
      </c>
      <c r="H23" s="238">
        <v>1</v>
      </c>
      <c r="I23" s="238">
        <v>22</v>
      </c>
      <c r="J23" s="238">
        <v>12</v>
      </c>
      <c r="K23" s="238">
        <v>264</v>
      </c>
      <c r="L23" s="238">
        <v>1.2</v>
      </c>
      <c r="M23" s="238">
        <v>22</v>
      </c>
      <c r="N23" s="238">
        <v>7</v>
      </c>
      <c r="O23" s="238">
        <v>154</v>
      </c>
      <c r="P23" s="682">
        <v>0.7</v>
      </c>
      <c r="Q23" s="713">
        <v>22</v>
      </c>
    </row>
    <row r="24" spans="1:17" ht="14.4" customHeight="1" x14ac:dyDescent="0.3">
      <c r="A24" s="680" t="s">
        <v>4043</v>
      </c>
      <c r="B24" s="671" t="s">
        <v>4044</v>
      </c>
      <c r="C24" s="671" t="s">
        <v>3303</v>
      </c>
      <c r="D24" s="671" t="s">
        <v>4057</v>
      </c>
      <c r="E24" s="671" t="s">
        <v>4058</v>
      </c>
      <c r="F24" s="238">
        <v>2</v>
      </c>
      <c r="G24" s="238">
        <v>418</v>
      </c>
      <c r="H24" s="238">
        <v>1</v>
      </c>
      <c r="I24" s="238">
        <v>209</v>
      </c>
      <c r="J24" s="238">
        <v>4</v>
      </c>
      <c r="K24" s="238">
        <v>836</v>
      </c>
      <c r="L24" s="238">
        <v>2</v>
      </c>
      <c r="M24" s="238">
        <v>209</v>
      </c>
      <c r="N24" s="238"/>
      <c r="O24" s="238"/>
      <c r="P24" s="682"/>
      <c r="Q24" s="713"/>
    </row>
    <row r="25" spans="1:17" ht="14.4" customHeight="1" x14ac:dyDescent="0.3">
      <c r="A25" s="680" t="s">
        <v>4043</v>
      </c>
      <c r="B25" s="671" t="s">
        <v>4044</v>
      </c>
      <c r="C25" s="671" t="s">
        <v>3303</v>
      </c>
      <c r="D25" s="671" t="s">
        <v>4059</v>
      </c>
      <c r="E25" s="671" t="s">
        <v>4060</v>
      </c>
      <c r="F25" s="238">
        <v>1</v>
      </c>
      <c r="G25" s="238">
        <v>66</v>
      </c>
      <c r="H25" s="238">
        <v>1</v>
      </c>
      <c r="I25" s="238">
        <v>66</v>
      </c>
      <c r="J25" s="238">
        <v>7</v>
      </c>
      <c r="K25" s="238">
        <v>462</v>
      </c>
      <c r="L25" s="238">
        <v>7</v>
      </c>
      <c r="M25" s="238">
        <v>66</v>
      </c>
      <c r="N25" s="238">
        <v>1</v>
      </c>
      <c r="O25" s="238">
        <v>66</v>
      </c>
      <c r="P25" s="682">
        <v>1</v>
      </c>
      <c r="Q25" s="713">
        <v>66</v>
      </c>
    </row>
    <row r="26" spans="1:17" ht="14.4" customHeight="1" x14ac:dyDescent="0.3">
      <c r="A26" s="680" t="s">
        <v>4043</v>
      </c>
      <c r="B26" s="671" t="s">
        <v>4044</v>
      </c>
      <c r="C26" s="671" t="s">
        <v>3303</v>
      </c>
      <c r="D26" s="671" t="s">
        <v>4061</v>
      </c>
      <c r="E26" s="671" t="s">
        <v>4062</v>
      </c>
      <c r="F26" s="238">
        <v>1</v>
      </c>
      <c r="G26" s="238">
        <v>293</v>
      </c>
      <c r="H26" s="238">
        <v>1</v>
      </c>
      <c r="I26" s="238">
        <v>293</v>
      </c>
      <c r="J26" s="238"/>
      <c r="K26" s="238"/>
      <c r="L26" s="238"/>
      <c r="M26" s="238"/>
      <c r="N26" s="238"/>
      <c r="O26" s="238"/>
      <c r="P26" s="682"/>
      <c r="Q26" s="713"/>
    </row>
    <row r="27" spans="1:17" ht="14.4" customHeight="1" x14ac:dyDescent="0.3">
      <c r="A27" s="680" t="s">
        <v>4043</v>
      </c>
      <c r="B27" s="671" t="s">
        <v>4044</v>
      </c>
      <c r="C27" s="671" t="s">
        <v>3303</v>
      </c>
      <c r="D27" s="671" t="s">
        <v>4063</v>
      </c>
      <c r="E27" s="671" t="s">
        <v>4064</v>
      </c>
      <c r="F27" s="238">
        <v>1</v>
      </c>
      <c r="G27" s="238">
        <v>23</v>
      </c>
      <c r="H27" s="238">
        <v>1</v>
      </c>
      <c r="I27" s="238">
        <v>23</v>
      </c>
      <c r="J27" s="238">
        <v>3</v>
      </c>
      <c r="K27" s="238">
        <v>72</v>
      </c>
      <c r="L27" s="238">
        <v>3.1304347826086958</v>
      </c>
      <c r="M27" s="238">
        <v>24</v>
      </c>
      <c r="N27" s="238"/>
      <c r="O27" s="238"/>
      <c r="P27" s="682"/>
      <c r="Q27" s="713"/>
    </row>
    <row r="28" spans="1:17" ht="14.4" customHeight="1" x14ac:dyDescent="0.3">
      <c r="A28" s="680" t="s">
        <v>4043</v>
      </c>
      <c r="B28" s="671" t="s">
        <v>4044</v>
      </c>
      <c r="C28" s="671" t="s">
        <v>3303</v>
      </c>
      <c r="D28" s="671" t="s">
        <v>4065</v>
      </c>
      <c r="E28" s="671" t="s">
        <v>4066</v>
      </c>
      <c r="F28" s="238">
        <v>3</v>
      </c>
      <c r="G28" s="238">
        <v>540</v>
      </c>
      <c r="H28" s="238">
        <v>1</v>
      </c>
      <c r="I28" s="238">
        <v>180</v>
      </c>
      <c r="J28" s="238">
        <v>4</v>
      </c>
      <c r="K28" s="238">
        <v>720</v>
      </c>
      <c r="L28" s="238">
        <v>1.3333333333333333</v>
      </c>
      <c r="M28" s="238">
        <v>180</v>
      </c>
      <c r="N28" s="238">
        <v>7</v>
      </c>
      <c r="O28" s="238">
        <v>1260</v>
      </c>
      <c r="P28" s="682">
        <v>2.3333333333333335</v>
      </c>
      <c r="Q28" s="713">
        <v>180</v>
      </c>
    </row>
    <row r="29" spans="1:17" ht="14.4" customHeight="1" x14ac:dyDescent="0.3">
      <c r="A29" s="680" t="s">
        <v>4043</v>
      </c>
      <c r="B29" s="671" t="s">
        <v>4044</v>
      </c>
      <c r="C29" s="671" t="s">
        <v>3303</v>
      </c>
      <c r="D29" s="671" t="s">
        <v>4067</v>
      </c>
      <c r="E29" s="671" t="s">
        <v>4068</v>
      </c>
      <c r="F29" s="238">
        <v>2</v>
      </c>
      <c r="G29" s="238">
        <v>506</v>
      </c>
      <c r="H29" s="238">
        <v>1</v>
      </c>
      <c r="I29" s="238">
        <v>253</v>
      </c>
      <c r="J29" s="238">
        <v>1</v>
      </c>
      <c r="K29" s="238">
        <v>253</v>
      </c>
      <c r="L29" s="238">
        <v>0.5</v>
      </c>
      <c r="M29" s="238">
        <v>253</v>
      </c>
      <c r="N29" s="238">
        <v>5</v>
      </c>
      <c r="O29" s="238">
        <v>1265</v>
      </c>
      <c r="P29" s="682">
        <v>2.5</v>
      </c>
      <c r="Q29" s="713">
        <v>253</v>
      </c>
    </row>
    <row r="30" spans="1:17" ht="14.4" customHeight="1" x14ac:dyDescent="0.3">
      <c r="A30" s="680" t="s">
        <v>4043</v>
      </c>
      <c r="B30" s="671" t="s">
        <v>4044</v>
      </c>
      <c r="C30" s="671" t="s">
        <v>3303</v>
      </c>
      <c r="D30" s="671" t="s">
        <v>4069</v>
      </c>
      <c r="E30" s="671" t="s">
        <v>4070</v>
      </c>
      <c r="F30" s="238">
        <v>117</v>
      </c>
      <c r="G30" s="238">
        <v>25272</v>
      </c>
      <c r="H30" s="238">
        <v>1</v>
      </c>
      <c r="I30" s="238">
        <v>216</v>
      </c>
      <c r="J30" s="238">
        <v>103</v>
      </c>
      <c r="K30" s="238">
        <v>22248</v>
      </c>
      <c r="L30" s="238">
        <v>0.88034188034188032</v>
      </c>
      <c r="M30" s="238">
        <v>216</v>
      </c>
      <c r="N30" s="238">
        <v>111</v>
      </c>
      <c r="O30" s="238">
        <v>23976</v>
      </c>
      <c r="P30" s="682">
        <v>0.94871794871794868</v>
      </c>
      <c r="Q30" s="713">
        <v>216</v>
      </c>
    </row>
    <row r="31" spans="1:17" ht="14.4" customHeight="1" x14ac:dyDescent="0.3">
      <c r="A31" s="680" t="s">
        <v>4043</v>
      </c>
      <c r="B31" s="671" t="s">
        <v>4044</v>
      </c>
      <c r="C31" s="671" t="s">
        <v>3303</v>
      </c>
      <c r="D31" s="671" t="s">
        <v>4071</v>
      </c>
      <c r="E31" s="671" t="s">
        <v>4072</v>
      </c>
      <c r="F31" s="238"/>
      <c r="G31" s="238"/>
      <c r="H31" s="238"/>
      <c r="I31" s="238"/>
      <c r="J31" s="238">
        <v>10</v>
      </c>
      <c r="K31" s="238">
        <v>500</v>
      </c>
      <c r="L31" s="238"/>
      <c r="M31" s="238">
        <v>50</v>
      </c>
      <c r="N31" s="238">
        <v>2</v>
      </c>
      <c r="O31" s="238">
        <v>100</v>
      </c>
      <c r="P31" s="682"/>
      <c r="Q31" s="713">
        <v>50</v>
      </c>
    </row>
    <row r="32" spans="1:17" ht="14.4" customHeight="1" x14ac:dyDescent="0.3">
      <c r="A32" s="680" t="s">
        <v>4073</v>
      </c>
      <c r="B32" s="671" t="s">
        <v>4074</v>
      </c>
      <c r="C32" s="671" t="s">
        <v>3303</v>
      </c>
      <c r="D32" s="671" t="s">
        <v>4075</v>
      </c>
      <c r="E32" s="671" t="s">
        <v>4076</v>
      </c>
      <c r="F32" s="238">
        <v>309</v>
      </c>
      <c r="G32" s="238">
        <v>8343</v>
      </c>
      <c r="H32" s="238">
        <v>1</v>
      </c>
      <c r="I32" s="238">
        <v>27</v>
      </c>
      <c r="J32" s="238">
        <v>206</v>
      </c>
      <c r="K32" s="238">
        <v>5562</v>
      </c>
      <c r="L32" s="238">
        <v>0.66666666666666663</v>
      </c>
      <c r="M32" s="238">
        <v>27</v>
      </c>
      <c r="N32" s="238">
        <v>269</v>
      </c>
      <c r="O32" s="238">
        <v>7263</v>
      </c>
      <c r="P32" s="682">
        <v>0.87055016181229772</v>
      </c>
      <c r="Q32" s="713">
        <v>27</v>
      </c>
    </row>
    <row r="33" spans="1:17" ht="14.4" customHeight="1" x14ac:dyDescent="0.3">
      <c r="A33" s="680" t="s">
        <v>4073</v>
      </c>
      <c r="B33" s="671" t="s">
        <v>4074</v>
      </c>
      <c r="C33" s="671" t="s">
        <v>3303</v>
      </c>
      <c r="D33" s="671" t="s">
        <v>4077</v>
      </c>
      <c r="E33" s="671" t="s">
        <v>4078</v>
      </c>
      <c r="F33" s="238">
        <v>4</v>
      </c>
      <c r="G33" s="238">
        <v>216</v>
      </c>
      <c r="H33" s="238">
        <v>1</v>
      </c>
      <c r="I33" s="238">
        <v>54</v>
      </c>
      <c r="J33" s="238">
        <v>4</v>
      </c>
      <c r="K33" s="238">
        <v>216</v>
      </c>
      <c r="L33" s="238">
        <v>1</v>
      </c>
      <c r="M33" s="238">
        <v>54</v>
      </c>
      <c r="N33" s="238">
        <v>3</v>
      </c>
      <c r="O33" s="238">
        <v>162</v>
      </c>
      <c r="P33" s="682">
        <v>0.75</v>
      </c>
      <c r="Q33" s="713">
        <v>54</v>
      </c>
    </row>
    <row r="34" spans="1:17" ht="14.4" customHeight="1" x14ac:dyDescent="0.3">
      <c r="A34" s="680" t="s">
        <v>4073</v>
      </c>
      <c r="B34" s="671" t="s">
        <v>4074</v>
      </c>
      <c r="C34" s="671" t="s">
        <v>3303</v>
      </c>
      <c r="D34" s="671" t="s">
        <v>4079</v>
      </c>
      <c r="E34" s="671" t="s">
        <v>4080</v>
      </c>
      <c r="F34" s="238">
        <v>284</v>
      </c>
      <c r="G34" s="238">
        <v>6816</v>
      </c>
      <c r="H34" s="238">
        <v>1</v>
      </c>
      <c r="I34" s="238">
        <v>24</v>
      </c>
      <c r="J34" s="238">
        <v>202</v>
      </c>
      <c r="K34" s="238">
        <v>4848</v>
      </c>
      <c r="L34" s="238">
        <v>0.71126760563380287</v>
      </c>
      <c r="M34" s="238">
        <v>24</v>
      </c>
      <c r="N34" s="238">
        <v>260</v>
      </c>
      <c r="O34" s="238">
        <v>6240</v>
      </c>
      <c r="P34" s="682">
        <v>0.91549295774647887</v>
      </c>
      <c r="Q34" s="713">
        <v>24</v>
      </c>
    </row>
    <row r="35" spans="1:17" ht="14.4" customHeight="1" x14ac:dyDescent="0.3">
      <c r="A35" s="680" t="s">
        <v>4073</v>
      </c>
      <c r="B35" s="671" t="s">
        <v>4074</v>
      </c>
      <c r="C35" s="671" t="s">
        <v>3303</v>
      </c>
      <c r="D35" s="671" t="s">
        <v>4081</v>
      </c>
      <c r="E35" s="671" t="s">
        <v>4082</v>
      </c>
      <c r="F35" s="238">
        <v>571</v>
      </c>
      <c r="G35" s="238">
        <v>15417</v>
      </c>
      <c r="H35" s="238">
        <v>1</v>
      </c>
      <c r="I35" s="238">
        <v>27</v>
      </c>
      <c r="J35" s="238">
        <v>450</v>
      </c>
      <c r="K35" s="238">
        <v>12150</v>
      </c>
      <c r="L35" s="238">
        <v>0.78809106830122588</v>
      </c>
      <c r="M35" s="238">
        <v>27</v>
      </c>
      <c r="N35" s="238">
        <v>514</v>
      </c>
      <c r="O35" s="238">
        <v>13878</v>
      </c>
      <c r="P35" s="682">
        <v>0.90017513134851135</v>
      </c>
      <c r="Q35" s="713">
        <v>27</v>
      </c>
    </row>
    <row r="36" spans="1:17" ht="14.4" customHeight="1" x14ac:dyDescent="0.3">
      <c r="A36" s="680" t="s">
        <v>4073</v>
      </c>
      <c r="B36" s="671" t="s">
        <v>4074</v>
      </c>
      <c r="C36" s="671" t="s">
        <v>3303</v>
      </c>
      <c r="D36" s="671" t="s">
        <v>3623</v>
      </c>
      <c r="E36" s="671" t="s">
        <v>3624</v>
      </c>
      <c r="F36" s="238"/>
      <c r="G36" s="238"/>
      <c r="H36" s="238"/>
      <c r="I36" s="238"/>
      <c r="J36" s="238">
        <v>6</v>
      </c>
      <c r="K36" s="238">
        <v>336</v>
      </c>
      <c r="L36" s="238"/>
      <c r="M36" s="238">
        <v>56</v>
      </c>
      <c r="N36" s="238"/>
      <c r="O36" s="238"/>
      <c r="P36" s="682"/>
      <c r="Q36" s="713"/>
    </row>
    <row r="37" spans="1:17" ht="14.4" customHeight="1" x14ac:dyDescent="0.3">
      <c r="A37" s="680" t="s">
        <v>4073</v>
      </c>
      <c r="B37" s="671" t="s">
        <v>4074</v>
      </c>
      <c r="C37" s="671" t="s">
        <v>3303</v>
      </c>
      <c r="D37" s="671" t="s">
        <v>4083</v>
      </c>
      <c r="E37" s="671" t="s">
        <v>4084</v>
      </c>
      <c r="F37" s="238">
        <v>58</v>
      </c>
      <c r="G37" s="238">
        <v>1566</v>
      </c>
      <c r="H37" s="238">
        <v>1</v>
      </c>
      <c r="I37" s="238">
        <v>27</v>
      </c>
      <c r="J37" s="238">
        <v>22</v>
      </c>
      <c r="K37" s="238">
        <v>594</v>
      </c>
      <c r="L37" s="238">
        <v>0.37931034482758619</v>
      </c>
      <c r="M37" s="238">
        <v>27</v>
      </c>
      <c r="N37" s="238">
        <v>37</v>
      </c>
      <c r="O37" s="238">
        <v>999</v>
      </c>
      <c r="P37" s="682">
        <v>0.63793103448275867</v>
      </c>
      <c r="Q37" s="713">
        <v>27</v>
      </c>
    </row>
    <row r="38" spans="1:17" ht="14.4" customHeight="1" x14ac:dyDescent="0.3">
      <c r="A38" s="680" t="s">
        <v>4073</v>
      </c>
      <c r="B38" s="671" t="s">
        <v>4074</v>
      </c>
      <c r="C38" s="671" t="s">
        <v>3303</v>
      </c>
      <c r="D38" s="671" t="s">
        <v>4085</v>
      </c>
      <c r="E38" s="671" t="s">
        <v>4086</v>
      </c>
      <c r="F38" s="238">
        <v>138</v>
      </c>
      <c r="G38" s="238">
        <v>3036</v>
      </c>
      <c r="H38" s="238">
        <v>1</v>
      </c>
      <c r="I38" s="238">
        <v>22</v>
      </c>
      <c r="J38" s="238">
        <v>90</v>
      </c>
      <c r="K38" s="238">
        <v>1980</v>
      </c>
      <c r="L38" s="238">
        <v>0.65217391304347827</v>
      </c>
      <c r="M38" s="238">
        <v>22</v>
      </c>
      <c r="N38" s="238">
        <v>102</v>
      </c>
      <c r="O38" s="238">
        <v>2244</v>
      </c>
      <c r="P38" s="682">
        <v>0.73913043478260865</v>
      </c>
      <c r="Q38" s="713">
        <v>22</v>
      </c>
    </row>
    <row r="39" spans="1:17" ht="14.4" customHeight="1" x14ac:dyDescent="0.3">
      <c r="A39" s="680" t="s">
        <v>4073</v>
      </c>
      <c r="B39" s="671" t="s">
        <v>4074</v>
      </c>
      <c r="C39" s="671" t="s">
        <v>3303</v>
      </c>
      <c r="D39" s="671" t="s">
        <v>4087</v>
      </c>
      <c r="E39" s="671" t="s">
        <v>4088</v>
      </c>
      <c r="F39" s="238">
        <v>2</v>
      </c>
      <c r="G39" s="238">
        <v>136</v>
      </c>
      <c r="H39" s="238">
        <v>1</v>
      </c>
      <c r="I39" s="238">
        <v>68</v>
      </c>
      <c r="J39" s="238"/>
      <c r="K39" s="238"/>
      <c r="L39" s="238"/>
      <c r="M39" s="238"/>
      <c r="N39" s="238">
        <v>1</v>
      </c>
      <c r="O39" s="238">
        <v>68</v>
      </c>
      <c r="P39" s="682">
        <v>0.5</v>
      </c>
      <c r="Q39" s="713">
        <v>68</v>
      </c>
    </row>
    <row r="40" spans="1:17" ht="14.4" customHeight="1" x14ac:dyDescent="0.3">
      <c r="A40" s="680" t="s">
        <v>4073</v>
      </c>
      <c r="B40" s="671" t="s">
        <v>4074</v>
      </c>
      <c r="C40" s="671" t="s">
        <v>3303</v>
      </c>
      <c r="D40" s="671" t="s">
        <v>4089</v>
      </c>
      <c r="E40" s="671" t="s">
        <v>4090</v>
      </c>
      <c r="F40" s="238">
        <v>374</v>
      </c>
      <c r="G40" s="238">
        <v>23188</v>
      </c>
      <c r="H40" s="238">
        <v>1</v>
      </c>
      <c r="I40" s="238">
        <v>62</v>
      </c>
      <c r="J40" s="238">
        <v>253</v>
      </c>
      <c r="K40" s="238">
        <v>15686</v>
      </c>
      <c r="L40" s="238">
        <v>0.67647058823529416</v>
      </c>
      <c r="M40" s="238">
        <v>62</v>
      </c>
      <c r="N40" s="238">
        <v>316</v>
      </c>
      <c r="O40" s="238">
        <v>19592</v>
      </c>
      <c r="P40" s="682">
        <v>0.84491978609625673</v>
      </c>
      <c r="Q40" s="713">
        <v>62</v>
      </c>
    </row>
    <row r="41" spans="1:17" ht="14.4" customHeight="1" x14ac:dyDescent="0.3">
      <c r="A41" s="680" t="s">
        <v>4073</v>
      </c>
      <c r="B41" s="671" t="s">
        <v>4074</v>
      </c>
      <c r="C41" s="671" t="s">
        <v>3303</v>
      </c>
      <c r="D41" s="671" t="s">
        <v>3625</v>
      </c>
      <c r="E41" s="671" t="s">
        <v>3626</v>
      </c>
      <c r="F41" s="238"/>
      <c r="G41" s="238"/>
      <c r="H41" s="238"/>
      <c r="I41" s="238"/>
      <c r="J41" s="238"/>
      <c r="K41" s="238"/>
      <c r="L41" s="238"/>
      <c r="M41" s="238"/>
      <c r="N41" s="238">
        <v>1</v>
      </c>
      <c r="O41" s="238">
        <v>61</v>
      </c>
      <c r="P41" s="682"/>
      <c r="Q41" s="713">
        <v>61</v>
      </c>
    </row>
    <row r="42" spans="1:17" ht="14.4" customHeight="1" x14ac:dyDescent="0.3">
      <c r="A42" s="680" t="s">
        <v>4073</v>
      </c>
      <c r="B42" s="671" t="s">
        <v>4074</v>
      </c>
      <c r="C42" s="671" t="s">
        <v>3303</v>
      </c>
      <c r="D42" s="671" t="s">
        <v>4091</v>
      </c>
      <c r="E42" s="671" t="s">
        <v>4092</v>
      </c>
      <c r="F42" s="238">
        <v>1</v>
      </c>
      <c r="G42" s="238">
        <v>394</v>
      </c>
      <c r="H42" s="238">
        <v>1</v>
      </c>
      <c r="I42" s="238">
        <v>394</v>
      </c>
      <c r="J42" s="238"/>
      <c r="K42" s="238"/>
      <c r="L42" s="238"/>
      <c r="M42" s="238"/>
      <c r="N42" s="238"/>
      <c r="O42" s="238"/>
      <c r="P42" s="682"/>
      <c r="Q42" s="713"/>
    </row>
    <row r="43" spans="1:17" ht="14.4" customHeight="1" x14ac:dyDescent="0.3">
      <c r="A43" s="680" t="s">
        <v>4073</v>
      </c>
      <c r="B43" s="671" t="s">
        <v>4074</v>
      </c>
      <c r="C43" s="671" t="s">
        <v>3303</v>
      </c>
      <c r="D43" s="671" t="s">
        <v>4093</v>
      </c>
      <c r="E43" s="671" t="s">
        <v>4094</v>
      </c>
      <c r="F43" s="238">
        <v>130</v>
      </c>
      <c r="G43" s="238">
        <v>128310</v>
      </c>
      <c r="H43" s="238">
        <v>1</v>
      </c>
      <c r="I43" s="238">
        <v>987</v>
      </c>
      <c r="J43" s="238">
        <v>60</v>
      </c>
      <c r="K43" s="238">
        <v>59220</v>
      </c>
      <c r="L43" s="238">
        <v>0.46153846153846156</v>
      </c>
      <c r="M43" s="238">
        <v>987</v>
      </c>
      <c r="N43" s="238">
        <v>53</v>
      </c>
      <c r="O43" s="238">
        <v>52311</v>
      </c>
      <c r="P43" s="682">
        <v>0.40769230769230769</v>
      </c>
      <c r="Q43" s="713">
        <v>987</v>
      </c>
    </row>
    <row r="44" spans="1:17" ht="14.4" customHeight="1" x14ac:dyDescent="0.3">
      <c r="A44" s="680" t="s">
        <v>4073</v>
      </c>
      <c r="B44" s="671" t="s">
        <v>4074</v>
      </c>
      <c r="C44" s="671" t="s">
        <v>3303</v>
      </c>
      <c r="D44" s="671" t="s">
        <v>4095</v>
      </c>
      <c r="E44" s="671" t="s">
        <v>4096</v>
      </c>
      <c r="F44" s="238"/>
      <c r="G44" s="238"/>
      <c r="H44" s="238"/>
      <c r="I44" s="238"/>
      <c r="J44" s="238">
        <v>1</v>
      </c>
      <c r="K44" s="238">
        <v>63</v>
      </c>
      <c r="L44" s="238"/>
      <c r="M44" s="238">
        <v>63</v>
      </c>
      <c r="N44" s="238"/>
      <c r="O44" s="238"/>
      <c r="P44" s="682"/>
      <c r="Q44" s="713"/>
    </row>
    <row r="45" spans="1:17" ht="14.4" customHeight="1" x14ac:dyDescent="0.3">
      <c r="A45" s="680" t="s">
        <v>4073</v>
      </c>
      <c r="B45" s="671" t="s">
        <v>4074</v>
      </c>
      <c r="C45" s="671" t="s">
        <v>3303</v>
      </c>
      <c r="D45" s="671" t="s">
        <v>4097</v>
      </c>
      <c r="E45" s="671" t="s">
        <v>4098</v>
      </c>
      <c r="F45" s="238">
        <v>2</v>
      </c>
      <c r="G45" s="238">
        <v>34</v>
      </c>
      <c r="H45" s="238">
        <v>1</v>
      </c>
      <c r="I45" s="238">
        <v>17</v>
      </c>
      <c r="J45" s="238">
        <v>1</v>
      </c>
      <c r="K45" s="238">
        <v>17</v>
      </c>
      <c r="L45" s="238">
        <v>0.5</v>
      </c>
      <c r="M45" s="238">
        <v>17</v>
      </c>
      <c r="N45" s="238"/>
      <c r="O45" s="238"/>
      <c r="P45" s="682"/>
      <c r="Q45" s="713"/>
    </row>
    <row r="46" spans="1:17" ht="14.4" customHeight="1" x14ac:dyDescent="0.3">
      <c r="A46" s="680" t="s">
        <v>4073</v>
      </c>
      <c r="B46" s="671" t="s">
        <v>4074</v>
      </c>
      <c r="C46" s="671" t="s">
        <v>3303</v>
      </c>
      <c r="D46" s="671" t="s">
        <v>4099</v>
      </c>
      <c r="E46" s="671" t="s">
        <v>4100</v>
      </c>
      <c r="F46" s="238">
        <v>2</v>
      </c>
      <c r="G46" s="238">
        <v>94</v>
      </c>
      <c r="H46" s="238">
        <v>1</v>
      </c>
      <c r="I46" s="238">
        <v>47</v>
      </c>
      <c r="J46" s="238">
        <v>1</v>
      </c>
      <c r="K46" s="238">
        <v>47</v>
      </c>
      <c r="L46" s="238">
        <v>0.5</v>
      </c>
      <c r="M46" s="238">
        <v>47</v>
      </c>
      <c r="N46" s="238"/>
      <c r="O46" s="238"/>
      <c r="P46" s="682"/>
      <c r="Q46" s="713"/>
    </row>
    <row r="47" spans="1:17" ht="14.4" customHeight="1" x14ac:dyDescent="0.3">
      <c r="A47" s="680" t="s">
        <v>4073</v>
      </c>
      <c r="B47" s="671" t="s">
        <v>4074</v>
      </c>
      <c r="C47" s="671" t="s">
        <v>3303</v>
      </c>
      <c r="D47" s="671" t="s">
        <v>4101</v>
      </c>
      <c r="E47" s="671" t="s">
        <v>4102</v>
      </c>
      <c r="F47" s="238">
        <v>105</v>
      </c>
      <c r="G47" s="238">
        <v>6300</v>
      </c>
      <c r="H47" s="238">
        <v>1</v>
      </c>
      <c r="I47" s="238">
        <v>60</v>
      </c>
      <c r="J47" s="238">
        <v>96</v>
      </c>
      <c r="K47" s="238">
        <v>5760</v>
      </c>
      <c r="L47" s="238">
        <v>0.91428571428571426</v>
      </c>
      <c r="M47" s="238">
        <v>60</v>
      </c>
      <c r="N47" s="238">
        <v>106</v>
      </c>
      <c r="O47" s="238">
        <v>6360</v>
      </c>
      <c r="P47" s="682">
        <v>1.0095238095238095</v>
      </c>
      <c r="Q47" s="713">
        <v>60</v>
      </c>
    </row>
    <row r="48" spans="1:17" ht="14.4" customHeight="1" x14ac:dyDescent="0.3">
      <c r="A48" s="680" t="s">
        <v>4073</v>
      </c>
      <c r="B48" s="671" t="s">
        <v>4074</v>
      </c>
      <c r="C48" s="671" t="s">
        <v>3303</v>
      </c>
      <c r="D48" s="671" t="s">
        <v>4103</v>
      </c>
      <c r="E48" s="671" t="s">
        <v>4104</v>
      </c>
      <c r="F48" s="238"/>
      <c r="G48" s="238"/>
      <c r="H48" s="238"/>
      <c r="I48" s="238"/>
      <c r="J48" s="238">
        <v>2</v>
      </c>
      <c r="K48" s="238">
        <v>38</v>
      </c>
      <c r="L48" s="238"/>
      <c r="M48" s="238">
        <v>19</v>
      </c>
      <c r="N48" s="238"/>
      <c r="O48" s="238"/>
      <c r="P48" s="682"/>
      <c r="Q48" s="713"/>
    </row>
    <row r="49" spans="1:17" ht="14.4" customHeight="1" x14ac:dyDescent="0.3">
      <c r="A49" s="680" t="s">
        <v>4073</v>
      </c>
      <c r="B49" s="671" t="s">
        <v>4074</v>
      </c>
      <c r="C49" s="671" t="s">
        <v>3303</v>
      </c>
      <c r="D49" s="671" t="s">
        <v>4105</v>
      </c>
      <c r="E49" s="671" t="s">
        <v>4106</v>
      </c>
      <c r="F49" s="238"/>
      <c r="G49" s="238"/>
      <c r="H49" s="238"/>
      <c r="I49" s="238"/>
      <c r="J49" s="238">
        <v>1</v>
      </c>
      <c r="K49" s="238">
        <v>312</v>
      </c>
      <c r="L49" s="238"/>
      <c r="M49" s="238">
        <v>312</v>
      </c>
      <c r="N49" s="238"/>
      <c r="O49" s="238"/>
      <c r="P49" s="682"/>
      <c r="Q49" s="713"/>
    </row>
    <row r="50" spans="1:17" ht="14.4" customHeight="1" x14ac:dyDescent="0.3">
      <c r="A50" s="680" t="s">
        <v>4073</v>
      </c>
      <c r="B50" s="671" t="s">
        <v>4074</v>
      </c>
      <c r="C50" s="671" t="s">
        <v>3303</v>
      </c>
      <c r="D50" s="671" t="s">
        <v>4107</v>
      </c>
      <c r="E50" s="671" t="s">
        <v>4108</v>
      </c>
      <c r="F50" s="238">
        <v>3</v>
      </c>
      <c r="G50" s="238">
        <v>2550</v>
      </c>
      <c r="H50" s="238">
        <v>1</v>
      </c>
      <c r="I50" s="238">
        <v>850</v>
      </c>
      <c r="J50" s="238">
        <v>2</v>
      </c>
      <c r="K50" s="238">
        <v>1702</v>
      </c>
      <c r="L50" s="238">
        <v>0.66745098039215689</v>
      </c>
      <c r="M50" s="238">
        <v>851</v>
      </c>
      <c r="N50" s="238">
        <v>1</v>
      </c>
      <c r="O50" s="238">
        <v>851</v>
      </c>
      <c r="P50" s="682">
        <v>0.33372549019607844</v>
      </c>
      <c r="Q50" s="713">
        <v>851</v>
      </c>
    </row>
    <row r="51" spans="1:17" ht="14.4" customHeight="1" x14ac:dyDescent="0.3">
      <c r="A51" s="680" t="s">
        <v>4073</v>
      </c>
      <c r="B51" s="671" t="s">
        <v>4074</v>
      </c>
      <c r="C51" s="671" t="s">
        <v>3303</v>
      </c>
      <c r="D51" s="671" t="s">
        <v>4109</v>
      </c>
      <c r="E51" s="671" t="s">
        <v>4110</v>
      </c>
      <c r="F51" s="238"/>
      <c r="G51" s="238"/>
      <c r="H51" s="238"/>
      <c r="I51" s="238"/>
      <c r="J51" s="238">
        <v>1</v>
      </c>
      <c r="K51" s="238">
        <v>349</v>
      </c>
      <c r="L51" s="238"/>
      <c r="M51" s="238">
        <v>349</v>
      </c>
      <c r="N51" s="238"/>
      <c r="O51" s="238"/>
      <c r="P51" s="682"/>
      <c r="Q51" s="713"/>
    </row>
    <row r="52" spans="1:17" ht="14.4" customHeight="1" x14ac:dyDescent="0.3">
      <c r="A52" s="680" t="s">
        <v>4073</v>
      </c>
      <c r="B52" s="671" t="s">
        <v>4074</v>
      </c>
      <c r="C52" s="671" t="s">
        <v>3303</v>
      </c>
      <c r="D52" s="671" t="s">
        <v>4111</v>
      </c>
      <c r="E52" s="671" t="s">
        <v>4112</v>
      </c>
      <c r="F52" s="238">
        <v>8</v>
      </c>
      <c r="G52" s="238">
        <v>6256</v>
      </c>
      <c r="H52" s="238">
        <v>1</v>
      </c>
      <c r="I52" s="238">
        <v>782</v>
      </c>
      <c r="J52" s="238">
        <v>8</v>
      </c>
      <c r="K52" s="238">
        <v>6264</v>
      </c>
      <c r="L52" s="238">
        <v>1.0012787723785166</v>
      </c>
      <c r="M52" s="238">
        <v>783</v>
      </c>
      <c r="N52" s="238">
        <v>5</v>
      </c>
      <c r="O52" s="238">
        <v>3915</v>
      </c>
      <c r="P52" s="682">
        <v>0.6257992327365729</v>
      </c>
      <c r="Q52" s="713">
        <v>783</v>
      </c>
    </row>
    <row r="53" spans="1:17" ht="14.4" customHeight="1" x14ac:dyDescent="0.3">
      <c r="A53" s="680" t="s">
        <v>4073</v>
      </c>
      <c r="B53" s="671" t="s">
        <v>4074</v>
      </c>
      <c r="C53" s="671" t="s">
        <v>3303</v>
      </c>
      <c r="D53" s="671" t="s">
        <v>4113</v>
      </c>
      <c r="E53" s="671" t="s">
        <v>4114</v>
      </c>
      <c r="F53" s="238"/>
      <c r="G53" s="238"/>
      <c r="H53" s="238"/>
      <c r="I53" s="238"/>
      <c r="J53" s="238">
        <v>1</v>
      </c>
      <c r="K53" s="238">
        <v>227</v>
      </c>
      <c r="L53" s="238"/>
      <c r="M53" s="238">
        <v>227</v>
      </c>
      <c r="N53" s="238"/>
      <c r="O53" s="238"/>
      <c r="P53" s="682"/>
      <c r="Q53" s="713"/>
    </row>
    <row r="54" spans="1:17" ht="14.4" customHeight="1" x14ac:dyDescent="0.3">
      <c r="A54" s="680" t="s">
        <v>4073</v>
      </c>
      <c r="B54" s="671" t="s">
        <v>4074</v>
      </c>
      <c r="C54" s="671" t="s">
        <v>3303</v>
      </c>
      <c r="D54" s="671" t="s">
        <v>4115</v>
      </c>
      <c r="E54" s="671" t="s">
        <v>4116</v>
      </c>
      <c r="F54" s="238"/>
      <c r="G54" s="238"/>
      <c r="H54" s="238"/>
      <c r="I54" s="238"/>
      <c r="J54" s="238">
        <v>1</v>
      </c>
      <c r="K54" s="238">
        <v>560</v>
      </c>
      <c r="L54" s="238"/>
      <c r="M54" s="238">
        <v>560</v>
      </c>
      <c r="N54" s="238"/>
      <c r="O54" s="238"/>
      <c r="P54" s="682"/>
      <c r="Q54" s="713"/>
    </row>
    <row r="55" spans="1:17" ht="14.4" customHeight="1" x14ac:dyDescent="0.3">
      <c r="A55" s="680" t="s">
        <v>4073</v>
      </c>
      <c r="B55" s="671" t="s">
        <v>4074</v>
      </c>
      <c r="C55" s="671" t="s">
        <v>3303</v>
      </c>
      <c r="D55" s="671" t="s">
        <v>4117</v>
      </c>
      <c r="E55" s="671" t="s">
        <v>4118</v>
      </c>
      <c r="F55" s="238">
        <v>1</v>
      </c>
      <c r="G55" s="238">
        <v>130</v>
      </c>
      <c r="H55" s="238">
        <v>1</v>
      </c>
      <c r="I55" s="238">
        <v>130</v>
      </c>
      <c r="J55" s="238"/>
      <c r="K55" s="238"/>
      <c r="L55" s="238"/>
      <c r="M55" s="238"/>
      <c r="N55" s="238"/>
      <c r="O55" s="238"/>
      <c r="P55" s="682"/>
      <c r="Q55" s="713"/>
    </row>
    <row r="56" spans="1:17" ht="14.4" customHeight="1" x14ac:dyDescent="0.3">
      <c r="A56" s="680" t="s">
        <v>4073</v>
      </c>
      <c r="B56" s="671" t="s">
        <v>4074</v>
      </c>
      <c r="C56" s="671" t="s">
        <v>3303</v>
      </c>
      <c r="D56" s="671" t="s">
        <v>4119</v>
      </c>
      <c r="E56" s="671" t="s">
        <v>4120</v>
      </c>
      <c r="F56" s="238"/>
      <c r="G56" s="238"/>
      <c r="H56" s="238"/>
      <c r="I56" s="238"/>
      <c r="J56" s="238">
        <v>1</v>
      </c>
      <c r="K56" s="238">
        <v>394</v>
      </c>
      <c r="L56" s="238"/>
      <c r="M56" s="238">
        <v>394</v>
      </c>
      <c r="N56" s="238"/>
      <c r="O56" s="238"/>
      <c r="P56" s="682"/>
      <c r="Q56" s="713"/>
    </row>
    <row r="57" spans="1:17" ht="14.4" customHeight="1" x14ac:dyDescent="0.3">
      <c r="A57" s="680" t="s">
        <v>4073</v>
      </c>
      <c r="B57" s="671" t="s">
        <v>4074</v>
      </c>
      <c r="C57" s="671" t="s">
        <v>3303</v>
      </c>
      <c r="D57" s="671" t="s">
        <v>3694</v>
      </c>
      <c r="E57" s="671" t="s">
        <v>3695</v>
      </c>
      <c r="F57" s="238">
        <v>138</v>
      </c>
      <c r="G57" s="238">
        <v>4002</v>
      </c>
      <c r="H57" s="238">
        <v>1</v>
      </c>
      <c r="I57" s="238">
        <v>29</v>
      </c>
      <c r="J57" s="238">
        <v>90</v>
      </c>
      <c r="K57" s="238">
        <v>2610</v>
      </c>
      <c r="L57" s="238">
        <v>0.65217391304347827</v>
      </c>
      <c r="M57" s="238">
        <v>29</v>
      </c>
      <c r="N57" s="238">
        <v>102</v>
      </c>
      <c r="O57" s="238">
        <v>2958</v>
      </c>
      <c r="P57" s="682">
        <v>0.73913043478260865</v>
      </c>
      <c r="Q57" s="713">
        <v>29</v>
      </c>
    </row>
    <row r="58" spans="1:17" ht="14.4" customHeight="1" x14ac:dyDescent="0.3">
      <c r="A58" s="680" t="s">
        <v>4073</v>
      </c>
      <c r="B58" s="671" t="s">
        <v>4074</v>
      </c>
      <c r="C58" s="671" t="s">
        <v>3303</v>
      </c>
      <c r="D58" s="671" t="s">
        <v>4121</v>
      </c>
      <c r="E58" s="671" t="s">
        <v>4122</v>
      </c>
      <c r="F58" s="238">
        <v>105</v>
      </c>
      <c r="G58" s="238">
        <v>5250</v>
      </c>
      <c r="H58" s="238">
        <v>1</v>
      </c>
      <c r="I58" s="238">
        <v>50</v>
      </c>
      <c r="J58" s="238">
        <v>96</v>
      </c>
      <c r="K58" s="238">
        <v>4800</v>
      </c>
      <c r="L58" s="238">
        <v>0.91428571428571426</v>
      </c>
      <c r="M58" s="238">
        <v>50</v>
      </c>
      <c r="N58" s="238">
        <v>106</v>
      </c>
      <c r="O58" s="238">
        <v>5300</v>
      </c>
      <c r="P58" s="682">
        <v>1.0095238095238095</v>
      </c>
      <c r="Q58" s="713">
        <v>50</v>
      </c>
    </row>
    <row r="59" spans="1:17" ht="14.4" customHeight="1" x14ac:dyDescent="0.3">
      <c r="A59" s="680" t="s">
        <v>4073</v>
      </c>
      <c r="B59" s="671" t="s">
        <v>4074</v>
      </c>
      <c r="C59" s="671" t="s">
        <v>3303</v>
      </c>
      <c r="D59" s="671" t="s">
        <v>4123</v>
      </c>
      <c r="E59" s="671" t="s">
        <v>4124</v>
      </c>
      <c r="F59" s="238">
        <v>323</v>
      </c>
      <c r="G59" s="238">
        <v>3876</v>
      </c>
      <c r="H59" s="238">
        <v>1</v>
      </c>
      <c r="I59" s="238">
        <v>12</v>
      </c>
      <c r="J59" s="238">
        <v>184</v>
      </c>
      <c r="K59" s="238">
        <v>2208</v>
      </c>
      <c r="L59" s="238">
        <v>0.56965944272445823</v>
      </c>
      <c r="M59" s="238">
        <v>12</v>
      </c>
      <c r="N59" s="238">
        <v>233</v>
      </c>
      <c r="O59" s="238">
        <v>2796</v>
      </c>
      <c r="P59" s="682">
        <v>0.72136222910216719</v>
      </c>
      <c r="Q59" s="713">
        <v>12</v>
      </c>
    </row>
    <row r="60" spans="1:17" ht="14.4" customHeight="1" x14ac:dyDescent="0.3">
      <c r="A60" s="680" t="s">
        <v>4073</v>
      </c>
      <c r="B60" s="671" t="s">
        <v>4074</v>
      </c>
      <c r="C60" s="671" t="s">
        <v>3303</v>
      </c>
      <c r="D60" s="671" t="s">
        <v>4125</v>
      </c>
      <c r="E60" s="671" t="s">
        <v>4126</v>
      </c>
      <c r="F60" s="238">
        <v>6</v>
      </c>
      <c r="G60" s="238">
        <v>1080</v>
      </c>
      <c r="H60" s="238">
        <v>1</v>
      </c>
      <c r="I60" s="238">
        <v>180</v>
      </c>
      <c r="J60" s="238">
        <v>5</v>
      </c>
      <c r="K60" s="238">
        <v>905</v>
      </c>
      <c r="L60" s="238">
        <v>0.83796296296296291</v>
      </c>
      <c r="M60" s="238">
        <v>181</v>
      </c>
      <c r="N60" s="238">
        <v>4</v>
      </c>
      <c r="O60" s="238">
        <v>724</v>
      </c>
      <c r="P60" s="682">
        <v>0.67037037037037039</v>
      </c>
      <c r="Q60" s="713">
        <v>181</v>
      </c>
    </row>
    <row r="61" spans="1:17" ht="14.4" customHeight="1" x14ac:dyDescent="0.3">
      <c r="A61" s="680" t="s">
        <v>4073</v>
      </c>
      <c r="B61" s="671" t="s">
        <v>4074</v>
      </c>
      <c r="C61" s="671" t="s">
        <v>3303</v>
      </c>
      <c r="D61" s="671" t="s">
        <v>3698</v>
      </c>
      <c r="E61" s="671" t="s">
        <v>3699</v>
      </c>
      <c r="F61" s="238"/>
      <c r="G61" s="238"/>
      <c r="H61" s="238"/>
      <c r="I61" s="238"/>
      <c r="J61" s="238">
        <v>6</v>
      </c>
      <c r="K61" s="238">
        <v>426</v>
      </c>
      <c r="L61" s="238"/>
      <c r="M61" s="238">
        <v>71</v>
      </c>
      <c r="N61" s="238"/>
      <c r="O61" s="238"/>
      <c r="P61" s="682"/>
      <c r="Q61" s="713"/>
    </row>
    <row r="62" spans="1:17" ht="14.4" customHeight="1" x14ac:dyDescent="0.3">
      <c r="A62" s="680" t="s">
        <v>4073</v>
      </c>
      <c r="B62" s="671" t="s">
        <v>4074</v>
      </c>
      <c r="C62" s="671" t="s">
        <v>3303</v>
      </c>
      <c r="D62" s="671" t="s">
        <v>4127</v>
      </c>
      <c r="E62" s="671" t="s">
        <v>4128</v>
      </c>
      <c r="F62" s="238">
        <v>5</v>
      </c>
      <c r="G62" s="238">
        <v>905</v>
      </c>
      <c r="H62" s="238">
        <v>1</v>
      </c>
      <c r="I62" s="238">
        <v>181</v>
      </c>
      <c r="J62" s="238">
        <v>3</v>
      </c>
      <c r="K62" s="238">
        <v>546</v>
      </c>
      <c r="L62" s="238">
        <v>0.60331491712707186</v>
      </c>
      <c r="M62" s="238">
        <v>182</v>
      </c>
      <c r="N62" s="238">
        <v>3</v>
      </c>
      <c r="O62" s="238">
        <v>546</v>
      </c>
      <c r="P62" s="682">
        <v>0.60331491712707186</v>
      </c>
      <c r="Q62" s="713">
        <v>182</v>
      </c>
    </row>
    <row r="63" spans="1:17" ht="14.4" customHeight="1" x14ac:dyDescent="0.3">
      <c r="A63" s="680" t="s">
        <v>4073</v>
      </c>
      <c r="B63" s="671" t="s">
        <v>4074</v>
      </c>
      <c r="C63" s="671" t="s">
        <v>3303</v>
      </c>
      <c r="D63" s="671" t="s">
        <v>4129</v>
      </c>
      <c r="E63" s="671" t="s">
        <v>4130</v>
      </c>
      <c r="F63" s="238">
        <v>825</v>
      </c>
      <c r="G63" s="238">
        <v>121275</v>
      </c>
      <c r="H63" s="238">
        <v>1</v>
      </c>
      <c r="I63" s="238">
        <v>147</v>
      </c>
      <c r="J63" s="238">
        <v>626</v>
      </c>
      <c r="K63" s="238">
        <v>92022</v>
      </c>
      <c r="L63" s="238">
        <v>0.75878787878787879</v>
      </c>
      <c r="M63" s="238">
        <v>147</v>
      </c>
      <c r="N63" s="238">
        <v>698</v>
      </c>
      <c r="O63" s="238">
        <v>102606</v>
      </c>
      <c r="P63" s="682">
        <v>0.84606060606060607</v>
      </c>
      <c r="Q63" s="713">
        <v>147</v>
      </c>
    </row>
    <row r="64" spans="1:17" ht="14.4" customHeight="1" x14ac:dyDescent="0.3">
      <c r="A64" s="680" t="s">
        <v>4073</v>
      </c>
      <c r="B64" s="671" t="s">
        <v>4074</v>
      </c>
      <c r="C64" s="671" t="s">
        <v>3303</v>
      </c>
      <c r="D64" s="671" t="s">
        <v>3700</v>
      </c>
      <c r="E64" s="671" t="s">
        <v>3701</v>
      </c>
      <c r="F64" s="238">
        <v>138</v>
      </c>
      <c r="G64" s="238">
        <v>4002</v>
      </c>
      <c r="H64" s="238">
        <v>1</v>
      </c>
      <c r="I64" s="238">
        <v>29</v>
      </c>
      <c r="J64" s="238">
        <v>90</v>
      </c>
      <c r="K64" s="238">
        <v>2610</v>
      </c>
      <c r="L64" s="238">
        <v>0.65217391304347827</v>
      </c>
      <c r="M64" s="238">
        <v>29</v>
      </c>
      <c r="N64" s="238">
        <v>103</v>
      </c>
      <c r="O64" s="238">
        <v>2987</v>
      </c>
      <c r="P64" s="682">
        <v>0.74637681159420288</v>
      </c>
      <c r="Q64" s="713">
        <v>29</v>
      </c>
    </row>
    <row r="65" spans="1:17" ht="14.4" customHeight="1" x14ac:dyDescent="0.3">
      <c r="A65" s="680" t="s">
        <v>4073</v>
      </c>
      <c r="B65" s="671" t="s">
        <v>4074</v>
      </c>
      <c r="C65" s="671" t="s">
        <v>3303</v>
      </c>
      <c r="D65" s="671" t="s">
        <v>4131</v>
      </c>
      <c r="E65" s="671" t="s">
        <v>4132</v>
      </c>
      <c r="F65" s="238">
        <v>59</v>
      </c>
      <c r="G65" s="238">
        <v>1829</v>
      </c>
      <c r="H65" s="238">
        <v>1</v>
      </c>
      <c r="I65" s="238">
        <v>31</v>
      </c>
      <c r="J65" s="238">
        <v>26</v>
      </c>
      <c r="K65" s="238">
        <v>806</v>
      </c>
      <c r="L65" s="238">
        <v>0.44067796610169491</v>
      </c>
      <c r="M65" s="238">
        <v>31</v>
      </c>
      <c r="N65" s="238">
        <v>44</v>
      </c>
      <c r="O65" s="238">
        <v>1364</v>
      </c>
      <c r="P65" s="682">
        <v>0.74576271186440679</v>
      </c>
      <c r="Q65" s="713">
        <v>31</v>
      </c>
    </row>
    <row r="66" spans="1:17" ht="14.4" customHeight="1" x14ac:dyDescent="0.3">
      <c r="A66" s="680" t="s">
        <v>4073</v>
      </c>
      <c r="B66" s="671" t="s">
        <v>4074</v>
      </c>
      <c r="C66" s="671" t="s">
        <v>3303</v>
      </c>
      <c r="D66" s="671" t="s">
        <v>4133</v>
      </c>
      <c r="E66" s="671" t="s">
        <v>4134</v>
      </c>
      <c r="F66" s="238">
        <v>310</v>
      </c>
      <c r="G66" s="238">
        <v>8370</v>
      </c>
      <c r="H66" s="238">
        <v>1</v>
      </c>
      <c r="I66" s="238">
        <v>27</v>
      </c>
      <c r="J66" s="238">
        <v>206</v>
      </c>
      <c r="K66" s="238">
        <v>5562</v>
      </c>
      <c r="L66" s="238">
        <v>0.6645161290322581</v>
      </c>
      <c r="M66" s="238">
        <v>27</v>
      </c>
      <c r="N66" s="238">
        <v>268</v>
      </c>
      <c r="O66" s="238">
        <v>7236</v>
      </c>
      <c r="P66" s="682">
        <v>0.86451612903225805</v>
      </c>
      <c r="Q66" s="713">
        <v>27</v>
      </c>
    </row>
    <row r="67" spans="1:17" ht="14.4" customHeight="1" x14ac:dyDescent="0.3">
      <c r="A67" s="680" t="s">
        <v>4073</v>
      </c>
      <c r="B67" s="671" t="s">
        <v>4074</v>
      </c>
      <c r="C67" s="671" t="s">
        <v>3303</v>
      </c>
      <c r="D67" s="671" t="s">
        <v>4135</v>
      </c>
      <c r="E67" s="671" t="s">
        <v>4136</v>
      </c>
      <c r="F67" s="238">
        <v>1</v>
      </c>
      <c r="G67" s="238">
        <v>253</v>
      </c>
      <c r="H67" s="238">
        <v>1</v>
      </c>
      <c r="I67" s="238">
        <v>253</v>
      </c>
      <c r="J67" s="238"/>
      <c r="K67" s="238"/>
      <c r="L67" s="238"/>
      <c r="M67" s="238"/>
      <c r="N67" s="238"/>
      <c r="O67" s="238"/>
      <c r="P67" s="682"/>
      <c r="Q67" s="713"/>
    </row>
    <row r="68" spans="1:17" ht="14.4" customHeight="1" x14ac:dyDescent="0.3">
      <c r="A68" s="680" t="s">
        <v>4073</v>
      </c>
      <c r="B68" s="671" t="s">
        <v>4074</v>
      </c>
      <c r="C68" s="671" t="s">
        <v>3303</v>
      </c>
      <c r="D68" s="671" t="s">
        <v>4137</v>
      </c>
      <c r="E68" s="671" t="s">
        <v>4138</v>
      </c>
      <c r="F68" s="238">
        <v>571</v>
      </c>
      <c r="G68" s="238">
        <v>14275</v>
      </c>
      <c r="H68" s="238">
        <v>1</v>
      </c>
      <c r="I68" s="238">
        <v>25</v>
      </c>
      <c r="J68" s="238">
        <v>450</v>
      </c>
      <c r="K68" s="238">
        <v>11250</v>
      </c>
      <c r="L68" s="238">
        <v>0.78809106830122588</v>
      </c>
      <c r="M68" s="238">
        <v>25</v>
      </c>
      <c r="N68" s="238">
        <v>514</v>
      </c>
      <c r="O68" s="238">
        <v>12850</v>
      </c>
      <c r="P68" s="682">
        <v>0.90017513134851135</v>
      </c>
      <c r="Q68" s="713">
        <v>25</v>
      </c>
    </row>
    <row r="69" spans="1:17" ht="14.4" customHeight="1" x14ac:dyDescent="0.3">
      <c r="A69" s="680" t="s">
        <v>4073</v>
      </c>
      <c r="B69" s="671" t="s">
        <v>4074</v>
      </c>
      <c r="C69" s="671" t="s">
        <v>3303</v>
      </c>
      <c r="D69" s="671" t="s">
        <v>4139</v>
      </c>
      <c r="E69" s="671" t="s">
        <v>4140</v>
      </c>
      <c r="F69" s="238">
        <v>4</v>
      </c>
      <c r="G69" s="238">
        <v>132</v>
      </c>
      <c r="H69" s="238">
        <v>1</v>
      </c>
      <c r="I69" s="238">
        <v>33</v>
      </c>
      <c r="J69" s="238"/>
      <c r="K69" s="238"/>
      <c r="L69" s="238"/>
      <c r="M69" s="238"/>
      <c r="N69" s="238">
        <v>1</v>
      </c>
      <c r="O69" s="238">
        <v>33</v>
      </c>
      <c r="P69" s="682">
        <v>0.25</v>
      </c>
      <c r="Q69" s="713">
        <v>33</v>
      </c>
    </row>
    <row r="70" spans="1:17" ht="14.4" customHeight="1" x14ac:dyDescent="0.3">
      <c r="A70" s="680" t="s">
        <v>4073</v>
      </c>
      <c r="B70" s="671" t="s">
        <v>4074</v>
      </c>
      <c r="C70" s="671" t="s">
        <v>3303</v>
      </c>
      <c r="D70" s="671" t="s">
        <v>4141</v>
      </c>
      <c r="E70" s="671" t="s">
        <v>4142</v>
      </c>
      <c r="F70" s="238">
        <v>5</v>
      </c>
      <c r="G70" s="238">
        <v>150</v>
      </c>
      <c r="H70" s="238">
        <v>1</v>
      </c>
      <c r="I70" s="238">
        <v>30</v>
      </c>
      <c r="J70" s="238">
        <v>2</v>
      </c>
      <c r="K70" s="238">
        <v>60</v>
      </c>
      <c r="L70" s="238">
        <v>0.4</v>
      </c>
      <c r="M70" s="238">
        <v>30</v>
      </c>
      <c r="N70" s="238">
        <v>1</v>
      </c>
      <c r="O70" s="238">
        <v>30</v>
      </c>
      <c r="P70" s="682">
        <v>0.2</v>
      </c>
      <c r="Q70" s="713">
        <v>30</v>
      </c>
    </row>
    <row r="71" spans="1:17" ht="14.4" customHeight="1" x14ac:dyDescent="0.3">
      <c r="A71" s="680" t="s">
        <v>4073</v>
      </c>
      <c r="B71" s="671" t="s">
        <v>4074</v>
      </c>
      <c r="C71" s="671" t="s">
        <v>3303</v>
      </c>
      <c r="D71" s="671" t="s">
        <v>4143</v>
      </c>
      <c r="E71" s="671" t="s">
        <v>4144</v>
      </c>
      <c r="F71" s="238">
        <v>2</v>
      </c>
      <c r="G71" s="238">
        <v>408</v>
      </c>
      <c r="H71" s="238">
        <v>1</v>
      </c>
      <c r="I71" s="238">
        <v>204</v>
      </c>
      <c r="J71" s="238"/>
      <c r="K71" s="238"/>
      <c r="L71" s="238"/>
      <c r="M71" s="238"/>
      <c r="N71" s="238">
        <v>5</v>
      </c>
      <c r="O71" s="238">
        <v>1020</v>
      </c>
      <c r="P71" s="682">
        <v>2.5</v>
      </c>
      <c r="Q71" s="713">
        <v>204</v>
      </c>
    </row>
    <row r="72" spans="1:17" ht="14.4" customHeight="1" x14ac:dyDescent="0.3">
      <c r="A72" s="680" t="s">
        <v>4073</v>
      </c>
      <c r="B72" s="671" t="s">
        <v>4074</v>
      </c>
      <c r="C72" s="671" t="s">
        <v>3303</v>
      </c>
      <c r="D72" s="671" t="s">
        <v>4145</v>
      </c>
      <c r="E72" s="671" t="s">
        <v>4146</v>
      </c>
      <c r="F72" s="238"/>
      <c r="G72" s="238"/>
      <c r="H72" s="238"/>
      <c r="I72" s="238"/>
      <c r="J72" s="238">
        <v>8</v>
      </c>
      <c r="K72" s="238">
        <v>208</v>
      </c>
      <c r="L72" s="238"/>
      <c r="M72" s="238">
        <v>26</v>
      </c>
      <c r="N72" s="238">
        <v>5</v>
      </c>
      <c r="O72" s="238">
        <v>130</v>
      </c>
      <c r="P72" s="682"/>
      <c r="Q72" s="713">
        <v>26</v>
      </c>
    </row>
    <row r="73" spans="1:17" ht="14.4" customHeight="1" x14ac:dyDescent="0.3">
      <c r="A73" s="680" t="s">
        <v>4073</v>
      </c>
      <c r="B73" s="671" t="s">
        <v>4074</v>
      </c>
      <c r="C73" s="671" t="s">
        <v>3303</v>
      </c>
      <c r="D73" s="671" t="s">
        <v>4147</v>
      </c>
      <c r="E73" s="671" t="s">
        <v>4148</v>
      </c>
      <c r="F73" s="238">
        <v>5</v>
      </c>
      <c r="G73" s="238">
        <v>420</v>
      </c>
      <c r="H73" s="238">
        <v>1</v>
      </c>
      <c r="I73" s="238">
        <v>84</v>
      </c>
      <c r="J73" s="238">
        <v>3</v>
      </c>
      <c r="K73" s="238">
        <v>252</v>
      </c>
      <c r="L73" s="238">
        <v>0.6</v>
      </c>
      <c r="M73" s="238">
        <v>84</v>
      </c>
      <c r="N73" s="238">
        <v>3</v>
      </c>
      <c r="O73" s="238">
        <v>252</v>
      </c>
      <c r="P73" s="682">
        <v>0.6</v>
      </c>
      <c r="Q73" s="713">
        <v>84</v>
      </c>
    </row>
    <row r="74" spans="1:17" ht="14.4" customHeight="1" x14ac:dyDescent="0.3">
      <c r="A74" s="680" t="s">
        <v>4073</v>
      </c>
      <c r="B74" s="671" t="s">
        <v>4074</v>
      </c>
      <c r="C74" s="671" t="s">
        <v>3303</v>
      </c>
      <c r="D74" s="671" t="s">
        <v>4149</v>
      </c>
      <c r="E74" s="671" t="s">
        <v>4150</v>
      </c>
      <c r="F74" s="238">
        <v>6</v>
      </c>
      <c r="G74" s="238">
        <v>1038</v>
      </c>
      <c r="H74" s="238">
        <v>1</v>
      </c>
      <c r="I74" s="238">
        <v>173</v>
      </c>
      <c r="J74" s="238">
        <v>7</v>
      </c>
      <c r="K74" s="238">
        <v>1218</v>
      </c>
      <c r="L74" s="238">
        <v>1.1734104046242775</v>
      </c>
      <c r="M74" s="238">
        <v>174</v>
      </c>
      <c r="N74" s="238">
        <v>5</v>
      </c>
      <c r="O74" s="238">
        <v>870</v>
      </c>
      <c r="P74" s="682">
        <v>0.83815028901734101</v>
      </c>
      <c r="Q74" s="713">
        <v>174</v>
      </c>
    </row>
    <row r="75" spans="1:17" ht="14.4" customHeight="1" x14ac:dyDescent="0.3">
      <c r="A75" s="680" t="s">
        <v>4073</v>
      </c>
      <c r="B75" s="671" t="s">
        <v>4074</v>
      </c>
      <c r="C75" s="671" t="s">
        <v>3303</v>
      </c>
      <c r="D75" s="671" t="s">
        <v>4151</v>
      </c>
      <c r="E75" s="671" t="s">
        <v>4152</v>
      </c>
      <c r="F75" s="238"/>
      <c r="G75" s="238"/>
      <c r="H75" s="238"/>
      <c r="I75" s="238"/>
      <c r="J75" s="238">
        <v>1</v>
      </c>
      <c r="K75" s="238">
        <v>250</v>
      </c>
      <c r="L75" s="238"/>
      <c r="M75" s="238">
        <v>250</v>
      </c>
      <c r="N75" s="238">
        <v>1</v>
      </c>
      <c r="O75" s="238">
        <v>250</v>
      </c>
      <c r="P75" s="682"/>
      <c r="Q75" s="713">
        <v>250</v>
      </c>
    </row>
    <row r="76" spans="1:17" ht="14.4" customHeight="1" x14ac:dyDescent="0.3">
      <c r="A76" s="680" t="s">
        <v>4073</v>
      </c>
      <c r="B76" s="671" t="s">
        <v>4074</v>
      </c>
      <c r="C76" s="671" t="s">
        <v>3303</v>
      </c>
      <c r="D76" s="671" t="s">
        <v>4153</v>
      </c>
      <c r="E76" s="671" t="s">
        <v>4154</v>
      </c>
      <c r="F76" s="238">
        <v>174</v>
      </c>
      <c r="G76" s="238">
        <v>2610</v>
      </c>
      <c r="H76" s="238">
        <v>1</v>
      </c>
      <c r="I76" s="238">
        <v>15</v>
      </c>
      <c r="J76" s="238">
        <v>123</v>
      </c>
      <c r="K76" s="238">
        <v>1845</v>
      </c>
      <c r="L76" s="238">
        <v>0.7068965517241379</v>
      </c>
      <c r="M76" s="238">
        <v>15</v>
      </c>
      <c r="N76" s="238">
        <v>120</v>
      </c>
      <c r="O76" s="238">
        <v>1800</v>
      </c>
      <c r="P76" s="682">
        <v>0.68965517241379315</v>
      </c>
      <c r="Q76" s="713">
        <v>15</v>
      </c>
    </row>
    <row r="77" spans="1:17" ht="14.4" customHeight="1" x14ac:dyDescent="0.3">
      <c r="A77" s="680" t="s">
        <v>4073</v>
      </c>
      <c r="B77" s="671" t="s">
        <v>4074</v>
      </c>
      <c r="C77" s="671" t="s">
        <v>3303</v>
      </c>
      <c r="D77" s="671" t="s">
        <v>4155</v>
      </c>
      <c r="E77" s="671" t="s">
        <v>4156</v>
      </c>
      <c r="F77" s="238">
        <v>298</v>
      </c>
      <c r="G77" s="238">
        <v>6854</v>
      </c>
      <c r="H77" s="238">
        <v>1</v>
      </c>
      <c r="I77" s="238">
        <v>23</v>
      </c>
      <c r="J77" s="238">
        <v>133</v>
      </c>
      <c r="K77" s="238">
        <v>3059</v>
      </c>
      <c r="L77" s="238">
        <v>0.44630872483221479</v>
      </c>
      <c r="M77" s="238">
        <v>23</v>
      </c>
      <c r="N77" s="238">
        <v>169</v>
      </c>
      <c r="O77" s="238">
        <v>3887</v>
      </c>
      <c r="P77" s="682">
        <v>0.56711409395973156</v>
      </c>
      <c r="Q77" s="713">
        <v>23</v>
      </c>
    </row>
    <row r="78" spans="1:17" ht="14.4" customHeight="1" x14ac:dyDescent="0.3">
      <c r="A78" s="680" t="s">
        <v>4073</v>
      </c>
      <c r="B78" s="671" t="s">
        <v>4074</v>
      </c>
      <c r="C78" s="671" t="s">
        <v>3303</v>
      </c>
      <c r="D78" s="671" t="s">
        <v>4157</v>
      </c>
      <c r="E78" s="671" t="s">
        <v>4158</v>
      </c>
      <c r="F78" s="238"/>
      <c r="G78" s="238"/>
      <c r="H78" s="238"/>
      <c r="I78" s="238"/>
      <c r="J78" s="238">
        <v>1</v>
      </c>
      <c r="K78" s="238">
        <v>249</v>
      </c>
      <c r="L78" s="238"/>
      <c r="M78" s="238">
        <v>249</v>
      </c>
      <c r="N78" s="238">
        <v>1</v>
      </c>
      <c r="O78" s="238">
        <v>249</v>
      </c>
      <c r="P78" s="682"/>
      <c r="Q78" s="713">
        <v>249</v>
      </c>
    </row>
    <row r="79" spans="1:17" ht="14.4" customHeight="1" x14ac:dyDescent="0.3">
      <c r="A79" s="680" t="s">
        <v>4073</v>
      </c>
      <c r="B79" s="671" t="s">
        <v>4074</v>
      </c>
      <c r="C79" s="671" t="s">
        <v>3303</v>
      </c>
      <c r="D79" s="671" t="s">
        <v>4159</v>
      </c>
      <c r="E79" s="671" t="s">
        <v>4160</v>
      </c>
      <c r="F79" s="238">
        <v>2</v>
      </c>
      <c r="G79" s="238">
        <v>74</v>
      </c>
      <c r="H79" s="238">
        <v>1</v>
      </c>
      <c r="I79" s="238">
        <v>37</v>
      </c>
      <c r="J79" s="238">
        <v>1</v>
      </c>
      <c r="K79" s="238">
        <v>37</v>
      </c>
      <c r="L79" s="238">
        <v>0.5</v>
      </c>
      <c r="M79" s="238">
        <v>37</v>
      </c>
      <c r="N79" s="238"/>
      <c r="O79" s="238"/>
      <c r="P79" s="682"/>
      <c r="Q79" s="713"/>
    </row>
    <row r="80" spans="1:17" ht="14.4" customHeight="1" x14ac:dyDescent="0.3">
      <c r="A80" s="680" t="s">
        <v>4073</v>
      </c>
      <c r="B80" s="671" t="s">
        <v>4074</v>
      </c>
      <c r="C80" s="671" t="s">
        <v>3303</v>
      </c>
      <c r="D80" s="671" t="s">
        <v>3708</v>
      </c>
      <c r="E80" s="671" t="s">
        <v>3709</v>
      </c>
      <c r="F80" s="238">
        <v>66</v>
      </c>
      <c r="G80" s="238">
        <v>1518</v>
      </c>
      <c r="H80" s="238">
        <v>1</v>
      </c>
      <c r="I80" s="238">
        <v>23</v>
      </c>
      <c r="J80" s="238">
        <v>43</v>
      </c>
      <c r="K80" s="238">
        <v>989</v>
      </c>
      <c r="L80" s="238">
        <v>0.65151515151515149</v>
      </c>
      <c r="M80" s="238">
        <v>23</v>
      </c>
      <c r="N80" s="238">
        <v>69</v>
      </c>
      <c r="O80" s="238">
        <v>1587</v>
      </c>
      <c r="P80" s="682">
        <v>1.0454545454545454</v>
      </c>
      <c r="Q80" s="713">
        <v>23</v>
      </c>
    </row>
    <row r="81" spans="1:17" ht="14.4" customHeight="1" x14ac:dyDescent="0.3">
      <c r="A81" s="680" t="s">
        <v>4073</v>
      </c>
      <c r="B81" s="671" t="s">
        <v>4074</v>
      </c>
      <c r="C81" s="671" t="s">
        <v>3303</v>
      </c>
      <c r="D81" s="671" t="s">
        <v>4161</v>
      </c>
      <c r="E81" s="671" t="s">
        <v>4162</v>
      </c>
      <c r="F81" s="238">
        <v>152</v>
      </c>
      <c r="G81" s="238">
        <v>4408</v>
      </c>
      <c r="H81" s="238">
        <v>1</v>
      </c>
      <c r="I81" s="238">
        <v>29</v>
      </c>
      <c r="J81" s="238">
        <v>89</v>
      </c>
      <c r="K81" s="238">
        <v>2581</v>
      </c>
      <c r="L81" s="238">
        <v>0.58552631578947367</v>
      </c>
      <c r="M81" s="238">
        <v>29</v>
      </c>
      <c r="N81" s="238">
        <v>97</v>
      </c>
      <c r="O81" s="238">
        <v>2813</v>
      </c>
      <c r="P81" s="682">
        <v>0.63815789473684215</v>
      </c>
      <c r="Q81" s="713">
        <v>29</v>
      </c>
    </row>
    <row r="82" spans="1:17" ht="14.4" customHeight="1" x14ac:dyDescent="0.3">
      <c r="A82" s="680" t="s">
        <v>4073</v>
      </c>
      <c r="B82" s="671" t="s">
        <v>4074</v>
      </c>
      <c r="C82" s="671" t="s">
        <v>3303</v>
      </c>
      <c r="D82" s="671" t="s">
        <v>4163</v>
      </c>
      <c r="E82" s="671" t="s">
        <v>4164</v>
      </c>
      <c r="F82" s="238"/>
      <c r="G82" s="238"/>
      <c r="H82" s="238"/>
      <c r="I82" s="238"/>
      <c r="J82" s="238">
        <v>2</v>
      </c>
      <c r="K82" s="238">
        <v>30</v>
      </c>
      <c r="L82" s="238"/>
      <c r="M82" s="238">
        <v>15</v>
      </c>
      <c r="N82" s="238">
        <v>1</v>
      </c>
      <c r="O82" s="238">
        <v>15</v>
      </c>
      <c r="P82" s="682"/>
      <c r="Q82" s="713">
        <v>15</v>
      </c>
    </row>
    <row r="83" spans="1:17" ht="14.4" customHeight="1" x14ac:dyDescent="0.3">
      <c r="A83" s="680" t="s">
        <v>4073</v>
      </c>
      <c r="B83" s="671" t="s">
        <v>4074</v>
      </c>
      <c r="C83" s="671" t="s">
        <v>3303</v>
      </c>
      <c r="D83" s="671" t="s">
        <v>4165</v>
      </c>
      <c r="E83" s="671" t="s">
        <v>4166</v>
      </c>
      <c r="F83" s="238">
        <v>358</v>
      </c>
      <c r="G83" s="238">
        <v>6802</v>
      </c>
      <c r="H83" s="238">
        <v>1</v>
      </c>
      <c r="I83" s="238">
        <v>19</v>
      </c>
      <c r="J83" s="238">
        <v>253</v>
      </c>
      <c r="K83" s="238">
        <v>4807</v>
      </c>
      <c r="L83" s="238">
        <v>0.70670391061452509</v>
      </c>
      <c r="M83" s="238">
        <v>19</v>
      </c>
      <c r="N83" s="238">
        <v>282</v>
      </c>
      <c r="O83" s="238">
        <v>5358</v>
      </c>
      <c r="P83" s="682">
        <v>0.78770949720670391</v>
      </c>
      <c r="Q83" s="713">
        <v>19</v>
      </c>
    </row>
    <row r="84" spans="1:17" ht="14.4" customHeight="1" x14ac:dyDescent="0.3">
      <c r="A84" s="680" t="s">
        <v>4073</v>
      </c>
      <c r="B84" s="671" t="s">
        <v>4074</v>
      </c>
      <c r="C84" s="671" t="s">
        <v>3303</v>
      </c>
      <c r="D84" s="671" t="s">
        <v>4167</v>
      </c>
      <c r="E84" s="671" t="s">
        <v>4168</v>
      </c>
      <c r="F84" s="238">
        <v>1028</v>
      </c>
      <c r="G84" s="238">
        <v>20560</v>
      </c>
      <c r="H84" s="238">
        <v>1</v>
      </c>
      <c r="I84" s="238">
        <v>20</v>
      </c>
      <c r="J84" s="238">
        <v>771</v>
      </c>
      <c r="K84" s="238">
        <v>15420</v>
      </c>
      <c r="L84" s="238">
        <v>0.75</v>
      </c>
      <c r="M84" s="238">
        <v>20</v>
      </c>
      <c r="N84" s="238">
        <v>900</v>
      </c>
      <c r="O84" s="238">
        <v>18000</v>
      </c>
      <c r="P84" s="682">
        <v>0.8754863813229572</v>
      </c>
      <c r="Q84" s="713">
        <v>20</v>
      </c>
    </row>
    <row r="85" spans="1:17" ht="14.4" customHeight="1" x14ac:dyDescent="0.3">
      <c r="A85" s="680" t="s">
        <v>4073</v>
      </c>
      <c r="B85" s="671" t="s">
        <v>4074</v>
      </c>
      <c r="C85" s="671" t="s">
        <v>3303</v>
      </c>
      <c r="D85" s="671" t="s">
        <v>4169</v>
      </c>
      <c r="E85" s="671" t="s">
        <v>4170</v>
      </c>
      <c r="F85" s="238">
        <v>1</v>
      </c>
      <c r="G85" s="238">
        <v>84</v>
      </c>
      <c r="H85" s="238">
        <v>1</v>
      </c>
      <c r="I85" s="238">
        <v>84</v>
      </c>
      <c r="J85" s="238">
        <v>2</v>
      </c>
      <c r="K85" s="238">
        <v>168</v>
      </c>
      <c r="L85" s="238">
        <v>2</v>
      </c>
      <c r="M85" s="238">
        <v>84</v>
      </c>
      <c r="N85" s="238"/>
      <c r="O85" s="238"/>
      <c r="P85" s="682"/>
      <c r="Q85" s="713"/>
    </row>
    <row r="86" spans="1:17" ht="14.4" customHeight="1" x14ac:dyDescent="0.3">
      <c r="A86" s="680" t="s">
        <v>4073</v>
      </c>
      <c r="B86" s="671" t="s">
        <v>4074</v>
      </c>
      <c r="C86" s="671" t="s">
        <v>3303</v>
      </c>
      <c r="D86" s="671" t="s">
        <v>4171</v>
      </c>
      <c r="E86" s="671" t="s">
        <v>4172</v>
      </c>
      <c r="F86" s="238">
        <v>1</v>
      </c>
      <c r="G86" s="238">
        <v>262</v>
      </c>
      <c r="H86" s="238">
        <v>1</v>
      </c>
      <c r="I86" s="238">
        <v>262</v>
      </c>
      <c r="J86" s="238">
        <v>1</v>
      </c>
      <c r="K86" s="238">
        <v>263</v>
      </c>
      <c r="L86" s="238">
        <v>1.0038167938931297</v>
      </c>
      <c r="M86" s="238">
        <v>263</v>
      </c>
      <c r="N86" s="238"/>
      <c r="O86" s="238"/>
      <c r="P86" s="682"/>
      <c r="Q86" s="713"/>
    </row>
    <row r="87" spans="1:17" ht="14.4" customHeight="1" x14ac:dyDescent="0.3">
      <c r="A87" s="680" t="s">
        <v>4073</v>
      </c>
      <c r="B87" s="671" t="s">
        <v>4074</v>
      </c>
      <c r="C87" s="671" t="s">
        <v>3303</v>
      </c>
      <c r="D87" s="671" t="s">
        <v>4173</v>
      </c>
      <c r="E87" s="671" t="s">
        <v>4174</v>
      </c>
      <c r="F87" s="238"/>
      <c r="G87" s="238"/>
      <c r="H87" s="238"/>
      <c r="I87" s="238"/>
      <c r="J87" s="238">
        <v>1</v>
      </c>
      <c r="K87" s="238">
        <v>78</v>
      </c>
      <c r="L87" s="238"/>
      <c r="M87" s="238">
        <v>78</v>
      </c>
      <c r="N87" s="238"/>
      <c r="O87" s="238"/>
      <c r="P87" s="682"/>
      <c r="Q87" s="713"/>
    </row>
    <row r="88" spans="1:17" ht="14.4" customHeight="1" x14ac:dyDescent="0.3">
      <c r="A88" s="680" t="s">
        <v>4073</v>
      </c>
      <c r="B88" s="671" t="s">
        <v>4074</v>
      </c>
      <c r="C88" s="671" t="s">
        <v>3303</v>
      </c>
      <c r="D88" s="671" t="s">
        <v>4175</v>
      </c>
      <c r="E88" s="671" t="s">
        <v>4176</v>
      </c>
      <c r="F88" s="238">
        <v>1</v>
      </c>
      <c r="G88" s="238">
        <v>21</v>
      </c>
      <c r="H88" s="238">
        <v>1</v>
      </c>
      <c r="I88" s="238">
        <v>21</v>
      </c>
      <c r="J88" s="238"/>
      <c r="K88" s="238"/>
      <c r="L88" s="238"/>
      <c r="M88" s="238"/>
      <c r="N88" s="238"/>
      <c r="O88" s="238"/>
      <c r="P88" s="682"/>
      <c r="Q88" s="713"/>
    </row>
    <row r="89" spans="1:17" ht="14.4" customHeight="1" x14ac:dyDescent="0.3">
      <c r="A89" s="680" t="s">
        <v>4073</v>
      </c>
      <c r="B89" s="671" t="s">
        <v>4074</v>
      </c>
      <c r="C89" s="671" t="s">
        <v>3303</v>
      </c>
      <c r="D89" s="671" t="s">
        <v>4177</v>
      </c>
      <c r="E89" s="671" t="s">
        <v>4178</v>
      </c>
      <c r="F89" s="238">
        <v>333</v>
      </c>
      <c r="G89" s="238">
        <v>7326</v>
      </c>
      <c r="H89" s="238">
        <v>1</v>
      </c>
      <c r="I89" s="238">
        <v>22</v>
      </c>
      <c r="J89" s="238">
        <v>41</v>
      </c>
      <c r="K89" s="238">
        <v>902</v>
      </c>
      <c r="L89" s="238">
        <v>0.12312312312312312</v>
      </c>
      <c r="M89" s="238">
        <v>22</v>
      </c>
      <c r="N89" s="238">
        <v>49</v>
      </c>
      <c r="O89" s="238">
        <v>1078</v>
      </c>
      <c r="P89" s="682">
        <v>0.14714714714714713</v>
      </c>
      <c r="Q89" s="713">
        <v>22</v>
      </c>
    </row>
    <row r="90" spans="1:17" ht="14.4" customHeight="1" x14ac:dyDescent="0.3">
      <c r="A90" s="680" t="s">
        <v>4073</v>
      </c>
      <c r="B90" s="671" t="s">
        <v>4074</v>
      </c>
      <c r="C90" s="671" t="s">
        <v>3303</v>
      </c>
      <c r="D90" s="671" t="s">
        <v>4179</v>
      </c>
      <c r="E90" s="671" t="s">
        <v>4180</v>
      </c>
      <c r="F90" s="238"/>
      <c r="G90" s="238"/>
      <c r="H90" s="238"/>
      <c r="I90" s="238"/>
      <c r="J90" s="238"/>
      <c r="K90" s="238"/>
      <c r="L90" s="238"/>
      <c r="M90" s="238"/>
      <c r="N90" s="238">
        <v>1</v>
      </c>
      <c r="O90" s="238">
        <v>170</v>
      </c>
      <c r="P90" s="682"/>
      <c r="Q90" s="713">
        <v>170</v>
      </c>
    </row>
    <row r="91" spans="1:17" ht="14.4" customHeight="1" x14ac:dyDescent="0.3">
      <c r="A91" s="680" t="s">
        <v>4073</v>
      </c>
      <c r="B91" s="671" t="s">
        <v>4074</v>
      </c>
      <c r="C91" s="671" t="s">
        <v>3303</v>
      </c>
      <c r="D91" s="671" t="s">
        <v>4181</v>
      </c>
      <c r="E91" s="671" t="s">
        <v>4182</v>
      </c>
      <c r="F91" s="238"/>
      <c r="G91" s="238"/>
      <c r="H91" s="238"/>
      <c r="I91" s="238"/>
      <c r="J91" s="238">
        <v>1</v>
      </c>
      <c r="K91" s="238">
        <v>310</v>
      </c>
      <c r="L91" s="238"/>
      <c r="M91" s="238">
        <v>310</v>
      </c>
      <c r="N91" s="238"/>
      <c r="O91" s="238"/>
      <c r="P91" s="682"/>
      <c r="Q91" s="713"/>
    </row>
    <row r="92" spans="1:17" ht="14.4" customHeight="1" x14ac:dyDescent="0.3">
      <c r="A92" s="680" t="s">
        <v>4073</v>
      </c>
      <c r="B92" s="671" t="s">
        <v>4074</v>
      </c>
      <c r="C92" s="671" t="s">
        <v>3303</v>
      </c>
      <c r="D92" s="671" t="s">
        <v>4183</v>
      </c>
      <c r="E92" s="671" t="s">
        <v>4184</v>
      </c>
      <c r="F92" s="238"/>
      <c r="G92" s="238"/>
      <c r="H92" s="238"/>
      <c r="I92" s="238"/>
      <c r="J92" s="238">
        <v>1</v>
      </c>
      <c r="K92" s="238">
        <v>23</v>
      </c>
      <c r="L92" s="238"/>
      <c r="M92" s="238">
        <v>23</v>
      </c>
      <c r="N92" s="238"/>
      <c r="O92" s="238"/>
      <c r="P92" s="682"/>
      <c r="Q92" s="713"/>
    </row>
    <row r="93" spans="1:17" ht="14.4" customHeight="1" x14ac:dyDescent="0.3">
      <c r="A93" s="680" t="s">
        <v>4073</v>
      </c>
      <c r="B93" s="671" t="s">
        <v>4074</v>
      </c>
      <c r="C93" s="671" t="s">
        <v>3303</v>
      </c>
      <c r="D93" s="671" t="s">
        <v>4185</v>
      </c>
      <c r="E93" s="671" t="s">
        <v>4186</v>
      </c>
      <c r="F93" s="238">
        <v>2</v>
      </c>
      <c r="G93" s="238">
        <v>34</v>
      </c>
      <c r="H93" s="238">
        <v>1</v>
      </c>
      <c r="I93" s="238">
        <v>17</v>
      </c>
      <c r="J93" s="238"/>
      <c r="K93" s="238"/>
      <c r="L93" s="238"/>
      <c r="M93" s="238"/>
      <c r="N93" s="238"/>
      <c r="O93" s="238"/>
      <c r="P93" s="682"/>
      <c r="Q93" s="713"/>
    </row>
    <row r="94" spans="1:17" ht="14.4" customHeight="1" x14ac:dyDescent="0.3">
      <c r="A94" s="680" t="s">
        <v>4073</v>
      </c>
      <c r="B94" s="671" t="s">
        <v>4074</v>
      </c>
      <c r="C94" s="671" t="s">
        <v>3303</v>
      </c>
      <c r="D94" s="671" t="s">
        <v>4187</v>
      </c>
      <c r="E94" s="671" t="s">
        <v>4188</v>
      </c>
      <c r="F94" s="238">
        <v>1</v>
      </c>
      <c r="G94" s="238">
        <v>130</v>
      </c>
      <c r="H94" s="238">
        <v>1</v>
      </c>
      <c r="I94" s="238">
        <v>130</v>
      </c>
      <c r="J94" s="238"/>
      <c r="K94" s="238"/>
      <c r="L94" s="238"/>
      <c r="M94" s="238"/>
      <c r="N94" s="238"/>
      <c r="O94" s="238"/>
      <c r="P94" s="682"/>
      <c r="Q94" s="713"/>
    </row>
    <row r="95" spans="1:17" ht="14.4" customHeight="1" x14ac:dyDescent="0.3">
      <c r="A95" s="680" t="s">
        <v>4073</v>
      </c>
      <c r="B95" s="671" t="s">
        <v>4074</v>
      </c>
      <c r="C95" s="671" t="s">
        <v>3303</v>
      </c>
      <c r="D95" s="671" t="s">
        <v>4189</v>
      </c>
      <c r="E95" s="671" t="s">
        <v>4190</v>
      </c>
      <c r="F95" s="238">
        <v>114</v>
      </c>
      <c r="G95" s="238">
        <v>33174</v>
      </c>
      <c r="H95" s="238">
        <v>1</v>
      </c>
      <c r="I95" s="238">
        <v>291</v>
      </c>
      <c r="J95" s="238">
        <v>80</v>
      </c>
      <c r="K95" s="238">
        <v>23280</v>
      </c>
      <c r="L95" s="238">
        <v>0.70175438596491224</v>
      </c>
      <c r="M95" s="238">
        <v>291</v>
      </c>
      <c r="N95" s="238">
        <v>49</v>
      </c>
      <c r="O95" s="238">
        <v>14259</v>
      </c>
      <c r="P95" s="682">
        <v>0.42982456140350878</v>
      </c>
      <c r="Q95" s="713">
        <v>291</v>
      </c>
    </row>
    <row r="96" spans="1:17" ht="14.4" customHeight="1" x14ac:dyDescent="0.3">
      <c r="A96" s="680" t="s">
        <v>4073</v>
      </c>
      <c r="B96" s="671" t="s">
        <v>4074</v>
      </c>
      <c r="C96" s="671" t="s">
        <v>3303</v>
      </c>
      <c r="D96" s="671" t="s">
        <v>4191</v>
      </c>
      <c r="E96" s="671" t="s">
        <v>4192</v>
      </c>
      <c r="F96" s="238">
        <v>377</v>
      </c>
      <c r="G96" s="238">
        <v>16965</v>
      </c>
      <c r="H96" s="238">
        <v>1</v>
      </c>
      <c r="I96" s="238">
        <v>45</v>
      </c>
      <c r="J96" s="238">
        <v>251</v>
      </c>
      <c r="K96" s="238">
        <v>11295</v>
      </c>
      <c r="L96" s="238">
        <v>0.66578249336870021</v>
      </c>
      <c r="M96" s="238">
        <v>45</v>
      </c>
      <c r="N96" s="238">
        <v>315</v>
      </c>
      <c r="O96" s="238">
        <v>14175</v>
      </c>
      <c r="P96" s="682">
        <v>0.83554376657824936</v>
      </c>
      <c r="Q96" s="713">
        <v>45</v>
      </c>
    </row>
    <row r="97" spans="1:17" ht="14.4" customHeight="1" x14ac:dyDescent="0.3">
      <c r="A97" s="680" t="s">
        <v>4073</v>
      </c>
      <c r="B97" s="671" t="s">
        <v>4074</v>
      </c>
      <c r="C97" s="671" t="s">
        <v>3303</v>
      </c>
      <c r="D97" s="671" t="s">
        <v>4193</v>
      </c>
      <c r="E97" s="671" t="s">
        <v>4194</v>
      </c>
      <c r="F97" s="238"/>
      <c r="G97" s="238"/>
      <c r="H97" s="238"/>
      <c r="I97" s="238"/>
      <c r="J97" s="238"/>
      <c r="K97" s="238"/>
      <c r="L97" s="238"/>
      <c r="M97" s="238"/>
      <c r="N97" s="238">
        <v>1</v>
      </c>
      <c r="O97" s="238">
        <v>24</v>
      </c>
      <c r="P97" s="682"/>
      <c r="Q97" s="713">
        <v>24</v>
      </c>
    </row>
    <row r="98" spans="1:17" ht="14.4" customHeight="1" x14ac:dyDescent="0.3">
      <c r="A98" s="680" t="s">
        <v>4073</v>
      </c>
      <c r="B98" s="671" t="s">
        <v>4074</v>
      </c>
      <c r="C98" s="671" t="s">
        <v>3303</v>
      </c>
      <c r="D98" s="671" t="s">
        <v>4195</v>
      </c>
      <c r="E98" s="671" t="s">
        <v>4196</v>
      </c>
      <c r="F98" s="238"/>
      <c r="G98" s="238"/>
      <c r="H98" s="238"/>
      <c r="I98" s="238"/>
      <c r="J98" s="238"/>
      <c r="K98" s="238"/>
      <c r="L98" s="238"/>
      <c r="M98" s="238"/>
      <c r="N98" s="238">
        <v>1</v>
      </c>
      <c r="O98" s="238">
        <v>101</v>
      </c>
      <c r="P98" s="682"/>
      <c r="Q98" s="713">
        <v>101</v>
      </c>
    </row>
    <row r="99" spans="1:17" ht="14.4" customHeight="1" x14ac:dyDescent="0.3">
      <c r="A99" s="680" t="s">
        <v>4073</v>
      </c>
      <c r="B99" s="671" t="s">
        <v>4074</v>
      </c>
      <c r="C99" s="671" t="s">
        <v>3303</v>
      </c>
      <c r="D99" s="671" t="s">
        <v>4197</v>
      </c>
      <c r="E99" s="671" t="s">
        <v>4198</v>
      </c>
      <c r="F99" s="238"/>
      <c r="G99" s="238"/>
      <c r="H99" s="238"/>
      <c r="I99" s="238"/>
      <c r="J99" s="238"/>
      <c r="K99" s="238"/>
      <c r="L99" s="238"/>
      <c r="M99" s="238"/>
      <c r="N99" s="238">
        <v>1</v>
      </c>
      <c r="O99" s="238">
        <v>351</v>
      </c>
      <c r="P99" s="682"/>
      <c r="Q99" s="713">
        <v>351</v>
      </c>
    </row>
    <row r="100" spans="1:17" ht="14.4" customHeight="1" x14ac:dyDescent="0.3">
      <c r="A100" s="680" t="s">
        <v>4073</v>
      </c>
      <c r="B100" s="671" t="s">
        <v>4199</v>
      </c>
      <c r="C100" s="671" t="s">
        <v>3303</v>
      </c>
      <c r="D100" s="671" t="s">
        <v>4019</v>
      </c>
      <c r="E100" s="671" t="s">
        <v>4020</v>
      </c>
      <c r="F100" s="238">
        <v>17</v>
      </c>
      <c r="G100" s="238">
        <v>21012</v>
      </c>
      <c r="H100" s="238">
        <v>1</v>
      </c>
      <c r="I100" s="238">
        <v>1236</v>
      </c>
      <c r="J100" s="238"/>
      <c r="K100" s="238"/>
      <c r="L100" s="238"/>
      <c r="M100" s="238"/>
      <c r="N100" s="238"/>
      <c r="O100" s="238"/>
      <c r="P100" s="682"/>
      <c r="Q100" s="713"/>
    </row>
    <row r="101" spans="1:17" ht="14.4" customHeight="1" x14ac:dyDescent="0.3">
      <c r="A101" s="680" t="s">
        <v>4073</v>
      </c>
      <c r="B101" s="671" t="s">
        <v>4199</v>
      </c>
      <c r="C101" s="671" t="s">
        <v>3303</v>
      </c>
      <c r="D101" s="671" t="s">
        <v>4023</v>
      </c>
      <c r="E101" s="671" t="s">
        <v>4024</v>
      </c>
      <c r="F101" s="238">
        <v>54</v>
      </c>
      <c r="G101" s="238">
        <v>119934</v>
      </c>
      <c r="H101" s="238">
        <v>1</v>
      </c>
      <c r="I101" s="238">
        <v>2221</v>
      </c>
      <c r="J101" s="238"/>
      <c r="K101" s="238"/>
      <c r="L101" s="238"/>
      <c r="M101" s="238"/>
      <c r="N101" s="238"/>
      <c r="O101" s="238"/>
      <c r="P101" s="682"/>
      <c r="Q101" s="713"/>
    </row>
    <row r="102" spans="1:17" ht="14.4" customHeight="1" x14ac:dyDescent="0.3">
      <c r="A102" s="680" t="s">
        <v>4073</v>
      </c>
      <c r="B102" s="671" t="s">
        <v>4199</v>
      </c>
      <c r="C102" s="671" t="s">
        <v>3303</v>
      </c>
      <c r="D102" s="671" t="s">
        <v>4200</v>
      </c>
      <c r="E102" s="671" t="s">
        <v>4201</v>
      </c>
      <c r="F102" s="238">
        <v>54</v>
      </c>
      <c r="G102" s="238">
        <v>9180</v>
      </c>
      <c r="H102" s="238">
        <v>1</v>
      </c>
      <c r="I102" s="238">
        <v>170</v>
      </c>
      <c r="J102" s="238"/>
      <c r="K102" s="238"/>
      <c r="L102" s="238"/>
      <c r="M102" s="238"/>
      <c r="N102" s="238"/>
      <c r="O102" s="238"/>
      <c r="P102" s="682"/>
      <c r="Q102" s="713"/>
    </row>
    <row r="103" spans="1:17" ht="14.4" customHeight="1" x14ac:dyDescent="0.3">
      <c r="A103" s="680" t="s">
        <v>4202</v>
      </c>
      <c r="B103" s="671" t="s">
        <v>4203</v>
      </c>
      <c r="C103" s="671" t="s">
        <v>3417</v>
      </c>
      <c r="D103" s="671" t="s">
        <v>4204</v>
      </c>
      <c r="E103" s="671" t="s">
        <v>4205</v>
      </c>
      <c r="F103" s="238"/>
      <c r="G103" s="238"/>
      <c r="H103" s="238"/>
      <c r="I103" s="238"/>
      <c r="J103" s="238">
        <v>0.67</v>
      </c>
      <c r="K103" s="238">
        <v>1789.87</v>
      </c>
      <c r="L103" s="238"/>
      <c r="M103" s="238">
        <v>2671.4477611940297</v>
      </c>
      <c r="N103" s="238"/>
      <c r="O103" s="238"/>
      <c r="P103" s="682"/>
      <c r="Q103" s="713"/>
    </row>
    <row r="104" spans="1:17" ht="14.4" customHeight="1" x14ac:dyDescent="0.3">
      <c r="A104" s="680" t="s">
        <v>4202</v>
      </c>
      <c r="B104" s="671" t="s">
        <v>4203</v>
      </c>
      <c r="C104" s="671" t="s">
        <v>3417</v>
      </c>
      <c r="D104" s="671" t="s">
        <v>4206</v>
      </c>
      <c r="E104" s="671" t="s">
        <v>4205</v>
      </c>
      <c r="F104" s="238"/>
      <c r="G104" s="238"/>
      <c r="H104" s="238"/>
      <c r="I104" s="238"/>
      <c r="J104" s="238"/>
      <c r="K104" s="238"/>
      <c r="L104" s="238"/>
      <c r="M104" s="238"/>
      <c r="N104" s="238">
        <v>0.2</v>
      </c>
      <c r="O104" s="238">
        <v>1335.72</v>
      </c>
      <c r="P104" s="682"/>
      <c r="Q104" s="713">
        <v>6678.5999999999995</v>
      </c>
    </row>
    <row r="105" spans="1:17" ht="14.4" customHeight="1" x14ac:dyDescent="0.3">
      <c r="A105" s="680" t="s">
        <v>4202</v>
      </c>
      <c r="B105" s="671" t="s">
        <v>4203</v>
      </c>
      <c r="C105" s="671" t="s">
        <v>3417</v>
      </c>
      <c r="D105" s="671" t="s">
        <v>4207</v>
      </c>
      <c r="E105" s="671" t="s">
        <v>4208</v>
      </c>
      <c r="F105" s="238">
        <v>2.5</v>
      </c>
      <c r="G105" s="238">
        <v>3874.5599999999995</v>
      </c>
      <c r="H105" s="238">
        <v>1</v>
      </c>
      <c r="I105" s="238">
        <v>1549.8239999999998</v>
      </c>
      <c r="J105" s="238"/>
      <c r="K105" s="238"/>
      <c r="L105" s="238"/>
      <c r="M105" s="238"/>
      <c r="N105" s="238"/>
      <c r="O105" s="238"/>
      <c r="P105" s="682"/>
      <c r="Q105" s="713"/>
    </row>
    <row r="106" spans="1:17" ht="14.4" customHeight="1" x14ac:dyDescent="0.3">
      <c r="A106" s="680" t="s">
        <v>4202</v>
      </c>
      <c r="B106" s="671" t="s">
        <v>4203</v>
      </c>
      <c r="C106" s="671" t="s">
        <v>3417</v>
      </c>
      <c r="D106" s="671" t="s">
        <v>4209</v>
      </c>
      <c r="E106" s="671" t="s">
        <v>4210</v>
      </c>
      <c r="F106" s="238"/>
      <c r="G106" s="238"/>
      <c r="H106" s="238"/>
      <c r="I106" s="238"/>
      <c r="J106" s="238">
        <v>0.24</v>
      </c>
      <c r="K106" s="238">
        <v>2480.9699999999998</v>
      </c>
      <c r="L106" s="238"/>
      <c r="M106" s="238">
        <v>10337.375</v>
      </c>
      <c r="N106" s="238"/>
      <c r="O106" s="238"/>
      <c r="P106" s="682"/>
      <c r="Q106" s="713"/>
    </row>
    <row r="107" spans="1:17" ht="14.4" customHeight="1" x14ac:dyDescent="0.3">
      <c r="A107" s="680" t="s">
        <v>4202</v>
      </c>
      <c r="B107" s="671" t="s">
        <v>4203</v>
      </c>
      <c r="C107" s="671" t="s">
        <v>3417</v>
      </c>
      <c r="D107" s="671" t="s">
        <v>4211</v>
      </c>
      <c r="E107" s="671" t="s">
        <v>4212</v>
      </c>
      <c r="F107" s="238"/>
      <c r="G107" s="238"/>
      <c r="H107" s="238"/>
      <c r="I107" s="238"/>
      <c r="J107" s="238">
        <v>0.2</v>
      </c>
      <c r="K107" s="238">
        <v>1092.1600000000001</v>
      </c>
      <c r="L107" s="238"/>
      <c r="M107" s="238">
        <v>5460.8</v>
      </c>
      <c r="N107" s="238"/>
      <c r="O107" s="238"/>
      <c r="P107" s="682"/>
      <c r="Q107" s="713"/>
    </row>
    <row r="108" spans="1:17" ht="14.4" customHeight="1" x14ac:dyDescent="0.3">
      <c r="A108" s="680" t="s">
        <v>4202</v>
      </c>
      <c r="B108" s="671" t="s">
        <v>4203</v>
      </c>
      <c r="C108" s="671" t="s">
        <v>3417</v>
      </c>
      <c r="D108" s="671" t="s">
        <v>4213</v>
      </c>
      <c r="E108" s="671" t="s">
        <v>4212</v>
      </c>
      <c r="F108" s="238">
        <v>0.27999999999999997</v>
      </c>
      <c r="G108" s="238">
        <v>3031.45</v>
      </c>
      <c r="H108" s="238">
        <v>1</v>
      </c>
      <c r="I108" s="238">
        <v>10826.607142857143</v>
      </c>
      <c r="J108" s="238">
        <v>0.08</v>
      </c>
      <c r="K108" s="238">
        <v>873.72</v>
      </c>
      <c r="L108" s="238">
        <v>0.28821850929423215</v>
      </c>
      <c r="M108" s="238">
        <v>10921.5</v>
      </c>
      <c r="N108" s="238">
        <v>0.34</v>
      </c>
      <c r="O108" s="238">
        <v>3713.33</v>
      </c>
      <c r="P108" s="682">
        <v>1.2249352620033318</v>
      </c>
      <c r="Q108" s="713">
        <v>10921.558823529411</v>
      </c>
    </row>
    <row r="109" spans="1:17" ht="14.4" customHeight="1" x14ac:dyDescent="0.3">
      <c r="A109" s="680" t="s">
        <v>4202</v>
      </c>
      <c r="B109" s="671" t="s">
        <v>4203</v>
      </c>
      <c r="C109" s="671" t="s">
        <v>3417</v>
      </c>
      <c r="D109" s="671" t="s">
        <v>4214</v>
      </c>
      <c r="E109" s="671" t="s">
        <v>4215</v>
      </c>
      <c r="F109" s="238"/>
      <c r="G109" s="238"/>
      <c r="H109" s="238"/>
      <c r="I109" s="238"/>
      <c r="J109" s="238"/>
      <c r="K109" s="238"/>
      <c r="L109" s="238"/>
      <c r="M109" s="238"/>
      <c r="N109" s="238">
        <v>0.15</v>
      </c>
      <c r="O109" s="238">
        <v>56.9</v>
      </c>
      <c r="P109" s="682"/>
      <c r="Q109" s="713">
        <v>379.33333333333331</v>
      </c>
    </row>
    <row r="110" spans="1:17" ht="14.4" customHeight="1" x14ac:dyDescent="0.3">
      <c r="A110" s="680" t="s">
        <v>4202</v>
      </c>
      <c r="B110" s="671" t="s">
        <v>4203</v>
      </c>
      <c r="C110" s="671" t="s">
        <v>3461</v>
      </c>
      <c r="D110" s="671" t="s">
        <v>4216</v>
      </c>
      <c r="E110" s="671" t="s">
        <v>4217</v>
      </c>
      <c r="F110" s="238"/>
      <c r="G110" s="238"/>
      <c r="H110" s="238"/>
      <c r="I110" s="238"/>
      <c r="J110" s="238">
        <v>1</v>
      </c>
      <c r="K110" s="238">
        <v>1707.31</v>
      </c>
      <c r="L110" s="238"/>
      <c r="M110" s="238">
        <v>1707.31</v>
      </c>
      <c r="N110" s="238"/>
      <c r="O110" s="238"/>
      <c r="P110" s="682"/>
      <c r="Q110" s="713"/>
    </row>
    <row r="111" spans="1:17" ht="14.4" customHeight="1" x14ac:dyDescent="0.3">
      <c r="A111" s="680" t="s">
        <v>4202</v>
      </c>
      <c r="B111" s="671" t="s">
        <v>4203</v>
      </c>
      <c r="C111" s="671" t="s">
        <v>3461</v>
      </c>
      <c r="D111" s="671" t="s">
        <v>4218</v>
      </c>
      <c r="E111" s="671" t="s">
        <v>4217</v>
      </c>
      <c r="F111" s="238"/>
      <c r="G111" s="238"/>
      <c r="H111" s="238"/>
      <c r="I111" s="238"/>
      <c r="J111" s="238">
        <v>1</v>
      </c>
      <c r="K111" s="238">
        <v>2066.3000000000002</v>
      </c>
      <c r="L111" s="238"/>
      <c r="M111" s="238">
        <v>2066.3000000000002</v>
      </c>
      <c r="N111" s="238"/>
      <c r="O111" s="238"/>
      <c r="P111" s="682"/>
      <c r="Q111" s="713"/>
    </row>
    <row r="112" spans="1:17" ht="14.4" customHeight="1" x14ac:dyDescent="0.3">
      <c r="A112" s="680" t="s">
        <v>4202</v>
      </c>
      <c r="B112" s="671" t="s">
        <v>4203</v>
      </c>
      <c r="C112" s="671" t="s">
        <v>3461</v>
      </c>
      <c r="D112" s="671" t="s">
        <v>4219</v>
      </c>
      <c r="E112" s="671" t="s">
        <v>4220</v>
      </c>
      <c r="F112" s="238"/>
      <c r="G112" s="238"/>
      <c r="H112" s="238"/>
      <c r="I112" s="238"/>
      <c r="J112" s="238">
        <v>3</v>
      </c>
      <c r="K112" s="238">
        <v>3083.28</v>
      </c>
      <c r="L112" s="238"/>
      <c r="M112" s="238">
        <v>1027.76</v>
      </c>
      <c r="N112" s="238"/>
      <c r="O112" s="238"/>
      <c r="P112" s="682"/>
      <c r="Q112" s="713"/>
    </row>
    <row r="113" spans="1:17" ht="14.4" customHeight="1" x14ac:dyDescent="0.3">
      <c r="A113" s="680" t="s">
        <v>4202</v>
      </c>
      <c r="B113" s="671" t="s">
        <v>4203</v>
      </c>
      <c r="C113" s="671" t="s">
        <v>3461</v>
      </c>
      <c r="D113" s="671" t="s">
        <v>4221</v>
      </c>
      <c r="E113" s="671" t="s">
        <v>4222</v>
      </c>
      <c r="F113" s="238"/>
      <c r="G113" s="238"/>
      <c r="H113" s="238"/>
      <c r="I113" s="238"/>
      <c r="J113" s="238">
        <v>1</v>
      </c>
      <c r="K113" s="238">
        <v>9370.39</v>
      </c>
      <c r="L113" s="238"/>
      <c r="M113" s="238">
        <v>9370.39</v>
      </c>
      <c r="N113" s="238"/>
      <c r="O113" s="238"/>
      <c r="P113" s="682"/>
      <c r="Q113" s="713"/>
    </row>
    <row r="114" spans="1:17" ht="14.4" customHeight="1" x14ac:dyDescent="0.3">
      <c r="A114" s="680" t="s">
        <v>4202</v>
      </c>
      <c r="B114" s="671" t="s">
        <v>4203</v>
      </c>
      <c r="C114" s="671" t="s">
        <v>3461</v>
      </c>
      <c r="D114" s="671" t="s">
        <v>4223</v>
      </c>
      <c r="E114" s="671" t="s">
        <v>4224</v>
      </c>
      <c r="F114" s="238"/>
      <c r="G114" s="238"/>
      <c r="H114" s="238"/>
      <c r="I114" s="238"/>
      <c r="J114" s="238">
        <v>1</v>
      </c>
      <c r="K114" s="238">
        <v>797</v>
      </c>
      <c r="L114" s="238"/>
      <c r="M114" s="238">
        <v>797</v>
      </c>
      <c r="N114" s="238"/>
      <c r="O114" s="238"/>
      <c r="P114" s="682"/>
      <c r="Q114" s="713"/>
    </row>
    <row r="115" spans="1:17" ht="14.4" customHeight="1" x14ac:dyDescent="0.3">
      <c r="A115" s="680" t="s">
        <v>4202</v>
      </c>
      <c r="B115" s="671" t="s">
        <v>4203</v>
      </c>
      <c r="C115" s="671" t="s">
        <v>3461</v>
      </c>
      <c r="D115" s="671" t="s">
        <v>4225</v>
      </c>
      <c r="E115" s="671" t="s">
        <v>4226</v>
      </c>
      <c r="F115" s="238"/>
      <c r="G115" s="238"/>
      <c r="H115" s="238"/>
      <c r="I115" s="238"/>
      <c r="J115" s="238">
        <v>1</v>
      </c>
      <c r="K115" s="238">
        <v>605.65</v>
      </c>
      <c r="L115" s="238"/>
      <c r="M115" s="238">
        <v>605.65</v>
      </c>
      <c r="N115" s="238"/>
      <c r="O115" s="238"/>
      <c r="P115" s="682"/>
      <c r="Q115" s="713"/>
    </row>
    <row r="116" spans="1:17" ht="14.4" customHeight="1" x14ac:dyDescent="0.3">
      <c r="A116" s="680" t="s">
        <v>4202</v>
      </c>
      <c r="B116" s="671" t="s">
        <v>4203</v>
      </c>
      <c r="C116" s="671" t="s">
        <v>3461</v>
      </c>
      <c r="D116" s="671" t="s">
        <v>4227</v>
      </c>
      <c r="E116" s="671" t="s">
        <v>4228</v>
      </c>
      <c r="F116" s="238"/>
      <c r="G116" s="238"/>
      <c r="H116" s="238"/>
      <c r="I116" s="238"/>
      <c r="J116" s="238">
        <v>1</v>
      </c>
      <c r="K116" s="238">
        <v>831.16</v>
      </c>
      <c r="L116" s="238"/>
      <c r="M116" s="238">
        <v>831.16</v>
      </c>
      <c r="N116" s="238"/>
      <c r="O116" s="238"/>
      <c r="P116" s="682"/>
      <c r="Q116" s="713"/>
    </row>
    <row r="117" spans="1:17" ht="14.4" customHeight="1" x14ac:dyDescent="0.3">
      <c r="A117" s="680" t="s">
        <v>4202</v>
      </c>
      <c r="B117" s="671" t="s">
        <v>4203</v>
      </c>
      <c r="C117" s="671" t="s">
        <v>3461</v>
      </c>
      <c r="D117" s="671" t="s">
        <v>4229</v>
      </c>
      <c r="E117" s="671" t="s">
        <v>4230</v>
      </c>
      <c r="F117" s="238"/>
      <c r="G117" s="238"/>
      <c r="H117" s="238"/>
      <c r="I117" s="238"/>
      <c r="J117" s="238">
        <v>1</v>
      </c>
      <c r="K117" s="238">
        <v>888.06</v>
      </c>
      <c r="L117" s="238"/>
      <c r="M117" s="238">
        <v>888.06</v>
      </c>
      <c r="N117" s="238"/>
      <c r="O117" s="238"/>
      <c r="P117" s="682"/>
      <c r="Q117" s="713"/>
    </row>
    <row r="118" spans="1:17" ht="14.4" customHeight="1" x14ac:dyDescent="0.3">
      <c r="A118" s="680" t="s">
        <v>4202</v>
      </c>
      <c r="B118" s="671" t="s">
        <v>4203</v>
      </c>
      <c r="C118" s="671" t="s">
        <v>3461</v>
      </c>
      <c r="D118" s="671" t="s">
        <v>4231</v>
      </c>
      <c r="E118" s="671" t="s">
        <v>4232</v>
      </c>
      <c r="F118" s="238"/>
      <c r="G118" s="238"/>
      <c r="H118" s="238"/>
      <c r="I118" s="238"/>
      <c r="J118" s="238">
        <v>1</v>
      </c>
      <c r="K118" s="238">
        <v>34453.9</v>
      </c>
      <c r="L118" s="238"/>
      <c r="M118" s="238">
        <v>34453.9</v>
      </c>
      <c r="N118" s="238"/>
      <c r="O118" s="238"/>
      <c r="P118" s="682"/>
      <c r="Q118" s="713"/>
    </row>
    <row r="119" spans="1:17" ht="14.4" customHeight="1" x14ac:dyDescent="0.3">
      <c r="A119" s="680" t="s">
        <v>4202</v>
      </c>
      <c r="B119" s="671" t="s">
        <v>4203</v>
      </c>
      <c r="C119" s="671" t="s">
        <v>3461</v>
      </c>
      <c r="D119" s="671" t="s">
        <v>4233</v>
      </c>
      <c r="E119" s="671" t="s">
        <v>4234</v>
      </c>
      <c r="F119" s="238"/>
      <c r="G119" s="238"/>
      <c r="H119" s="238"/>
      <c r="I119" s="238"/>
      <c r="J119" s="238">
        <v>1</v>
      </c>
      <c r="K119" s="238">
        <v>1305.82</v>
      </c>
      <c r="L119" s="238"/>
      <c r="M119" s="238">
        <v>1305.82</v>
      </c>
      <c r="N119" s="238"/>
      <c r="O119" s="238"/>
      <c r="P119" s="682"/>
      <c r="Q119" s="713"/>
    </row>
    <row r="120" spans="1:17" ht="14.4" customHeight="1" x14ac:dyDescent="0.3">
      <c r="A120" s="680" t="s">
        <v>4202</v>
      </c>
      <c r="B120" s="671" t="s">
        <v>4203</v>
      </c>
      <c r="C120" s="671" t="s">
        <v>3461</v>
      </c>
      <c r="D120" s="671" t="s">
        <v>4235</v>
      </c>
      <c r="E120" s="671" t="s">
        <v>4236</v>
      </c>
      <c r="F120" s="238"/>
      <c r="G120" s="238"/>
      <c r="H120" s="238"/>
      <c r="I120" s="238"/>
      <c r="J120" s="238">
        <v>1</v>
      </c>
      <c r="K120" s="238">
        <v>359.1</v>
      </c>
      <c r="L120" s="238"/>
      <c r="M120" s="238">
        <v>359.1</v>
      </c>
      <c r="N120" s="238"/>
      <c r="O120" s="238"/>
      <c r="P120" s="682"/>
      <c r="Q120" s="713"/>
    </row>
    <row r="121" spans="1:17" ht="14.4" customHeight="1" x14ac:dyDescent="0.3">
      <c r="A121" s="680" t="s">
        <v>4202</v>
      </c>
      <c r="B121" s="671" t="s">
        <v>4203</v>
      </c>
      <c r="C121" s="671" t="s">
        <v>3303</v>
      </c>
      <c r="D121" s="671" t="s">
        <v>4237</v>
      </c>
      <c r="E121" s="671" t="s">
        <v>4238</v>
      </c>
      <c r="F121" s="238">
        <v>1</v>
      </c>
      <c r="G121" s="238">
        <v>204</v>
      </c>
      <c r="H121" s="238">
        <v>1</v>
      </c>
      <c r="I121" s="238">
        <v>204</v>
      </c>
      <c r="J121" s="238">
        <v>2</v>
      </c>
      <c r="K121" s="238">
        <v>410</v>
      </c>
      <c r="L121" s="238">
        <v>2.0098039215686274</v>
      </c>
      <c r="M121" s="238">
        <v>205</v>
      </c>
      <c r="N121" s="238">
        <v>2</v>
      </c>
      <c r="O121" s="238">
        <v>410</v>
      </c>
      <c r="P121" s="682">
        <v>2.0098039215686274</v>
      </c>
      <c r="Q121" s="713">
        <v>205</v>
      </c>
    </row>
    <row r="122" spans="1:17" ht="14.4" customHeight="1" x14ac:dyDescent="0.3">
      <c r="A122" s="680" t="s">
        <v>4202</v>
      </c>
      <c r="B122" s="671" t="s">
        <v>4203</v>
      </c>
      <c r="C122" s="671" t="s">
        <v>3303</v>
      </c>
      <c r="D122" s="671" t="s">
        <v>4239</v>
      </c>
      <c r="E122" s="671" t="s">
        <v>4240</v>
      </c>
      <c r="F122" s="238">
        <v>1</v>
      </c>
      <c r="G122" s="238">
        <v>149</v>
      </c>
      <c r="H122" s="238">
        <v>1</v>
      </c>
      <c r="I122" s="238">
        <v>149</v>
      </c>
      <c r="J122" s="238"/>
      <c r="K122" s="238"/>
      <c r="L122" s="238"/>
      <c r="M122" s="238"/>
      <c r="N122" s="238">
        <v>3</v>
      </c>
      <c r="O122" s="238">
        <v>450</v>
      </c>
      <c r="P122" s="682">
        <v>3.0201342281879193</v>
      </c>
      <c r="Q122" s="713">
        <v>150</v>
      </c>
    </row>
    <row r="123" spans="1:17" ht="14.4" customHeight="1" x14ac:dyDescent="0.3">
      <c r="A123" s="680" t="s">
        <v>4202</v>
      </c>
      <c r="B123" s="671" t="s">
        <v>4203</v>
      </c>
      <c r="C123" s="671" t="s">
        <v>3303</v>
      </c>
      <c r="D123" s="671" t="s">
        <v>4241</v>
      </c>
      <c r="E123" s="671" t="s">
        <v>4242</v>
      </c>
      <c r="F123" s="238">
        <v>1</v>
      </c>
      <c r="G123" s="238">
        <v>181</v>
      </c>
      <c r="H123" s="238">
        <v>1</v>
      </c>
      <c r="I123" s="238">
        <v>181</v>
      </c>
      <c r="J123" s="238"/>
      <c r="K123" s="238"/>
      <c r="L123" s="238"/>
      <c r="M123" s="238"/>
      <c r="N123" s="238"/>
      <c r="O123" s="238"/>
      <c r="P123" s="682"/>
      <c r="Q123" s="713"/>
    </row>
    <row r="124" spans="1:17" ht="14.4" customHeight="1" x14ac:dyDescent="0.3">
      <c r="A124" s="680" t="s">
        <v>4202</v>
      </c>
      <c r="B124" s="671" t="s">
        <v>4203</v>
      </c>
      <c r="C124" s="671" t="s">
        <v>3303</v>
      </c>
      <c r="D124" s="671" t="s">
        <v>4243</v>
      </c>
      <c r="E124" s="671" t="s">
        <v>4244</v>
      </c>
      <c r="F124" s="238">
        <v>1</v>
      </c>
      <c r="G124" s="238">
        <v>124</v>
      </c>
      <c r="H124" s="238">
        <v>1</v>
      </c>
      <c r="I124" s="238">
        <v>124</v>
      </c>
      <c r="J124" s="238">
        <v>2</v>
      </c>
      <c r="K124" s="238">
        <v>248</v>
      </c>
      <c r="L124" s="238">
        <v>2</v>
      </c>
      <c r="M124" s="238">
        <v>124</v>
      </c>
      <c r="N124" s="238"/>
      <c r="O124" s="238"/>
      <c r="P124" s="682"/>
      <c r="Q124" s="713"/>
    </row>
    <row r="125" spans="1:17" ht="14.4" customHeight="1" x14ac:dyDescent="0.3">
      <c r="A125" s="680" t="s">
        <v>4202</v>
      </c>
      <c r="B125" s="671" t="s">
        <v>4203</v>
      </c>
      <c r="C125" s="671" t="s">
        <v>3303</v>
      </c>
      <c r="D125" s="671" t="s">
        <v>4245</v>
      </c>
      <c r="E125" s="671" t="s">
        <v>4246</v>
      </c>
      <c r="F125" s="238"/>
      <c r="G125" s="238"/>
      <c r="H125" s="238"/>
      <c r="I125" s="238"/>
      <c r="J125" s="238">
        <v>1</v>
      </c>
      <c r="K125" s="238">
        <v>217</v>
      </c>
      <c r="L125" s="238"/>
      <c r="M125" s="238">
        <v>217</v>
      </c>
      <c r="N125" s="238"/>
      <c r="O125" s="238"/>
      <c r="P125" s="682"/>
      <c r="Q125" s="713"/>
    </row>
    <row r="126" spans="1:17" ht="14.4" customHeight="1" x14ac:dyDescent="0.3">
      <c r="A126" s="680" t="s">
        <v>4202</v>
      </c>
      <c r="B126" s="671" t="s">
        <v>4203</v>
      </c>
      <c r="C126" s="671" t="s">
        <v>3303</v>
      </c>
      <c r="D126" s="671" t="s">
        <v>4247</v>
      </c>
      <c r="E126" s="671" t="s">
        <v>4248</v>
      </c>
      <c r="F126" s="238"/>
      <c r="G126" s="238"/>
      <c r="H126" s="238"/>
      <c r="I126" s="238"/>
      <c r="J126" s="238">
        <v>2</v>
      </c>
      <c r="K126" s="238">
        <v>438</v>
      </c>
      <c r="L126" s="238"/>
      <c r="M126" s="238">
        <v>219</v>
      </c>
      <c r="N126" s="238">
        <v>1</v>
      </c>
      <c r="O126" s="238">
        <v>219</v>
      </c>
      <c r="P126" s="682"/>
      <c r="Q126" s="713">
        <v>219</v>
      </c>
    </row>
    <row r="127" spans="1:17" ht="14.4" customHeight="1" x14ac:dyDescent="0.3">
      <c r="A127" s="680" t="s">
        <v>4202</v>
      </c>
      <c r="B127" s="671" t="s">
        <v>4203</v>
      </c>
      <c r="C127" s="671" t="s">
        <v>3303</v>
      </c>
      <c r="D127" s="671" t="s">
        <v>4249</v>
      </c>
      <c r="E127" s="671" t="s">
        <v>4250</v>
      </c>
      <c r="F127" s="238"/>
      <c r="G127" s="238"/>
      <c r="H127" s="238"/>
      <c r="I127" s="238"/>
      <c r="J127" s="238">
        <v>2</v>
      </c>
      <c r="K127" s="238">
        <v>7630</v>
      </c>
      <c r="L127" s="238"/>
      <c r="M127" s="238">
        <v>3815</v>
      </c>
      <c r="N127" s="238"/>
      <c r="O127" s="238"/>
      <c r="P127" s="682"/>
      <c r="Q127" s="713"/>
    </row>
    <row r="128" spans="1:17" ht="14.4" customHeight="1" x14ac:dyDescent="0.3">
      <c r="A128" s="680" t="s">
        <v>4202</v>
      </c>
      <c r="B128" s="671" t="s">
        <v>4203</v>
      </c>
      <c r="C128" s="671" t="s">
        <v>3303</v>
      </c>
      <c r="D128" s="671" t="s">
        <v>4251</v>
      </c>
      <c r="E128" s="671" t="s">
        <v>4252</v>
      </c>
      <c r="F128" s="238"/>
      <c r="G128" s="238"/>
      <c r="H128" s="238"/>
      <c r="I128" s="238"/>
      <c r="J128" s="238">
        <v>2</v>
      </c>
      <c r="K128" s="238">
        <v>15670</v>
      </c>
      <c r="L128" s="238"/>
      <c r="M128" s="238">
        <v>7835</v>
      </c>
      <c r="N128" s="238"/>
      <c r="O128" s="238"/>
      <c r="P128" s="682"/>
      <c r="Q128" s="713"/>
    </row>
    <row r="129" spans="1:17" ht="14.4" customHeight="1" x14ac:dyDescent="0.3">
      <c r="A129" s="680" t="s">
        <v>4202</v>
      </c>
      <c r="B129" s="671" t="s">
        <v>4203</v>
      </c>
      <c r="C129" s="671" t="s">
        <v>3303</v>
      </c>
      <c r="D129" s="671" t="s">
        <v>4253</v>
      </c>
      <c r="E129" s="671" t="s">
        <v>4254</v>
      </c>
      <c r="F129" s="238"/>
      <c r="G129" s="238"/>
      <c r="H129" s="238"/>
      <c r="I129" s="238"/>
      <c r="J129" s="238">
        <v>1</v>
      </c>
      <c r="K129" s="238">
        <v>1277</v>
      </c>
      <c r="L129" s="238"/>
      <c r="M129" s="238">
        <v>1277</v>
      </c>
      <c r="N129" s="238"/>
      <c r="O129" s="238"/>
      <c r="P129" s="682"/>
      <c r="Q129" s="713"/>
    </row>
    <row r="130" spans="1:17" ht="14.4" customHeight="1" x14ac:dyDescent="0.3">
      <c r="A130" s="680" t="s">
        <v>4202</v>
      </c>
      <c r="B130" s="671" t="s">
        <v>4203</v>
      </c>
      <c r="C130" s="671" t="s">
        <v>3303</v>
      </c>
      <c r="D130" s="671" t="s">
        <v>4255</v>
      </c>
      <c r="E130" s="671" t="s">
        <v>4256</v>
      </c>
      <c r="F130" s="238"/>
      <c r="G130" s="238"/>
      <c r="H130" s="238"/>
      <c r="I130" s="238"/>
      <c r="J130" s="238">
        <v>1</v>
      </c>
      <c r="K130" s="238">
        <v>1164</v>
      </c>
      <c r="L130" s="238"/>
      <c r="M130" s="238">
        <v>1164</v>
      </c>
      <c r="N130" s="238"/>
      <c r="O130" s="238"/>
      <c r="P130" s="682"/>
      <c r="Q130" s="713"/>
    </row>
    <row r="131" spans="1:17" ht="14.4" customHeight="1" x14ac:dyDescent="0.3">
      <c r="A131" s="680" t="s">
        <v>4202</v>
      </c>
      <c r="B131" s="671" t="s">
        <v>4203</v>
      </c>
      <c r="C131" s="671" t="s">
        <v>3303</v>
      </c>
      <c r="D131" s="671" t="s">
        <v>4257</v>
      </c>
      <c r="E131" s="671" t="s">
        <v>4258</v>
      </c>
      <c r="F131" s="238"/>
      <c r="G131" s="238"/>
      <c r="H131" s="238"/>
      <c r="I131" s="238"/>
      <c r="J131" s="238">
        <v>1</v>
      </c>
      <c r="K131" s="238">
        <v>5068</v>
      </c>
      <c r="L131" s="238"/>
      <c r="M131" s="238">
        <v>5068</v>
      </c>
      <c r="N131" s="238">
        <v>2</v>
      </c>
      <c r="O131" s="238">
        <v>10136</v>
      </c>
      <c r="P131" s="682"/>
      <c r="Q131" s="713">
        <v>5068</v>
      </c>
    </row>
    <row r="132" spans="1:17" ht="14.4" customHeight="1" x14ac:dyDescent="0.3">
      <c r="A132" s="680" t="s">
        <v>4202</v>
      </c>
      <c r="B132" s="671" t="s">
        <v>4203</v>
      </c>
      <c r="C132" s="671" t="s">
        <v>3303</v>
      </c>
      <c r="D132" s="671" t="s">
        <v>4259</v>
      </c>
      <c r="E132" s="671" t="s">
        <v>4260</v>
      </c>
      <c r="F132" s="238"/>
      <c r="G132" s="238"/>
      <c r="H132" s="238"/>
      <c r="I132" s="238"/>
      <c r="J132" s="238">
        <v>3</v>
      </c>
      <c r="K132" s="238">
        <v>23019</v>
      </c>
      <c r="L132" s="238"/>
      <c r="M132" s="238">
        <v>7673</v>
      </c>
      <c r="N132" s="238"/>
      <c r="O132" s="238"/>
      <c r="P132" s="682"/>
      <c r="Q132" s="713"/>
    </row>
    <row r="133" spans="1:17" ht="14.4" customHeight="1" x14ac:dyDescent="0.3">
      <c r="A133" s="680" t="s">
        <v>4202</v>
      </c>
      <c r="B133" s="671" t="s">
        <v>4203</v>
      </c>
      <c r="C133" s="671" t="s">
        <v>3303</v>
      </c>
      <c r="D133" s="671" t="s">
        <v>4261</v>
      </c>
      <c r="E133" s="671" t="s">
        <v>4262</v>
      </c>
      <c r="F133" s="238">
        <v>471</v>
      </c>
      <c r="G133" s="238">
        <v>81012</v>
      </c>
      <c r="H133" s="238">
        <v>1</v>
      </c>
      <c r="I133" s="238">
        <v>172</v>
      </c>
      <c r="J133" s="238">
        <v>410</v>
      </c>
      <c r="K133" s="238">
        <v>70930</v>
      </c>
      <c r="L133" s="238">
        <v>0.8755493013380734</v>
      </c>
      <c r="M133" s="238">
        <v>173</v>
      </c>
      <c r="N133" s="238">
        <v>489</v>
      </c>
      <c r="O133" s="238">
        <v>84597</v>
      </c>
      <c r="P133" s="682">
        <v>1.0442527033032143</v>
      </c>
      <c r="Q133" s="713">
        <v>173</v>
      </c>
    </row>
    <row r="134" spans="1:17" ht="14.4" customHeight="1" x14ac:dyDescent="0.3">
      <c r="A134" s="680" t="s">
        <v>4202</v>
      </c>
      <c r="B134" s="671" t="s">
        <v>4203</v>
      </c>
      <c r="C134" s="671" t="s">
        <v>3303</v>
      </c>
      <c r="D134" s="671" t="s">
        <v>4263</v>
      </c>
      <c r="E134" s="671" t="s">
        <v>4264</v>
      </c>
      <c r="F134" s="238">
        <v>9</v>
      </c>
      <c r="G134" s="238">
        <v>17946</v>
      </c>
      <c r="H134" s="238">
        <v>1</v>
      </c>
      <c r="I134" s="238">
        <v>1994</v>
      </c>
      <c r="J134" s="238">
        <v>4</v>
      </c>
      <c r="K134" s="238">
        <v>7984</v>
      </c>
      <c r="L134" s="238">
        <v>0.44489022623425833</v>
      </c>
      <c r="M134" s="238">
        <v>1996</v>
      </c>
      <c r="N134" s="238">
        <v>11</v>
      </c>
      <c r="O134" s="238">
        <v>21956</v>
      </c>
      <c r="P134" s="682">
        <v>1.2234481221442104</v>
      </c>
      <c r="Q134" s="713">
        <v>1996</v>
      </c>
    </row>
    <row r="135" spans="1:17" ht="14.4" customHeight="1" x14ac:dyDescent="0.3">
      <c r="A135" s="680" t="s">
        <v>4202</v>
      </c>
      <c r="B135" s="671" t="s">
        <v>4203</v>
      </c>
      <c r="C135" s="671" t="s">
        <v>3303</v>
      </c>
      <c r="D135" s="671" t="s">
        <v>4265</v>
      </c>
      <c r="E135" s="671" t="s">
        <v>4266</v>
      </c>
      <c r="F135" s="238"/>
      <c r="G135" s="238"/>
      <c r="H135" s="238"/>
      <c r="I135" s="238"/>
      <c r="J135" s="238">
        <v>1</v>
      </c>
      <c r="K135" s="238">
        <v>2692</v>
      </c>
      <c r="L135" s="238"/>
      <c r="M135" s="238">
        <v>2692</v>
      </c>
      <c r="N135" s="238">
        <v>2</v>
      </c>
      <c r="O135" s="238">
        <v>5384</v>
      </c>
      <c r="P135" s="682"/>
      <c r="Q135" s="713">
        <v>2692</v>
      </c>
    </row>
    <row r="136" spans="1:17" ht="14.4" customHeight="1" x14ac:dyDescent="0.3">
      <c r="A136" s="680" t="s">
        <v>4202</v>
      </c>
      <c r="B136" s="671" t="s">
        <v>4203</v>
      </c>
      <c r="C136" s="671" t="s">
        <v>3303</v>
      </c>
      <c r="D136" s="671" t="s">
        <v>4267</v>
      </c>
      <c r="E136" s="671" t="s">
        <v>4268</v>
      </c>
      <c r="F136" s="238"/>
      <c r="G136" s="238"/>
      <c r="H136" s="238"/>
      <c r="I136" s="238"/>
      <c r="J136" s="238">
        <v>1</v>
      </c>
      <c r="K136" s="238">
        <v>2076</v>
      </c>
      <c r="L136" s="238"/>
      <c r="M136" s="238">
        <v>2076</v>
      </c>
      <c r="N136" s="238"/>
      <c r="O136" s="238"/>
      <c r="P136" s="682"/>
      <c r="Q136" s="713"/>
    </row>
    <row r="137" spans="1:17" ht="14.4" customHeight="1" x14ac:dyDescent="0.3">
      <c r="A137" s="680" t="s">
        <v>4202</v>
      </c>
      <c r="B137" s="671" t="s">
        <v>4203</v>
      </c>
      <c r="C137" s="671" t="s">
        <v>3303</v>
      </c>
      <c r="D137" s="671" t="s">
        <v>4269</v>
      </c>
      <c r="E137" s="671" t="s">
        <v>4270</v>
      </c>
      <c r="F137" s="238"/>
      <c r="G137" s="238"/>
      <c r="H137" s="238"/>
      <c r="I137" s="238"/>
      <c r="J137" s="238"/>
      <c r="K137" s="238"/>
      <c r="L137" s="238"/>
      <c r="M137" s="238"/>
      <c r="N137" s="238">
        <v>8</v>
      </c>
      <c r="O137" s="238">
        <v>1584</v>
      </c>
      <c r="P137" s="682"/>
      <c r="Q137" s="713">
        <v>198</v>
      </c>
    </row>
    <row r="138" spans="1:17" ht="14.4" customHeight="1" x14ac:dyDescent="0.3">
      <c r="A138" s="680" t="s">
        <v>4202</v>
      </c>
      <c r="B138" s="671" t="s">
        <v>4203</v>
      </c>
      <c r="C138" s="671" t="s">
        <v>3303</v>
      </c>
      <c r="D138" s="671" t="s">
        <v>4271</v>
      </c>
      <c r="E138" s="671" t="s">
        <v>4272</v>
      </c>
      <c r="F138" s="238"/>
      <c r="G138" s="238"/>
      <c r="H138" s="238"/>
      <c r="I138" s="238"/>
      <c r="J138" s="238">
        <v>2</v>
      </c>
      <c r="K138" s="238">
        <v>830</v>
      </c>
      <c r="L138" s="238"/>
      <c r="M138" s="238">
        <v>415</v>
      </c>
      <c r="N138" s="238">
        <v>1</v>
      </c>
      <c r="O138" s="238">
        <v>415</v>
      </c>
      <c r="P138" s="682"/>
      <c r="Q138" s="713">
        <v>415</v>
      </c>
    </row>
    <row r="139" spans="1:17" ht="14.4" customHeight="1" x14ac:dyDescent="0.3">
      <c r="A139" s="680" t="s">
        <v>4202</v>
      </c>
      <c r="B139" s="671" t="s">
        <v>4203</v>
      </c>
      <c r="C139" s="671" t="s">
        <v>3303</v>
      </c>
      <c r="D139" s="671" t="s">
        <v>4273</v>
      </c>
      <c r="E139" s="671" t="s">
        <v>4274</v>
      </c>
      <c r="F139" s="238">
        <v>2</v>
      </c>
      <c r="G139" s="238">
        <v>314</v>
      </c>
      <c r="H139" s="238">
        <v>1</v>
      </c>
      <c r="I139" s="238">
        <v>157</v>
      </c>
      <c r="J139" s="238"/>
      <c r="K139" s="238"/>
      <c r="L139" s="238"/>
      <c r="M139" s="238"/>
      <c r="N139" s="238"/>
      <c r="O139" s="238"/>
      <c r="P139" s="682"/>
      <c r="Q139" s="713"/>
    </row>
    <row r="140" spans="1:17" ht="14.4" customHeight="1" x14ac:dyDescent="0.3">
      <c r="A140" s="680" t="s">
        <v>4202</v>
      </c>
      <c r="B140" s="671" t="s">
        <v>4203</v>
      </c>
      <c r="C140" s="671" t="s">
        <v>3303</v>
      </c>
      <c r="D140" s="671" t="s">
        <v>4275</v>
      </c>
      <c r="E140" s="671" t="s">
        <v>4276</v>
      </c>
      <c r="F140" s="238">
        <v>11</v>
      </c>
      <c r="G140" s="238">
        <v>23276</v>
      </c>
      <c r="H140" s="238">
        <v>1</v>
      </c>
      <c r="I140" s="238">
        <v>2116</v>
      </c>
      <c r="J140" s="238"/>
      <c r="K140" s="238"/>
      <c r="L140" s="238"/>
      <c r="M140" s="238"/>
      <c r="N140" s="238">
        <v>9</v>
      </c>
      <c r="O140" s="238">
        <v>19062</v>
      </c>
      <c r="P140" s="682">
        <v>0.81895514693246263</v>
      </c>
      <c r="Q140" s="713">
        <v>2118</v>
      </c>
    </row>
    <row r="141" spans="1:17" ht="14.4" customHeight="1" x14ac:dyDescent="0.3">
      <c r="A141" s="680" t="s">
        <v>4202</v>
      </c>
      <c r="B141" s="671" t="s">
        <v>4203</v>
      </c>
      <c r="C141" s="671" t="s">
        <v>3303</v>
      </c>
      <c r="D141" s="671" t="s">
        <v>4277</v>
      </c>
      <c r="E141" s="671" t="s">
        <v>4250</v>
      </c>
      <c r="F141" s="238"/>
      <c r="G141" s="238"/>
      <c r="H141" s="238"/>
      <c r="I141" s="238"/>
      <c r="J141" s="238">
        <v>2</v>
      </c>
      <c r="K141" s="238">
        <v>3728</v>
      </c>
      <c r="L141" s="238"/>
      <c r="M141" s="238">
        <v>1864</v>
      </c>
      <c r="N141" s="238"/>
      <c r="O141" s="238"/>
      <c r="P141" s="682"/>
      <c r="Q141" s="713"/>
    </row>
    <row r="142" spans="1:17" ht="14.4" customHeight="1" x14ac:dyDescent="0.3">
      <c r="A142" s="680" t="s">
        <v>4202</v>
      </c>
      <c r="B142" s="671" t="s">
        <v>4203</v>
      </c>
      <c r="C142" s="671" t="s">
        <v>3303</v>
      </c>
      <c r="D142" s="671" t="s">
        <v>4278</v>
      </c>
      <c r="E142" s="671" t="s">
        <v>4279</v>
      </c>
      <c r="F142" s="238"/>
      <c r="G142" s="238"/>
      <c r="H142" s="238"/>
      <c r="I142" s="238"/>
      <c r="J142" s="238">
        <v>1</v>
      </c>
      <c r="K142" s="238">
        <v>8384</v>
      </c>
      <c r="L142" s="238"/>
      <c r="M142" s="238">
        <v>8384</v>
      </c>
      <c r="N142" s="238"/>
      <c r="O142" s="238"/>
      <c r="P142" s="682"/>
      <c r="Q142" s="713"/>
    </row>
    <row r="143" spans="1:17" ht="14.4" customHeight="1" x14ac:dyDescent="0.3">
      <c r="A143" s="680" t="s">
        <v>4280</v>
      </c>
      <c r="B143" s="671" t="s">
        <v>4281</v>
      </c>
      <c r="C143" s="671" t="s">
        <v>3303</v>
      </c>
      <c r="D143" s="671" t="s">
        <v>4282</v>
      </c>
      <c r="E143" s="671" t="s">
        <v>4283</v>
      </c>
      <c r="F143" s="238">
        <v>135</v>
      </c>
      <c r="G143" s="238">
        <v>27270</v>
      </c>
      <c r="H143" s="238">
        <v>1</v>
      </c>
      <c r="I143" s="238">
        <v>202</v>
      </c>
      <c r="J143" s="238">
        <v>186</v>
      </c>
      <c r="K143" s="238">
        <v>37758</v>
      </c>
      <c r="L143" s="238">
        <v>1.3845984598459846</v>
      </c>
      <c r="M143" s="238">
        <v>203</v>
      </c>
      <c r="N143" s="238">
        <v>129</v>
      </c>
      <c r="O143" s="238">
        <v>26187</v>
      </c>
      <c r="P143" s="682">
        <v>0.96028602860286028</v>
      </c>
      <c r="Q143" s="713">
        <v>203</v>
      </c>
    </row>
    <row r="144" spans="1:17" ht="14.4" customHeight="1" x14ac:dyDescent="0.3">
      <c r="A144" s="680" t="s">
        <v>4280</v>
      </c>
      <c r="B144" s="671" t="s">
        <v>4281</v>
      </c>
      <c r="C144" s="671" t="s">
        <v>3303</v>
      </c>
      <c r="D144" s="671" t="s">
        <v>4284</v>
      </c>
      <c r="E144" s="671" t="s">
        <v>4285</v>
      </c>
      <c r="F144" s="238">
        <v>12</v>
      </c>
      <c r="G144" s="238">
        <v>3492</v>
      </c>
      <c r="H144" s="238">
        <v>1</v>
      </c>
      <c r="I144" s="238">
        <v>291</v>
      </c>
      <c r="J144" s="238">
        <v>75</v>
      </c>
      <c r="K144" s="238">
        <v>21900</v>
      </c>
      <c r="L144" s="238">
        <v>6.2714776632302405</v>
      </c>
      <c r="M144" s="238">
        <v>292</v>
      </c>
      <c r="N144" s="238">
        <v>50</v>
      </c>
      <c r="O144" s="238">
        <v>14600</v>
      </c>
      <c r="P144" s="682">
        <v>4.1809851088201606</v>
      </c>
      <c r="Q144" s="713">
        <v>292</v>
      </c>
    </row>
    <row r="145" spans="1:17" ht="14.4" customHeight="1" x14ac:dyDescent="0.3">
      <c r="A145" s="680" t="s">
        <v>4280</v>
      </c>
      <c r="B145" s="671" t="s">
        <v>4281</v>
      </c>
      <c r="C145" s="671" t="s">
        <v>3303</v>
      </c>
      <c r="D145" s="671" t="s">
        <v>4286</v>
      </c>
      <c r="E145" s="671" t="s">
        <v>4287</v>
      </c>
      <c r="F145" s="238"/>
      <c r="G145" s="238"/>
      <c r="H145" s="238"/>
      <c r="I145" s="238"/>
      <c r="J145" s="238"/>
      <c r="K145" s="238"/>
      <c r="L145" s="238"/>
      <c r="M145" s="238"/>
      <c r="N145" s="238">
        <v>3</v>
      </c>
      <c r="O145" s="238">
        <v>279</v>
      </c>
      <c r="P145" s="682"/>
      <c r="Q145" s="713">
        <v>93</v>
      </c>
    </row>
    <row r="146" spans="1:17" ht="14.4" customHeight="1" x14ac:dyDescent="0.3">
      <c r="A146" s="680" t="s">
        <v>4280</v>
      </c>
      <c r="B146" s="671" t="s">
        <v>4281</v>
      </c>
      <c r="C146" s="671" t="s">
        <v>3303</v>
      </c>
      <c r="D146" s="671" t="s">
        <v>4288</v>
      </c>
      <c r="E146" s="671" t="s">
        <v>4289</v>
      </c>
      <c r="F146" s="238">
        <v>112</v>
      </c>
      <c r="G146" s="238">
        <v>14896</v>
      </c>
      <c r="H146" s="238">
        <v>1</v>
      </c>
      <c r="I146" s="238">
        <v>133</v>
      </c>
      <c r="J146" s="238">
        <v>107</v>
      </c>
      <c r="K146" s="238">
        <v>14338</v>
      </c>
      <c r="L146" s="238">
        <v>0.96254027926960262</v>
      </c>
      <c r="M146" s="238">
        <v>134</v>
      </c>
      <c r="N146" s="238">
        <v>126</v>
      </c>
      <c r="O146" s="238">
        <v>16884</v>
      </c>
      <c r="P146" s="682">
        <v>1.1334586466165413</v>
      </c>
      <c r="Q146" s="713">
        <v>134</v>
      </c>
    </row>
    <row r="147" spans="1:17" ht="14.4" customHeight="1" x14ac:dyDescent="0.3">
      <c r="A147" s="680" t="s">
        <v>4280</v>
      </c>
      <c r="B147" s="671" t="s">
        <v>4281</v>
      </c>
      <c r="C147" s="671" t="s">
        <v>3303</v>
      </c>
      <c r="D147" s="671" t="s">
        <v>4290</v>
      </c>
      <c r="E147" s="671" t="s">
        <v>4291</v>
      </c>
      <c r="F147" s="238">
        <v>1</v>
      </c>
      <c r="G147" s="238">
        <v>158</v>
      </c>
      <c r="H147" s="238">
        <v>1</v>
      </c>
      <c r="I147" s="238">
        <v>158</v>
      </c>
      <c r="J147" s="238">
        <v>3</v>
      </c>
      <c r="K147" s="238">
        <v>477</v>
      </c>
      <c r="L147" s="238">
        <v>3.018987341772152</v>
      </c>
      <c r="M147" s="238">
        <v>159</v>
      </c>
      <c r="N147" s="238">
        <v>3</v>
      </c>
      <c r="O147" s="238">
        <v>477</v>
      </c>
      <c r="P147" s="682">
        <v>3.018987341772152</v>
      </c>
      <c r="Q147" s="713">
        <v>159</v>
      </c>
    </row>
    <row r="148" spans="1:17" ht="14.4" customHeight="1" x14ac:dyDescent="0.3">
      <c r="A148" s="680" t="s">
        <v>4280</v>
      </c>
      <c r="B148" s="671" t="s">
        <v>4281</v>
      </c>
      <c r="C148" s="671" t="s">
        <v>3303</v>
      </c>
      <c r="D148" s="671" t="s">
        <v>4292</v>
      </c>
      <c r="E148" s="671" t="s">
        <v>4293</v>
      </c>
      <c r="F148" s="238"/>
      <c r="G148" s="238"/>
      <c r="H148" s="238"/>
      <c r="I148" s="238"/>
      <c r="J148" s="238">
        <v>1</v>
      </c>
      <c r="K148" s="238">
        <v>382</v>
      </c>
      <c r="L148" s="238"/>
      <c r="M148" s="238">
        <v>382</v>
      </c>
      <c r="N148" s="238">
        <v>6</v>
      </c>
      <c r="O148" s="238">
        <v>2292</v>
      </c>
      <c r="P148" s="682"/>
      <c r="Q148" s="713">
        <v>382</v>
      </c>
    </row>
    <row r="149" spans="1:17" ht="14.4" customHeight="1" x14ac:dyDescent="0.3">
      <c r="A149" s="680" t="s">
        <v>4280</v>
      </c>
      <c r="B149" s="671" t="s">
        <v>4281</v>
      </c>
      <c r="C149" s="671" t="s">
        <v>3303</v>
      </c>
      <c r="D149" s="671" t="s">
        <v>4294</v>
      </c>
      <c r="E149" s="671" t="s">
        <v>4295</v>
      </c>
      <c r="F149" s="238">
        <v>6</v>
      </c>
      <c r="G149" s="238">
        <v>1566</v>
      </c>
      <c r="H149" s="238">
        <v>1</v>
      </c>
      <c r="I149" s="238">
        <v>261</v>
      </c>
      <c r="J149" s="238">
        <v>16</v>
      </c>
      <c r="K149" s="238">
        <v>4192</v>
      </c>
      <c r="L149" s="238">
        <v>2.676883780332056</v>
      </c>
      <c r="M149" s="238">
        <v>262</v>
      </c>
      <c r="N149" s="238">
        <v>20</v>
      </c>
      <c r="O149" s="238">
        <v>5240</v>
      </c>
      <c r="P149" s="682">
        <v>3.3461047254150702</v>
      </c>
      <c r="Q149" s="713">
        <v>262</v>
      </c>
    </row>
    <row r="150" spans="1:17" ht="14.4" customHeight="1" x14ac:dyDescent="0.3">
      <c r="A150" s="680" t="s">
        <v>4280</v>
      </c>
      <c r="B150" s="671" t="s">
        <v>4281</v>
      </c>
      <c r="C150" s="671" t="s">
        <v>3303</v>
      </c>
      <c r="D150" s="671" t="s">
        <v>4296</v>
      </c>
      <c r="E150" s="671" t="s">
        <v>4297</v>
      </c>
      <c r="F150" s="238">
        <v>22</v>
      </c>
      <c r="G150" s="238">
        <v>3080</v>
      </c>
      <c r="H150" s="238">
        <v>1</v>
      </c>
      <c r="I150" s="238">
        <v>140</v>
      </c>
      <c r="J150" s="238">
        <v>23</v>
      </c>
      <c r="K150" s="238">
        <v>3243</v>
      </c>
      <c r="L150" s="238">
        <v>1.0529220779220778</v>
      </c>
      <c r="M150" s="238">
        <v>141</v>
      </c>
      <c r="N150" s="238">
        <v>18</v>
      </c>
      <c r="O150" s="238">
        <v>2538</v>
      </c>
      <c r="P150" s="682">
        <v>0.824025974025974</v>
      </c>
      <c r="Q150" s="713">
        <v>141</v>
      </c>
    </row>
    <row r="151" spans="1:17" ht="14.4" customHeight="1" x14ac:dyDescent="0.3">
      <c r="A151" s="680" t="s">
        <v>4280</v>
      </c>
      <c r="B151" s="671" t="s">
        <v>4281</v>
      </c>
      <c r="C151" s="671" t="s">
        <v>3303</v>
      </c>
      <c r="D151" s="671" t="s">
        <v>4298</v>
      </c>
      <c r="E151" s="671" t="s">
        <v>4297</v>
      </c>
      <c r="F151" s="238">
        <v>112</v>
      </c>
      <c r="G151" s="238">
        <v>8736</v>
      </c>
      <c r="H151" s="238">
        <v>1</v>
      </c>
      <c r="I151" s="238">
        <v>78</v>
      </c>
      <c r="J151" s="238">
        <v>107</v>
      </c>
      <c r="K151" s="238">
        <v>8346</v>
      </c>
      <c r="L151" s="238">
        <v>0.9553571428571429</v>
      </c>
      <c r="M151" s="238">
        <v>78</v>
      </c>
      <c r="N151" s="238">
        <v>126</v>
      </c>
      <c r="O151" s="238">
        <v>9828</v>
      </c>
      <c r="P151" s="682">
        <v>1.125</v>
      </c>
      <c r="Q151" s="713">
        <v>78</v>
      </c>
    </row>
    <row r="152" spans="1:17" ht="14.4" customHeight="1" x14ac:dyDescent="0.3">
      <c r="A152" s="680" t="s">
        <v>4280</v>
      </c>
      <c r="B152" s="671" t="s">
        <v>4281</v>
      </c>
      <c r="C152" s="671" t="s">
        <v>3303</v>
      </c>
      <c r="D152" s="671" t="s">
        <v>4299</v>
      </c>
      <c r="E152" s="671" t="s">
        <v>4300</v>
      </c>
      <c r="F152" s="238">
        <v>22</v>
      </c>
      <c r="G152" s="238">
        <v>6644</v>
      </c>
      <c r="H152" s="238">
        <v>1</v>
      </c>
      <c r="I152" s="238">
        <v>302</v>
      </c>
      <c r="J152" s="238">
        <v>23</v>
      </c>
      <c r="K152" s="238">
        <v>6969</v>
      </c>
      <c r="L152" s="238">
        <v>1.0489163154726069</v>
      </c>
      <c r="M152" s="238">
        <v>303</v>
      </c>
      <c r="N152" s="238">
        <v>18</v>
      </c>
      <c r="O152" s="238">
        <v>5454</v>
      </c>
      <c r="P152" s="682">
        <v>0.82089102950030102</v>
      </c>
      <c r="Q152" s="713">
        <v>303</v>
      </c>
    </row>
    <row r="153" spans="1:17" ht="14.4" customHeight="1" x14ac:dyDescent="0.3">
      <c r="A153" s="680" t="s">
        <v>4280</v>
      </c>
      <c r="B153" s="671" t="s">
        <v>4281</v>
      </c>
      <c r="C153" s="671" t="s">
        <v>3303</v>
      </c>
      <c r="D153" s="671" t="s">
        <v>4301</v>
      </c>
      <c r="E153" s="671" t="s">
        <v>4302</v>
      </c>
      <c r="F153" s="238">
        <v>1</v>
      </c>
      <c r="G153" s="238">
        <v>486</v>
      </c>
      <c r="H153" s="238">
        <v>1</v>
      </c>
      <c r="I153" s="238">
        <v>486</v>
      </c>
      <c r="J153" s="238">
        <v>5</v>
      </c>
      <c r="K153" s="238">
        <v>2430</v>
      </c>
      <c r="L153" s="238">
        <v>5</v>
      </c>
      <c r="M153" s="238">
        <v>486</v>
      </c>
      <c r="N153" s="238">
        <v>8</v>
      </c>
      <c r="O153" s="238">
        <v>3888</v>
      </c>
      <c r="P153" s="682">
        <v>8</v>
      </c>
      <c r="Q153" s="713">
        <v>486</v>
      </c>
    </row>
    <row r="154" spans="1:17" ht="14.4" customHeight="1" x14ac:dyDescent="0.3">
      <c r="A154" s="680" t="s">
        <v>4280</v>
      </c>
      <c r="B154" s="671" t="s">
        <v>4281</v>
      </c>
      <c r="C154" s="671" t="s">
        <v>3303</v>
      </c>
      <c r="D154" s="671" t="s">
        <v>4303</v>
      </c>
      <c r="E154" s="671" t="s">
        <v>4304</v>
      </c>
      <c r="F154" s="238">
        <v>71</v>
      </c>
      <c r="G154" s="238">
        <v>11289</v>
      </c>
      <c r="H154" s="238">
        <v>1</v>
      </c>
      <c r="I154" s="238">
        <v>159</v>
      </c>
      <c r="J154" s="238">
        <v>76</v>
      </c>
      <c r="K154" s="238">
        <v>12160</v>
      </c>
      <c r="L154" s="238">
        <v>1.0771547524138543</v>
      </c>
      <c r="M154" s="238">
        <v>160</v>
      </c>
      <c r="N154" s="238">
        <v>78</v>
      </c>
      <c r="O154" s="238">
        <v>12480</v>
      </c>
      <c r="P154" s="682">
        <v>1.1055009301089556</v>
      </c>
      <c r="Q154" s="713">
        <v>160</v>
      </c>
    </row>
    <row r="155" spans="1:17" ht="14.4" customHeight="1" x14ac:dyDescent="0.3">
      <c r="A155" s="680" t="s">
        <v>4280</v>
      </c>
      <c r="B155" s="671" t="s">
        <v>4281</v>
      </c>
      <c r="C155" s="671" t="s">
        <v>3303</v>
      </c>
      <c r="D155" s="671" t="s">
        <v>4305</v>
      </c>
      <c r="E155" s="671" t="s">
        <v>4283</v>
      </c>
      <c r="F155" s="238">
        <v>312</v>
      </c>
      <c r="G155" s="238">
        <v>21840</v>
      </c>
      <c r="H155" s="238">
        <v>1</v>
      </c>
      <c r="I155" s="238">
        <v>70</v>
      </c>
      <c r="J155" s="238">
        <v>289</v>
      </c>
      <c r="K155" s="238">
        <v>20230</v>
      </c>
      <c r="L155" s="238">
        <v>0.92628205128205132</v>
      </c>
      <c r="M155" s="238">
        <v>70</v>
      </c>
      <c r="N155" s="238">
        <v>323</v>
      </c>
      <c r="O155" s="238">
        <v>22610</v>
      </c>
      <c r="P155" s="682">
        <v>1.0352564102564104</v>
      </c>
      <c r="Q155" s="713">
        <v>70</v>
      </c>
    </row>
    <row r="156" spans="1:17" ht="14.4" customHeight="1" x14ac:dyDescent="0.3">
      <c r="A156" s="680" t="s">
        <v>4280</v>
      </c>
      <c r="B156" s="671" t="s">
        <v>4281</v>
      </c>
      <c r="C156" s="671" t="s">
        <v>3303</v>
      </c>
      <c r="D156" s="671" t="s">
        <v>4306</v>
      </c>
      <c r="E156" s="671" t="s">
        <v>4307</v>
      </c>
      <c r="F156" s="238">
        <v>1</v>
      </c>
      <c r="G156" s="238">
        <v>1186</v>
      </c>
      <c r="H156" s="238">
        <v>1</v>
      </c>
      <c r="I156" s="238">
        <v>1186</v>
      </c>
      <c r="J156" s="238">
        <v>2</v>
      </c>
      <c r="K156" s="238">
        <v>2378</v>
      </c>
      <c r="L156" s="238">
        <v>2.0050590219224285</v>
      </c>
      <c r="M156" s="238">
        <v>1189</v>
      </c>
      <c r="N156" s="238">
        <v>4</v>
      </c>
      <c r="O156" s="238">
        <v>4756</v>
      </c>
      <c r="P156" s="682">
        <v>4.0101180438448569</v>
      </c>
      <c r="Q156" s="713">
        <v>1189</v>
      </c>
    </row>
    <row r="157" spans="1:17" ht="14.4" customHeight="1" x14ac:dyDescent="0.3">
      <c r="A157" s="680" t="s">
        <v>4280</v>
      </c>
      <c r="B157" s="671" t="s">
        <v>4281</v>
      </c>
      <c r="C157" s="671" t="s">
        <v>3303</v>
      </c>
      <c r="D157" s="671" t="s">
        <v>4308</v>
      </c>
      <c r="E157" s="671" t="s">
        <v>4309</v>
      </c>
      <c r="F157" s="238">
        <v>1</v>
      </c>
      <c r="G157" s="238">
        <v>107</v>
      </c>
      <c r="H157" s="238">
        <v>1</v>
      </c>
      <c r="I157" s="238">
        <v>107</v>
      </c>
      <c r="J157" s="238">
        <v>2</v>
      </c>
      <c r="K157" s="238">
        <v>216</v>
      </c>
      <c r="L157" s="238">
        <v>2.0186915887850465</v>
      </c>
      <c r="M157" s="238">
        <v>108</v>
      </c>
      <c r="N157" s="238">
        <v>3</v>
      </c>
      <c r="O157" s="238">
        <v>324</v>
      </c>
      <c r="P157" s="682">
        <v>3.02803738317757</v>
      </c>
      <c r="Q157" s="713">
        <v>108</v>
      </c>
    </row>
    <row r="158" spans="1:17" ht="14.4" customHeight="1" x14ac:dyDescent="0.3">
      <c r="A158" s="680" t="s">
        <v>4280</v>
      </c>
      <c r="B158" s="671" t="s">
        <v>4281</v>
      </c>
      <c r="C158" s="671" t="s">
        <v>3303</v>
      </c>
      <c r="D158" s="671" t="s">
        <v>4310</v>
      </c>
      <c r="E158" s="671" t="s">
        <v>4311</v>
      </c>
      <c r="F158" s="238">
        <v>1</v>
      </c>
      <c r="G158" s="238">
        <v>143</v>
      </c>
      <c r="H158" s="238">
        <v>1</v>
      </c>
      <c r="I158" s="238">
        <v>143</v>
      </c>
      <c r="J158" s="238"/>
      <c r="K158" s="238"/>
      <c r="L158" s="238"/>
      <c r="M158" s="238"/>
      <c r="N158" s="238"/>
      <c r="O158" s="238"/>
      <c r="P158" s="682"/>
      <c r="Q158" s="713"/>
    </row>
    <row r="159" spans="1:17" ht="14.4" customHeight="1" x14ac:dyDescent="0.3">
      <c r="A159" s="680" t="s">
        <v>4312</v>
      </c>
      <c r="B159" s="671" t="s">
        <v>4313</v>
      </c>
      <c r="C159" s="671" t="s">
        <v>3303</v>
      </c>
      <c r="D159" s="671" t="s">
        <v>4314</v>
      </c>
      <c r="E159" s="671" t="s">
        <v>4315</v>
      </c>
      <c r="F159" s="238">
        <v>2</v>
      </c>
      <c r="G159" s="238">
        <v>106</v>
      </c>
      <c r="H159" s="238">
        <v>1</v>
      </c>
      <c r="I159" s="238">
        <v>53</v>
      </c>
      <c r="J159" s="238">
        <v>14</v>
      </c>
      <c r="K159" s="238">
        <v>742</v>
      </c>
      <c r="L159" s="238">
        <v>7</v>
      </c>
      <c r="M159" s="238">
        <v>53</v>
      </c>
      <c r="N159" s="238">
        <v>4</v>
      </c>
      <c r="O159" s="238">
        <v>212</v>
      </c>
      <c r="P159" s="682">
        <v>2</v>
      </c>
      <c r="Q159" s="713">
        <v>53</v>
      </c>
    </row>
    <row r="160" spans="1:17" ht="14.4" customHeight="1" x14ac:dyDescent="0.3">
      <c r="A160" s="680" t="s">
        <v>4312</v>
      </c>
      <c r="B160" s="671" t="s">
        <v>4313</v>
      </c>
      <c r="C160" s="671" t="s">
        <v>3303</v>
      </c>
      <c r="D160" s="671" t="s">
        <v>4316</v>
      </c>
      <c r="E160" s="671" t="s">
        <v>4317</v>
      </c>
      <c r="F160" s="238">
        <v>6</v>
      </c>
      <c r="G160" s="238">
        <v>720</v>
      </c>
      <c r="H160" s="238">
        <v>1</v>
      </c>
      <c r="I160" s="238">
        <v>120</v>
      </c>
      <c r="J160" s="238">
        <v>2</v>
      </c>
      <c r="K160" s="238">
        <v>242</v>
      </c>
      <c r="L160" s="238">
        <v>0.33611111111111114</v>
      </c>
      <c r="M160" s="238">
        <v>121</v>
      </c>
      <c r="N160" s="238">
        <v>8</v>
      </c>
      <c r="O160" s="238">
        <v>968</v>
      </c>
      <c r="P160" s="682">
        <v>1.3444444444444446</v>
      </c>
      <c r="Q160" s="713">
        <v>121</v>
      </c>
    </row>
    <row r="161" spans="1:17" ht="14.4" customHeight="1" x14ac:dyDescent="0.3">
      <c r="A161" s="680" t="s">
        <v>4312</v>
      </c>
      <c r="B161" s="671" t="s">
        <v>4313</v>
      </c>
      <c r="C161" s="671" t="s">
        <v>3303</v>
      </c>
      <c r="D161" s="671" t="s">
        <v>4318</v>
      </c>
      <c r="E161" s="671" t="s">
        <v>4319</v>
      </c>
      <c r="F161" s="238"/>
      <c r="G161" s="238"/>
      <c r="H161" s="238"/>
      <c r="I161" s="238"/>
      <c r="J161" s="238">
        <v>5</v>
      </c>
      <c r="K161" s="238">
        <v>840</v>
      </c>
      <c r="L161" s="238"/>
      <c r="M161" s="238">
        <v>168</v>
      </c>
      <c r="N161" s="238">
        <v>2</v>
      </c>
      <c r="O161" s="238">
        <v>336</v>
      </c>
      <c r="P161" s="682"/>
      <c r="Q161" s="713">
        <v>168</v>
      </c>
    </row>
    <row r="162" spans="1:17" ht="14.4" customHeight="1" x14ac:dyDescent="0.3">
      <c r="A162" s="680" t="s">
        <v>4312</v>
      </c>
      <c r="B162" s="671" t="s">
        <v>4313</v>
      </c>
      <c r="C162" s="671" t="s">
        <v>3303</v>
      </c>
      <c r="D162" s="671" t="s">
        <v>4320</v>
      </c>
      <c r="E162" s="671" t="s">
        <v>4321</v>
      </c>
      <c r="F162" s="238"/>
      <c r="G162" s="238"/>
      <c r="H162" s="238"/>
      <c r="I162" s="238"/>
      <c r="J162" s="238">
        <v>11</v>
      </c>
      <c r="K162" s="238">
        <v>3476</v>
      </c>
      <c r="L162" s="238"/>
      <c r="M162" s="238">
        <v>316</v>
      </c>
      <c r="N162" s="238">
        <v>2</v>
      </c>
      <c r="O162" s="238">
        <v>632</v>
      </c>
      <c r="P162" s="682"/>
      <c r="Q162" s="713">
        <v>316</v>
      </c>
    </row>
    <row r="163" spans="1:17" ht="14.4" customHeight="1" x14ac:dyDescent="0.3">
      <c r="A163" s="680" t="s">
        <v>4312</v>
      </c>
      <c r="B163" s="671" t="s">
        <v>4313</v>
      </c>
      <c r="C163" s="671" t="s">
        <v>3303</v>
      </c>
      <c r="D163" s="671" t="s">
        <v>4322</v>
      </c>
      <c r="E163" s="671" t="s">
        <v>4323</v>
      </c>
      <c r="F163" s="238"/>
      <c r="G163" s="238"/>
      <c r="H163" s="238"/>
      <c r="I163" s="238"/>
      <c r="J163" s="238">
        <v>1</v>
      </c>
      <c r="K163" s="238">
        <v>365</v>
      </c>
      <c r="L163" s="238"/>
      <c r="M163" s="238">
        <v>365</v>
      </c>
      <c r="N163" s="238"/>
      <c r="O163" s="238"/>
      <c r="P163" s="682"/>
      <c r="Q163" s="713"/>
    </row>
    <row r="164" spans="1:17" ht="14.4" customHeight="1" x14ac:dyDescent="0.3">
      <c r="A164" s="680" t="s">
        <v>4312</v>
      </c>
      <c r="B164" s="671" t="s">
        <v>4313</v>
      </c>
      <c r="C164" s="671" t="s">
        <v>3303</v>
      </c>
      <c r="D164" s="671" t="s">
        <v>4026</v>
      </c>
      <c r="E164" s="671" t="s">
        <v>4027</v>
      </c>
      <c r="F164" s="238"/>
      <c r="G164" s="238"/>
      <c r="H164" s="238"/>
      <c r="I164" s="238"/>
      <c r="J164" s="238">
        <v>1</v>
      </c>
      <c r="K164" s="238">
        <v>664</v>
      </c>
      <c r="L164" s="238"/>
      <c r="M164" s="238">
        <v>664</v>
      </c>
      <c r="N164" s="238"/>
      <c r="O164" s="238"/>
      <c r="P164" s="682"/>
      <c r="Q164" s="713"/>
    </row>
    <row r="165" spans="1:17" ht="14.4" customHeight="1" x14ac:dyDescent="0.3">
      <c r="A165" s="680" t="s">
        <v>4312</v>
      </c>
      <c r="B165" s="671" t="s">
        <v>4313</v>
      </c>
      <c r="C165" s="671" t="s">
        <v>3303</v>
      </c>
      <c r="D165" s="671" t="s">
        <v>4324</v>
      </c>
      <c r="E165" s="671" t="s">
        <v>4325</v>
      </c>
      <c r="F165" s="238">
        <v>5</v>
      </c>
      <c r="G165" s="238">
        <v>1400</v>
      </c>
      <c r="H165" s="238">
        <v>1</v>
      </c>
      <c r="I165" s="238">
        <v>280</v>
      </c>
      <c r="J165" s="238">
        <v>2</v>
      </c>
      <c r="K165" s="238">
        <v>562</v>
      </c>
      <c r="L165" s="238">
        <v>0.40142857142857141</v>
      </c>
      <c r="M165" s="238">
        <v>281</v>
      </c>
      <c r="N165" s="238">
        <v>5</v>
      </c>
      <c r="O165" s="238">
        <v>1405</v>
      </c>
      <c r="P165" s="682">
        <v>1.0035714285714286</v>
      </c>
      <c r="Q165" s="713">
        <v>281</v>
      </c>
    </row>
    <row r="166" spans="1:17" ht="14.4" customHeight="1" x14ac:dyDescent="0.3">
      <c r="A166" s="680" t="s">
        <v>4312</v>
      </c>
      <c r="B166" s="671" t="s">
        <v>4313</v>
      </c>
      <c r="C166" s="671" t="s">
        <v>3303</v>
      </c>
      <c r="D166" s="671" t="s">
        <v>4326</v>
      </c>
      <c r="E166" s="671" t="s">
        <v>4327</v>
      </c>
      <c r="F166" s="238"/>
      <c r="G166" s="238"/>
      <c r="H166" s="238"/>
      <c r="I166" s="238"/>
      <c r="J166" s="238">
        <v>2</v>
      </c>
      <c r="K166" s="238">
        <v>912</v>
      </c>
      <c r="L166" s="238"/>
      <c r="M166" s="238">
        <v>456</v>
      </c>
      <c r="N166" s="238">
        <v>3</v>
      </c>
      <c r="O166" s="238">
        <v>1368</v>
      </c>
      <c r="P166" s="682"/>
      <c r="Q166" s="713">
        <v>456</v>
      </c>
    </row>
    <row r="167" spans="1:17" ht="14.4" customHeight="1" x14ac:dyDescent="0.3">
      <c r="A167" s="680" t="s">
        <v>4312</v>
      </c>
      <c r="B167" s="671" t="s">
        <v>4313</v>
      </c>
      <c r="C167" s="671" t="s">
        <v>3303</v>
      </c>
      <c r="D167" s="671" t="s">
        <v>4328</v>
      </c>
      <c r="E167" s="671" t="s">
        <v>4329</v>
      </c>
      <c r="F167" s="238">
        <v>5</v>
      </c>
      <c r="G167" s="238">
        <v>1725</v>
      </c>
      <c r="H167" s="238">
        <v>1</v>
      </c>
      <c r="I167" s="238">
        <v>345</v>
      </c>
      <c r="J167" s="238">
        <v>4</v>
      </c>
      <c r="K167" s="238">
        <v>1392</v>
      </c>
      <c r="L167" s="238">
        <v>0.80695652173913046</v>
      </c>
      <c r="M167" s="238">
        <v>348</v>
      </c>
      <c r="N167" s="238">
        <v>8</v>
      </c>
      <c r="O167" s="238">
        <v>2784</v>
      </c>
      <c r="P167" s="682">
        <v>1.6139130434782609</v>
      </c>
      <c r="Q167" s="713">
        <v>348</v>
      </c>
    </row>
    <row r="168" spans="1:17" ht="14.4" customHeight="1" x14ac:dyDescent="0.3">
      <c r="A168" s="680" t="s">
        <v>4312</v>
      </c>
      <c r="B168" s="671" t="s">
        <v>4313</v>
      </c>
      <c r="C168" s="671" t="s">
        <v>3303</v>
      </c>
      <c r="D168" s="671" t="s">
        <v>4330</v>
      </c>
      <c r="E168" s="671" t="s">
        <v>4331</v>
      </c>
      <c r="F168" s="238"/>
      <c r="G168" s="238"/>
      <c r="H168" s="238"/>
      <c r="I168" s="238"/>
      <c r="J168" s="238">
        <v>9</v>
      </c>
      <c r="K168" s="238">
        <v>3861</v>
      </c>
      <c r="L168" s="238"/>
      <c r="M168" s="238">
        <v>429</v>
      </c>
      <c r="N168" s="238"/>
      <c r="O168" s="238"/>
      <c r="P168" s="682"/>
      <c r="Q168" s="713"/>
    </row>
    <row r="169" spans="1:17" ht="14.4" customHeight="1" x14ac:dyDescent="0.3">
      <c r="A169" s="680" t="s">
        <v>4312</v>
      </c>
      <c r="B169" s="671" t="s">
        <v>4313</v>
      </c>
      <c r="C169" s="671" t="s">
        <v>3303</v>
      </c>
      <c r="D169" s="671" t="s">
        <v>4332</v>
      </c>
      <c r="E169" s="671" t="s">
        <v>4333</v>
      </c>
      <c r="F169" s="238">
        <v>6</v>
      </c>
      <c r="G169" s="238">
        <v>318</v>
      </c>
      <c r="H169" s="238">
        <v>1</v>
      </c>
      <c r="I169" s="238">
        <v>53</v>
      </c>
      <c r="J169" s="238"/>
      <c r="K169" s="238"/>
      <c r="L169" s="238"/>
      <c r="M169" s="238"/>
      <c r="N169" s="238">
        <v>4</v>
      </c>
      <c r="O169" s="238">
        <v>212</v>
      </c>
      <c r="P169" s="682">
        <v>0.66666666666666663</v>
      </c>
      <c r="Q169" s="713">
        <v>53</v>
      </c>
    </row>
    <row r="170" spans="1:17" ht="14.4" customHeight="1" x14ac:dyDescent="0.3">
      <c r="A170" s="680" t="s">
        <v>4312</v>
      </c>
      <c r="B170" s="671" t="s">
        <v>4313</v>
      </c>
      <c r="C170" s="671" t="s">
        <v>3303</v>
      </c>
      <c r="D170" s="671" t="s">
        <v>4334</v>
      </c>
      <c r="E170" s="671" t="s">
        <v>4335</v>
      </c>
      <c r="F170" s="238">
        <v>14</v>
      </c>
      <c r="G170" s="238">
        <v>2296</v>
      </c>
      <c r="H170" s="238">
        <v>1</v>
      </c>
      <c r="I170" s="238">
        <v>164</v>
      </c>
      <c r="J170" s="238">
        <v>58</v>
      </c>
      <c r="K170" s="238">
        <v>9570</v>
      </c>
      <c r="L170" s="238">
        <v>4.1681184668989548</v>
      </c>
      <c r="M170" s="238">
        <v>165</v>
      </c>
      <c r="N170" s="238">
        <v>10</v>
      </c>
      <c r="O170" s="238">
        <v>1650</v>
      </c>
      <c r="P170" s="682">
        <v>0.71864111498257843</v>
      </c>
      <c r="Q170" s="713">
        <v>165</v>
      </c>
    </row>
    <row r="171" spans="1:17" ht="14.4" customHeight="1" x14ac:dyDescent="0.3">
      <c r="A171" s="680" t="s">
        <v>4312</v>
      </c>
      <c r="B171" s="671" t="s">
        <v>4313</v>
      </c>
      <c r="C171" s="671" t="s">
        <v>3303</v>
      </c>
      <c r="D171" s="671" t="s">
        <v>4032</v>
      </c>
      <c r="E171" s="671" t="s">
        <v>4033</v>
      </c>
      <c r="F171" s="238"/>
      <c r="G171" s="238"/>
      <c r="H171" s="238"/>
      <c r="I171" s="238"/>
      <c r="J171" s="238">
        <v>6</v>
      </c>
      <c r="K171" s="238">
        <v>474</v>
      </c>
      <c r="L171" s="238"/>
      <c r="M171" s="238">
        <v>79</v>
      </c>
      <c r="N171" s="238"/>
      <c r="O171" s="238"/>
      <c r="P171" s="682"/>
      <c r="Q171" s="713"/>
    </row>
    <row r="172" spans="1:17" ht="14.4" customHeight="1" x14ac:dyDescent="0.3">
      <c r="A172" s="680" t="s">
        <v>4312</v>
      </c>
      <c r="B172" s="671" t="s">
        <v>4313</v>
      </c>
      <c r="C172" s="671" t="s">
        <v>3303</v>
      </c>
      <c r="D172" s="671" t="s">
        <v>4336</v>
      </c>
      <c r="E172" s="671" t="s">
        <v>4337</v>
      </c>
      <c r="F172" s="238"/>
      <c r="G172" s="238"/>
      <c r="H172" s="238"/>
      <c r="I172" s="238"/>
      <c r="J172" s="238"/>
      <c r="K172" s="238"/>
      <c r="L172" s="238"/>
      <c r="M172" s="238"/>
      <c r="N172" s="238">
        <v>1</v>
      </c>
      <c r="O172" s="238">
        <v>160</v>
      </c>
      <c r="P172" s="682"/>
      <c r="Q172" s="713">
        <v>160</v>
      </c>
    </row>
    <row r="173" spans="1:17" ht="14.4" customHeight="1" x14ac:dyDescent="0.3">
      <c r="A173" s="680" t="s">
        <v>4312</v>
      </c>
      <c r="B173" s="671" t="s">
        <v>4313</v>
      </c>
      <c r="C173" s="671" t="s">
        <v>3303</v>
      </c>
      <c r="D173" s="671" t="s">
        <v>4338</v>
      </c>
      <c r="E173" s="671" t="s">
        <v>4339</v>
      </c>
      <c r="F173" s="238"/>
      <c r="G173" s="238"/>
      <c r="H173" s="238"/>
      <c r="I173" s="238"/>
      <c r="J173" s="238">
        <v>1</v>
      </c>
      <c r="K173" s="238">
        <v>167</v>
      </c>
      <c r="L173" s="238"/>
      <c r="M173" s="238">
        <v>167</v>
      </c>
      <c r="N173" s="238"/>
      <c r="O173" s="238"/>
      <c r="P173" s="682"/>
      <c r="Q173" s="713"/>
    </row>
    <row r="174" spans="1:17" ht="14.4" customHeight="1" x14ac:dyDescent="0.3">
      <c r="A174" s="680" t="s">
        <v>4312</v>
      </c>
      <c r="B174" s="671" t="s">
        <v>4313</v>
      </c>
      <c r="C174" s="671" t="s">
        <v>3303</v>
      </c>
      <c r="D174" s="671" t="s">
        <v>4340</v>
      </c>
      <c r="E174" s="671" t="s">
        <v>4341</v>
      </c>
      <c r="F174" s="238"/>
      <c r="G174" s="238"/>
      <c r="H174" s="238"/>
      <c r="I174" s="238"/>
      <c r="J174" s="238">
        <v>2</v>
      </c>
      <c r="K174" s="238">
        <v>486</v>
      </c>
      <c r="L174" s="238"/>
      <c r="M174" s="238">
        <v>243</v>
      </c>
      <c r="N174" s="238"/>
      <c r="O174" s="238"/>
      <c r="P174" s="682"/>
      <c r="Q174" s="713"/>
    </row>
    <row r="175" spans="1:17" ht="14.4" customHeight="1" x14ac:dyDescent="0.3">
      <c r="A175" s="680" t="s">
        <v>4312</v>
      </c>
      <c r="B175" s="671" t="s">
        <v>4313</v>
      </c>
      <c r="C175" s="671" t="s">
        <v>3303</v>
      </c>
      <c r="D175" s="671" t="s">
        <v>4342</v>
      </c>
      <c r="E175" s="671" t="s">
        <v>4343</v>
      </c>
      <c r="F175" s="238">
        <v>1</v>
      </c>
      <c r="G175" s="238">
        <v>399</v>
      </c>
      <c r="H175" s="238">
        <v>1</v>
      </c>
      <c r="I175" s="238">
        <v>399</v>
      </c>
      <c r="J175" s="238">
        <v>3</v>
      </c>
      <c r="K175" s="238">
        <v>1212</v>
      </c>
      <c r="L175" s="238">
        <v>3.0375939849624061</v>
      </c>
      <c r="M175" s="238">
        <v>404</v>
      </c>
      <c r="N175" s="238"/>
      <c r="O175" s="238"/>
      <c r="P175" s="682"/>
      <c r="Q175" s="713"/>
    </row>
    <row r="176" spans="1:17" ht="14.4" customHeight="1" x14ac:dyDescent="0.3">
      <c r="A176" s="680" t="s">
        <v>4312</v>
      </c>
      <c r="B176" s="671" t="s">
        <v>4199</v>
      </c>
      <c r="C176" s="671" t="s">
        <v>3303</v>
      </c>
      <c r="D176" s="671" t="s">
        <v>4019</v>
      </c>
      <c r="E176" s="671" t="s">
        <v>4020</v>
      </c>
      <c r="F176" s="238"/>
      <c r="G176" s="238"/>
      <c r="H176" s="238"/>
      <c r="I176" s="238"/>
      <c r="J176" s="238">
        <v>5</v>
      </c>
      <c r="K176" s="238">
        <v>6225</v>
      </c>
      <c r="L176" s="238"/>
      <c r="M176" s="238">
        <v>1245</v>
      </c>
      <c r="N176" s="238"/>
      <c r="O176" s="238"/>
      <c r="P176" s="682"/>
      <c r="Q176" s="713"/>
    </row>
    <row r="177" spans="1:17" ht="14.4" customHeight="1" x14ac:dyDescent="0.3">
      <c r="A177" s="680" t="s">
        <v>4312</v>
      </c>
      <c r="B177" s="671" t="s">
        <v>4199</v>
      </c>
      <c r="C177" s="671" t="s">
        <v>3303</v>
      </c>
      <c r="D177" s="671" t="s">
        <v>4023</v>
      </c>
      <c r="E177" s="671" t="s">
        <v>4024</v>
      </c>
      <c r="F177" s="238"/>
      <c r="G177" s="238"/>
      <c r="H177" s="238"/>
      <c r="I177" s="238"/>
      <c r="J177" s="238">
        <v>15</v>
      </c>
      <c r="K177" s="238">
        <v>33495</v>
      </c>
      <c r="L177" s="238"/>
      <c r="M177" s="238">
        <v>2233</v>
      </c>
      <c r="N177" s="238"/>
      <c r="O177" s="238"/>
      <c r="P177" s="682"/>
      <c r="Q177" s="713"/>
    </row>
    <row r="178" spans="1:17" ht="14.4" customHeight="1" x14ac:dyDescent="0.3">
      <c r="A178" s="680" t="s">
        <v>4312</v>
      </c>
      <c r="B178" s="671" t="s">
        <v>4199</v>
      </c>
      <c r="C178" s="671" t="s">
        <v>3303</v>
      </c>
      <c r="D178" s="671" t="s">
        <v>4200</v>
      </c>
      <c r="E178" s="671" t="s">
        <v>4201</v>
      </c>
      <c r="F178" s="238"/>
      <c r="G178" s="238"/>
      <c r="H178" s="238"/>
      <c r="I178" s="238"/>
      <c r="J178" s="238">
        <v>15</v>
      </c>
      <c r="K178" s="238">
        <v>2565</v>
      </c>
      <c r="L178" s="238"/>
      <c r="M178" s="238">
        <v>171</v>
      </c>
      <c r="N178" s="238"/>
      <c r="O178" s="238"/>
      <c r="P178" s="682"/>
      <c r="Q178" s="713"/>
    </row>
    <row r="179" spans="1:17" ht="14.4" customHeight="1" x14ac:dyDescent="0.3">
      <c r="A179" s="680" t="s">
        <v>4344</v>
      </c>
      <c r="B179" s="671" t="s">
        <v>593</v>
      </c>
      <c r="C179" s="671" t="s">
        <v>3303</v>
      </c>
      <c r="D179" s="671" t="s">
        <v>4345</v>
      </c>
      <c r="E179" s="671" t="s">
        <v>4346</v>
      </c>
      <c r="F179" s="238">
        <v>180</v>
      </c>
      <c r="G179" s="238">
        <v>28440</v>
      </c>
      <c r="H179" s="238">
        <v>1</v>
      </c>
      <c r="I179" s="238">
        <v>158</v>
      </c>
      <c r="J179" s="238">
        <v>156</v>
      </c>
      <c r="K179" s="238">
        <v>24804</v>
      </c>
      <c r="L179" s="238">
        <v>0.8721518987341772</v>
      </c>
      <c r="M179" s="238">
        <v>159</v>
      </c>
      <c r="N179" s="238">
        <v>152</v>
      </c>
      <c r="O179" s="238">
        <v>24168</v>
      </c>
      <c r="P179" s="682">
        <v>0.84978902953586499</v>
      </c>
      <c r="Q179" s="713">
        <v>159</v>
      </c>
    </row>
    <row r="180" spans="1:17" ht="14.4" customHeight="1" x14ac:dyDescent="0.3">
      <c r="A180" s="680" t="s">
        <v>4344</v>
      </c>
      <c r="B180" s="671" t="s">
        <v>593</v>
      </c>
      <c r="C180" s="671" t="s">
        <v>3303</v>
      </c>
      <c r="D180" s="671" t="s">
        <v>4347</v>
      </c>
      <c r="E180" s="671" t="s">
        <v>4348</v>
      </c>
      <c r="F180" s="238"/>
      <c r="G180" s="238"/>
      <c r="H180" s="238"/>
      <c r="I180" s="238"/>
      <c r="J180" s="238">
        <v>2</v>
      </c>
      <c r="K180" s="238">
        <v>2330</v>
      </c>
      <c r="L180" s="238"/>
      <c r="M180" s="238">
        <v>1165</v>
      </c>
      <c r="N180" s="238"/>
      <c r="O180" s="238"/>
      <c r="P180" s="682"/>
      <c r="Q180" s="713"/>
    </row>
    <row r="181" spans="1:17" ht="14.4" customHeight="1" x14ac:dyDescent="0.3">
      <c r="A181" s="680" t="s">
        <v>4344</v>
      </c>
      <c r="B181" s="671" t="s">
        <v>593</v>
      </c>
      <c r="C181" s="671" t="s">
        <v>3303</v>
      </c>
      <c r="D181" s="671" t="s">
        <v>4349</v>
      </c>
      <c r="E181" s="671" t="s">
        <v>4350</v>
      </c>
      <c r="F181" s="238">
        <v>23</v>
      </c>
      <c r="G181" s="238">
        <v>897</v>
      </c>
      <c r="H181" s="238">
        <v>1</v>
      </c>
      <c r="I181" s="238">
        <v>39</v>
      </c>
      <c r="J181" s="238">
        <v>24</v>
      </c>
      <c r="K181" s="238">
        <v>936</v>
      </c>
      <c r="L181" s="238">
        <v>1.0434782608695652</v>
      </c>
      <c r="M181" s="238">
        <v>39</v>
      </c>
      <c r="N181" s="238">
        <v>15</v>
      </c>
      <c r="O181" s="238">
        <v>585</v>
      </c>
      <c r="P181" s="682">
        <v>0.65217391304347827</v>
      </c>
      <c r="Q181" s="713">
        <v>39</v>
      </c>
    </row>
    <row r="182" spans="1:17" ht="14.4" customHeight="1" x14ac:dyDescent="0.3">
      <c r="A182" s="680" t="s">
        <v>4344</v>
      </c>
      <c r="B182" s="671" t="s">
        <v>593</v>
      </c>
      <c r="C182" s="671" t="s">
        <v>3303</v>
      </c>
      <c r="D182" s="671" t="s">
        <v>4292</v>
      </c>
      <c r="E182" s="671" t="s">
        <v>4293</v>
      </c>
      <c r="F182" s="238"/>
      <c r="G182" s="238"/>
      <c r="H182" s="238"/>
      <c r="I182" s="238"/>
      <c r="J182" s="238"/>
      <c r="K182" s="238"/>
      <c r="L182" s="238"/>
      <c r="M182" s="238"/>
      <c r="N182" s="238">
        <v>3</v>
      </c>
      <c r="O182" s="238">
        <v>1146</v>
      </c>
      <c r="P182" s="682"/>
      <c r="Q182" s="713">
        <v>382</v>
      </c>
    </row>
    <row r="183" spans="1:17" ht="14.4" customHeight="1" x14ac:dyDescent="0.3">
      <c r="A183" s="680" t="s">
        <v>4344</v>
      </c>
      <c r="B183" s="671" t="s">
        <v>593</v>
      </c>
      <c r="C183" s="671" t="s">
        <v>3303</v>
      </c>
      <c r="D183" s="671" t="s">
        <v>4351</v>
      </c>
      <c r="E183" s="671" t="s">
        <v>4352</v>
      </c>
      <c r="F183" s="238"/>
      <c r="G183" s="238"/>
      <c r="H183" s="238"/>
      <c r="I183" s="238"/>
      <c r="J183" s="238">
        <v>3</v>
      </c>
      <c r="K183" s="238">
        <v>1332</v>
      </c>
      <c r="L183" s="238"/>
      <c r="M183" s="238">
        <v>444</v>
      </c>
      <c r="N183" s="238"/>
      <c r="O183" s="238"/>
      <c r="P183" s="682"/>
      <c r="Q183" s="713"/>
    </row>
    <row r="184" spans="1:17" ht="14.4" customHeight="1" x14ac:dyDescent="0.3">
      <c r="A184" s="680" t="s">
        <v>4344</v>
      </c>
      <c r="B184" s="671" t="s">
        <v>593</v>
      </c>
      <c r="C184" s="671" t="s">
        <v>3303</v>
      </c>
      <c r="D184" s="671" t="s">
        <v>4353</v>
      </c>
      <c r="E184" s="671" t="s">
        <v>4354</v>
      </c>
      <c r="F184" s="238">
        <v>90</v>
      </c>
      <c r="G184" s="238">
        <v>3600</v>
      </c>
      <c r="H184" s="238">
        <v>1</v>
      </c>
      <c r="I184" s="238">
        <v>40</v>
      </c>
      <c r="J184" s="238">
        <v>74</v>
      </c>
      <c r="K184" s="238">
        <v>3034</v>
      </c>
      <c r="L184" s="238">
        <v>0.84277777777777774</v>
      </c>
      <c r="M184" s="238">
        <v>41</v>
      </c>
      <c r="N184" s="238">
        <v>76</v>
      </c>
      <c r="O184" s="238">
        <v>3116</v>
      </c>
      <c r="P184" s="682">
        <v>0.86555555555555552</v>
      </c>
      <c r="Q184" s="713">
        <v>41</v>
      </c>
    </row>
    <row r="185" spans="1:17" ht="14.4" customHeight="1" x14ac:dyDescent="0.3">
      <c r="A185" s="680" t="s">
        <v>4344</v>
      </c>
      <c r="B185" s="671" t="s">
        <v>593</v>
      </c>
      <c r="C185" s="671" t="s">
        <v>3303</v>
      </c>
      <c r="D185" s="671" t="s">
        <v>4355</v>
      </c>
      <c r="E185" s="671" t="s">
        <v>4356</v>
      </c>
      <c r="F185" s="238">
        <v>7</v>
      </c>
      <c r="G185" s="238">
        <v>3430</v>
      </c>
      <c r="H185" s="238">
        <v>1</v>
      </c>
      <c r="I185" s="238">
        <v>490</v>
      </c>
      <c r="J185" s="238">
        <v>2</v>
      </c>
      <c r="K185" s="238">
        <v>980</v>
      </c>
      <c r="L185" s="238">
        <v>0.2857142857142857</v>
      </c>
      <c r="M185" s="238">
        <v>490</v>
      </c>
      <c r="N185" s="238">
        <v>8</v>
      </c>
      <c r="O185" s="238">
        <v>3920</v>
      </c>
      <c r="P185" s="682">
        <v>1.1428571428571428</v>
      </c>
      <c r="Q185" s="713">
        <v>490</v>
      </c>
    </row>
    <row r="186" spans="1:17" ht="14.4" customHeight="1" x14ac:dyDescent="0.3">
      <c r="A186" s="680" t="s">
        <v>4344</v>
      </c>
      <c r="B186" s="671" t="s">
        <v>593</v>
      </c>
      <c r="C186" s="671" t="s">
        <v>3303</v>
      </c>
      <c r="D186" s="671" t="s">
        <v>4357</v>
      </c>
      <c r="E186" s="671" t="s">
        <v>4358</v>
      </c>
      <c r="F186" s="238">
        <v>4</v>
      </c>
      <c r="G186" s="238">
        <v>124</v>
      </c>
      <c r="H186" s="238">
        <v>1</v>
      </c>
      <c r="I186" s="238">
        <v>31</v>
      </c>
      <c r="J186" s="238">
        <v>2</v>
      </c>
      <c r="K186" s="238">
        <v>62</v>
      </c>
      <c r="L186" s="238">
        <v>0.5</v>
      </c>
      <c r="M186" s="238">
        <v>31</v>
      </c>
      <c r="N186" s="238"/>
      <c r="O186" s="238"/>
      <c r="P186" s="682"/>
      <c r="Q186" s="713"/>
    </row>
    <row r="187" spans="1:17" ht="14.4" customHeight="1" x14ac:dyDescent="0.3">
      <c r="A187" s="680" t="s">
        <v>4344</v>
      </c>
      <c r="B187" s="671" t="s">
        <v>593</v>
      </c>
      <c r="C187" s="671" t="s">
        <v>3303</v>
      </c>
      <c r="D187" s="671" t="s">
        <v>4359</v>
      </c>
      <c r="E187" s="671" t="s">
        <v>4360</v>
      </c>
      <c r="F187" s="238">
        <v>1</v>
      </c>
      <c r="G187" s="238">
        <v>204</v>
      </c>
      <c r="H187" s="238">
        <v>1</v>
      </c>
      <c r="I187" s="238">
        <v>204</v>
      </c>
      <c r="J187" s="238">
        <v>3</v>
      </c>
      <c r="K187" s="238">
        <v>615</v>
      </c>
      <c r="L187" s="238">
        <v>3.0147058823529411</v>
      </c>
      <c r="M187" s="238">
        <v>205</v>
      </c>
      <c r="N187" s="238"/>
      <c r="O187" s="238"/>
      <c r="P187" s="682"/>
      <c r="Q187" s="713"/>
    </row>
    <row r="188" spans="1:17" ht="14.4" customHeight="1" x14ac:dyDescent="0.3">
      <c r="A188" s="680" t="s">
        <v>4344</v>
      </c>
      <c r="B188" s="671" t="s">
        <v>593</v>
      </c>
      <c r="C188" s="671" t="s">
        <v>3303</v>
      </c>
      <c r="D188" s="671" t="s">
        <v>4361</v>
      </c>
      <c r="E188" s="671" t="s">
        <v>4362</v>
      </c>
      <c r="F188" s="238">
        <v>1</v>
      </c>
      <c r="G188" s="238">
        <v>376</v>
      </c>
      <c r="H188" s="238">
        <v>1</v>
      </c>
      <c r="I188" s="238">
        <v>376</v>
      </c>
      <c r="J188" s="238">
        <v>3</v>
      </c>
      <c r="K188" s="238">
        <v>1131</v>
      </c>
      <c r="L188" s="238">
        <v>3.0079787234042552</v>
      </c>
      <c r="M188" s="238">
        <v>377</v>
      </c>
      <c r="N188" s="238"/>
      <c r="O188" s="238"/>
      <c r="P188" s="682"/>
      <c r="Q188" s="713"/>
    </row>
    <row r="189" spans="1:17" ht="14.4" customHeight="1" x14ac:dyDescent="0.3">
      <c r="A189" s="680" t="s">
        <v>4344</v>
      </c>
      <c r="B189" s="671" t="s">
        <v>593</v>
      </c>
      <c r="C189" s="671" t="s">
        <v>3303</v>
      </c>
      <c r="D189" s="671" t="s">
        <v>4363</v>
      </c>
      <c r="E189" s="671" t="s">
        <v>4364</v>
      </c>
      <c r="F189" s="238">
        <v>139</v>
      </c>
      <c r="G189" s="238">
        <v>15568</v>
      </c>
      <c r="H189" s="238">
        <v>1</v>
      </c>
      <c r="I189" s="238">
        <v>112</v>
      </c>
      <c r="J189" s="238">
        <v>114</v>
      </c>
      <c r="K189" s="238">
        <v>12882</v>
      </c>
      <c r="L189" s="238">
        <v>0.82746659815005141</v>
      </c>
      <c r="M189" s="238">
        <v>113</v>
      </c>
      <c r="N189" s="238">
        <v>84</v>
      </c>
      <c r="O189" s="238">
        <v>9492</v>
      </c>
      <c r="P189" s="682">
        <v>0.60971223021582732</v>
      </c>
      <c r="Q189" s="713">
        <v>113</v>
      </c>
    </row>
    <row r="190" spans="1:17" ht="14.4" customHeight="1" x14ac:dyDescent="0.3">
      <c r="A190" s="680" t="s">
        <v>4344</v>
      </c>
      <c r="B190" s="671" t="s">
        <v>593</v>
      </c>
      <c r="C190" s="671" t="s">
        <v>3303</v>
      </c>
      <c r="D190" s="671" t="s">
        <v>4365</v>
      </c>
      <c r="E190" s="671" t="s">
        <v>4366</v>
      </c>
      <c r="F190" s="238">
        <v>42</v>
      </c>
      <c r="G190" s="238">
        <v>3486</v>
      </c>
      <c r="H190" s="238">
        <v>1</v>
      </c>
      <c r="I190" s="238">
        <v>83</v>
      </c>
      <c r="J190" s="238">
        <v>39</v>
      </c>
      <c r="K190" s="238">
        <v>3276</v>
      </c>
      <c r="L190" s="238">
        <v>0.93975903614457834</v>
      </c>
      <c r="M190" s="238">
        <v>84</v>
      </c>
      <c r="N190" s="238">
        <v>29</v>
      </c>
      <c r="O190" s="238">
        <v>2436</v>
      </c>
      <c r="P190" s="682">
        <v>0.6987951807228916</v>
      </c>
      <c r="Q190" s="713">
        <v>84</v>
      </c>
    </row>
    <row r="191" spans="1:17" ht="14.4" customHeight="1" x14ac:dyDescent="0.3">
      <c r="A191" s="680" t="s">
        <v>4344</v>
      </c>
      <c r="B191" s="671" t="s">
        <v>593</v>
      </c>
      <c r="C191" s="671" t="s">
        <v>3303</v>
      </c>
      <c r="D191" s="671" t="s">
        <v>4367</v>
      </c>
      <c r="E191" s="671" t="s">
        <v>4368</v>
      </c>
      <c r="F191" s="238">
        <v>1</v>
      </c>
      <c r="G191" s="238">
        <v>95</v>
      </c>
      <c r="H191" s="238">
        <v>1</v>
      </c>
      <c r="I191" s="238">
        <v>95</v>
      </c>
      <c r="J191" s="238">
        <v>3</v>
      </c>
      <c r="K191" s="238">
        <v>288</v>
      </c>
      <c r="L191" s="238">
        <v>3.0315789473684212</v>
      </c>
      <c r="M191" s="238">
        <v>96</v>
      </c>
      <c r="N191" s="238"/>
      <c r="O191" s="238"/>
      <c r="P191" s="682"/>
      <c r="Q191" s="713"/>
    </row>
    <row r="192" spans="1:17" ht="14.4" customHeight="1" x14ac:dyDescent="0.3">
      <c r="A192" s="680" t="s">
        <v>4344</v>
      </c>
      <c r="B192" s="671" t="s">
        <v>593</v>
      </c>
      <c r="C192" s="671" t="s">
        <v>3303</v>
      </c>
      <c r="D192" s="671" t="s">
        <v>4369</v>
      </c>
      <c r="E192" s="671" t="s">
        <v>4370</v>
      </c>
      <c r="F192" s="238">
        <v>16</v>
      </c>
      <c r="G192" s="238">
        <v>336</v>
      </c>
      <c r="H192" s="238">
        <v>1</v>
      </c>
      <c r="I192" s="238">
        <v>21</v>
      </c>
      <c r="J192" s="238">
        <v>9</v>
      </c>
      <c r="K192" s="238">
        <v>189</v>
      </c>
      <c r="L192" s="238">
        <v>0.5625</v>
      </c>
      <c r="M192" s="238">
        <v>21</v>
      </c>
      <c r="N192" s="238"/>
      <c r="O192" s="238"/>
      <c r="P192" s="682"/>
      <c r="Q192" s="713"/>
    </row>
    <row r="193" spans="1:17" ht="14.4" customHeight="1" x14ac:dyDescent="0.3">
      <c r="A193" s="680" t="s">
        <v>4344</v>
      </c>
      <c r="B193" s="671" t="s">
        <v>593</v>
      </c>
      <c r="C193" s="671" t="s">
        <v>3303</v>
      </c>
      <c r="D193" s="671" t="s">
        <v>4301</v>
      </c>
      <c r="E193" s="671" t="s">
        <v>4302</v>
      </c>
      <c r="F193" s="238">
        <v>5</v>
      </c>
      <c r="G193" s="238">
        <v>2430</v>
      </c>
      <c r="H193" s="238">
        <v>1</v>
      </c>
      <c r="I193" s="238">
        <v>486</v>
      </c>
      <c r="J193" s="238">
        <v>18</v>
      </c>
      <c r="K193" s="238">
        <v>8748</v>
      </c>
      <c r="L193" s="238">
        <v>3.6</v>
      </c>
      <c r="M193" s="238">
        <v>486</v>
      </c>
      <c r="N193" s="238">
        <v>2</v>
      </c>
      <c r="O193" s="238">
        <v>972</v>
      </c>
      <c r="P193" s="682">
        <v>0.4</v>
      </c>
      <c r="Q193" s="713">
        <v>486</v>
      </c>
    </row>
    <row r="194" spans="1:17" ht="14.4" customHeight="1" x14ac:dyDescent="0.3">
      <c r="A194" s="680" t="s">
        <v>4344</v>
      </c>
      <c r="B194" s="671" t="s">
        <v>593</v>
      </c>
      <c r="C194" s="671" t="s">
        <v>3303</v>
      </c>
      <c r="D194" s="671" t="s">
        <v>4371</v>
      </c>
      <c r="E194" s="671" t="s">
        <v>4372</v>
      </c>
      <c r="F194" s="238">
        <v>22</v>
      </c>
      <c r="G194" s="238">
        <v>880</v>
      </c>
      <c r="H194" s="238">
        <v>1</v>
      </c>
      <c r="I194" s="238">
        <v>40</v>
      </c>
      <c r="J194" s="238">
        <v>19</v>
      </c>
      <c r="K194" s="238">
        <v>760</v>
      </c>
      <c r="L194" s="238">
        <v>0.86363636363636365</v>
      </c>
      <c r="M194" s="238">
        <v>40</v>
      </c>
      <c r="N194" s="238">
        <v>8</v>
      </c>
      <c r="O194" s="238">
        <v>320</v>
      </c>
      <c r="P194" s="682">
        <v>0.36363636363636365</v>
      </c>
      <c r="Q194" s="713">
        <v>40</v>
      </c>
    </row>
    <row r="195" spans="1:17" ht="14.4" customHeight="1" x14ac:dyDescent="0.3">
      <c r="A195" s="680" t="s">
        <v>4344</v>
      </c>
      <c r="B195" s="671" t="s">
        <v>593</v>
      </c>
      <c r="C195" s="671" t="s">
        <v>3303</v>
      </c>
      <c r="D195" s="671" t="s">
        <v>4373</v>
      </c>
      <c r="E195" s="671" t="s">
        <v>4374</v>
      </c>
      <c r="F195" s="238">
        <v>6</v>
      </c>
      <c r="G195" s="238">
        <v>3618</v>
      </c>
      <c r="H195" s="238">
        <v>1</v>
      </c>
      <c r="I195" s="238">
        <v>603</v>
      </c>
      <c r="J195" s="238"/>
      <c r="K195" s="238"/>
      <c r="L195" s="238"/>
      <c r="M195" s="238"/>
      <c r="N195" s="238">
        <v>1</v>
      </c>
      <c r="O195" s="238">
        <v>604</v>
      </c>
      <c r="P195" s="682">
        <v>0.16694306246545051</v>
      </c>
      <c r="Q195" s="713">
        <v>604</v>
      </c>
    </row>
    <row r="196" spans="1:17" ht="14.4" customHeight="1" x14ac:dyDescent="0.3">
      <c r="A196" s="680" t="s">
        <v>4344</v>
      </c>
      <c r="B196" s="671" t="s">
        <v>593</v>
      </c>
      <c r="C196" s="671" t="s">
        <v>3303</v>
      </c>
      <c r="D196" s="671" t="s">
        <v>4375</v>
      </c>
      <c r="E196" s="671" t="s">
        <v>4376</v>
      </c>
      <c r="F196" s="238">
        <v>2</v>
      </c>
      <c r="G196" s="238">
        <v>302</v>
      </c>
      <c r="H196" s="238">
        <v>1</v>
      </c>
      <c r="I196" s="238">
        <v>151</v>
      </c>
      <c r="J196" s="238"/>
      <c r="K196" s="238"/>
      <c r="L196" s="238"/>
      <c r="M196" s="238"/>
      <c r="N196" s="238"/>
      <c r="O196" s="238"/>
      <c r="P196" s="682"/>
      <c r="Q196" s="713"/>
    </row>
    <row r="197" spans="1:17" ht="14.4" customHeight="1" x14ac:dyDescent="0.3">
      <c r="A197" s="680" t="s">
        <v>4377</v>
      </c>
      <c r="B197" s="671" t="s">
        <v>4199</v>
      </c>
      <c r="C197" s="671" t="s">
        <v>3303</v>
      </c>
      <c r="D197" s="671" t="s">
        <v>4378</v>
      </c>
      <c r="E197" s="671" t="s">
        <v>4379</v>
      </c>
      <c r="F197" s="238"/>
      <c r="G197" s="238"/>
      <c r="H197" s="238"/>
      <c r="I197" s="238"/>
      <c r="J197" s="238">
        <v>1</v>
      </c>
      <c r="K197" s="238">
        <v>166</v>
      </c>
      <c r="L197" s="238"/>
      <c r="M197" s="238">
        <v>166</v>
      </c>
      <c r="N197" s="238"/>
      <c r="O197" s="238"/>
      <c r="P197" s="682"/>
      <c r="Q197" s="713"/>
    </row>
    <row r="198" spans="1:17" ht="14.4" customHeight="1" x14ac:dyDescent="0.3">
      <c r="A198" s="680" t="s">
        <v>4377</v>
      </c>
      <c r="B198" s="671" t="s">
        <v>4199</v>
      </c>
      <c r="C198" s="671" t="s">
        <v>3303</v>
      </c>
      <c r="D198" s="671" t="s">
        <v>4380</v>
      </c>
      <c r="E198" s="671" t="s">
        <v>4381</v>
      </c>
      <c r="F198" s="238"/>
      <c r="G198" s="238"/>
      <c r="H198" s="238"/>
      <c r="I198" s="238"/>
      <c r="J198" s="238">
        <v>1</v>
      </c>
      <c r="K198" s="238">
        <v>169</v>
      </c>
      <c r="L198" s="238"/>
      <c r="M198" s="238">
        <v>169</v>
      </c>
      <c r="N198" s="238"/>
      <c r="O198" s="238"/>
      <c r="P198" s="682"/>
      <c r="Q198" s="713"/>
    </row>
    <row r="199" spans="1:17" ht="14.4" customHeight="1" x14ac:dyDescent="0.3">
      <c r="A199" s="680" t="s">
        <v>4377</v>
      </c>
      <c r="B199" s="671" t="s">
        <v>4199</v>
      </c>
      <c r="C199" s="671" t="s">
        <v>3303</v>
      </c>
      <c r="D199" s="671" t="s">
        <v>4382</v>
      </c>
      <c r="E199" s="671" t="s">
        <v>4383</v>
      </c>
      <c r="F199" s="238"/>
      <c r="G199" s="238"/>
      <c r="H199" s="238"/>
      <c r="I199" s="238"/>
      <c r="J199" s="238">
        <v>1</v>
      </c>
      <c r="K199" s="238">
        <v>172</v>
      </c>
      <c r="L199" s="238"/>
      <c r="M199" s="238">
        <v>172</v>
      </c>
      <c r="N199" s="238"/>
      <c r="O199" s="238"/>
      <c r="P199" s="682"/>
      <c r="Q199" s="713"/>
    </row>
    <row r="200" spans="1:17" ht="14.4" customHeight="1" x14ac:dyDescent="0.3">
      <c r="A200" s="680" t="s">
        <v>534</v>
      </c>
      <c r="B200" s="671" t="s">
        <v>3416</v>
      </c>
      <c r="C200" s="671" t="s">
        <v>3303</v>
      </c>
      <c r="D200" s="671" t="s">
        <v>3623</v>
      </c>
      <c r="E200" s="671" t="s">
        <v>3624</v>
      </c>
      <c r="F200" s="238">
        <v>213</v>
      </c>
      <c r="G200" s="238">
        <v>11928</v>
      </c>
      <c r="H200" s="238">
        <v>1</v>
      </c>
      <c r="I200" s="238">
        <v>56</v>
      </c>
      <c r="J200" s="238">
        <v>56</v>
      </c>
      <c r="K200" s="238">
        <v>3136</v>
      </c>
      <c r="L200" s="238">
        <v>0.26291079812206575</v>
      </c>
      <c r="M200" s="238">
        <v>56</v>
      </c>
      <c r="N200" s="238"/>
      <c r="O200" s="238"/>
      <c r="P200" s="682"/>
      <c r="Q200" s="713"/>
    </row>
    <row r="201" spans="1:17" ht="14.4" customHeight="1" x14ac:dyDescent="0.3">
      <c r="A201" s="680" t="s">
        <v>534</v>
      </c>
      <c r="B201" s="671" t="s">
        <v>3416</v>
      </c>
      <c r="C201" s="671" t="s">
        <v>3303</v>
      </c>
      <c r="D201" s="671" t="s">
        <v>3625</v>
      </c>
      <c r="E201" s="671" t="s">
        <v>3626</v>
      </c>
      <c r="F201" s="238">
        <v>213</v>
      </c>
      <c r="G201" s="238">
        <v>12993</v>
      </c>
      <c r="H201" s="238">
        <v>1</v>
      </c>
      <c r="I201" s="238">
        <v>61</v>
      </c>
      <c r="J201" s="238">
        <v>56</v>
      </c>
      <c r="K201" s="238">
        <v>3416</v>
      </c>
      <c r="L201" s="238">
        <v>0.26291079812206575</v>
      </c>
      <c r="M201" s="238">
        <v>61</v>
      </c>
      <c r="N201" s="238"/>
      <c r="O201" s="238"/>
      <c r="P201" s="682"/>
      <c r="Q201" s="713"/>
    </row>
    <row r="202" spans="1:17" ht="14.4" customHeight="1" x14ac:dyDescent="0.3">
      <c r="A202" s="680" t="s">
        <v>534</v>
      </c>
      <c r="B202" s="671" t="s">
        <v>3416</v>
      </c>
      <c r="C202" s="671" t="s">
        <v>3303</v>
      </c>
      <c r="D202" s="671" t="s">
        <v>3694</v>
      </c>
      <c r="E202" s="671" t="s">
        <v>3695</v>
      </c>
      <c r="F202" s="238">
        <v>213</v>
      </c>
      <c r="G202" s="238">
        <v>6177</v>
      </c>
      <c r="H202" s="238">
        <v>1</v>
      </c>
      <c r="I202" s="238">
        <v>29</v>
      </c>
      <c r="J202" s="238">
        <v>56</v>
      </c>
      <c r="K202" s="238">
        <v>1624</v>
      </c>
      <c r="L202" s="238">
        <v>0.26291079812206575</v>
      </c>
      <c r="M202" s="238">
        <v>29</v>
      </c>
      <c r="N202" s="238"/>
      <c r="O202" s="238"/>
      <c r="P202" s="682"/>
      <c r="Q202" s="713"/>
    </row>
    <row r="203" spans="1:17" ht="14.4" customHeight="1" x14ac:dyDescent="0.3">
      <c r="A203" s="680" t="s">
        <v>534</v>
      </c>
      <c r="B203" s="671" t="s">
        <v>3416</v>
      </c>
      <c r="C203" s="671" t="s">
        <v>3303</v>
      </c>
      <c r="D203" s="671" t="s">
        <v>3698</v>
      </c>
      <c r="E203" s="671" t="s">
        <v>3699</v>
      </c>
      <c r="F203" s="238">
        <v>213</v>
      </c>
      <c r="G203" s="238">
        <v>15123</v>
      </c>
      <c r="H203" s="238">
        <v>1</v>
      </c>
      <c r="I203" s="238">
        <v>71</v>
      </c>
      <c r="J203" s="238">
        <v>56</v>
      </c>
      <c r="K203" s="238">
        <v>3976</v>
      </c>
      <c r="L203" s="238">
        <v>0.26291079812206575</v>
      </c>
      <c r="M203" s="238">
        <v>71</v>
      </c>
      <c r="N203" s="238"/>
      <c r="O203" s="238"/>
      <c r="P203" s="682"/>
      <c r="Q203" s="713"/>
    </row>
    <row r="204" spans="1:17" ht="14.4" customHeight="1" x14ac:dyDescent="0.3">
      <c r="A204" s="680" t="s">
        <v>534</v>
      </c>
      <c r="B204" s="671" t="s">
        <v>3416</v>
      </c>
      <c r="C204" s="671" t="s">
        <v>3303</v>
      </c>
      <c r="D204" s="671" t="s">
        <v>3700</v>
      </c>
      <c r="E204" s="671" t="s">
        <v>3701</v>
      </c>
      <c r="F204" s="238">
        <v>213</v>
      </c>
      <c r="G204" s="238">
        <v>6177</v>
      </c>
      <c r="H204" s="238">
        <v>1</v>
      </c>
      <c r="I204" s="238">
        <v>29</v>
      </c>
      <c r="J204" s="238">
        <v>56</v>
      </c>
      <c r="K204" s="238">
        <v>1624</v>
      </c>
      <c r="L204" s="238">
        <v>0.26291079812206575</v>
      </c>
      <c r="M204" s="238">
        <v>29</v>
      </c>
      <c r="N204" s="238"/>
      <c r="O204" s="238"/>
      <c r="P204" s="682"/>
      <c r="Q204" s="713"/>
    </row>
    <row r="205" spans="1:17" ht="14.4" customHeight="1" thickBot="1" x14ac:dyDescent="0.35">
      <c r="A205" s="637" t="s">
        <v>534</v>
      </c>
      <c r="B205" s="673" t="s">
        <v>3416</v>
      </c>
      <c r="C205" s="673" t="s">
        <v>3303</v>
      </c>
      <c r="D205" s="673" t="s">
        <v>3708</v>
      </c>
      <c r="E205" s="673" t="s">
        <v>3709</v>
      </c>
      <c r="F205" s="674">
        <v>213</v>
      </c>
      <c r="G205" s="674">
        <v>4899</v>
      </c>
      <c r="H205" s="674">
        <v>1</v>
      </c>
      <c r="I205" s="674">
        <v>23</v>
      </c>
      <c r="J205" s="674">
        <v>56</v>
      </c>
      <c r="K205" s="674">
        <v>1288</v>
      </c>
      <c r="L205" s="674">
        <v>0.26291079812206575</v>
      </c>
      <c r="M205" s="674">
        <v>23</v>
      </c>
      <c r="N205" s="674"/>
      <c r="O205" s="674"/>
      <c r="P205" s="683"/>
      <c r="Q205" s="714"/>
    </row>
  </sheetData>
  <autoFilter ref="A5:Q5"/>
  <mergeCells count="11">
    <mergeCell ref="P4:P5"/>
    <mergeCell ref="Q4:Q5"/>
    <mergeCell ref="A1:Q1"/>
    <mergeCell ref="A4:A5"/>
    <mergeCell ref="B4:B5"/>
    <mergeCell ref="C4:C5"/>
    <mergeCell ref="D4:D5"/>
    <mergeCell ref="E4:E5"/>
    <mergeCell ref="F4:G4"/>
    <mergeCell ref="J4:K4"/>
    <mergeCell ref="N4:O4"/>
  </mergeCells>
  <conditionalFormatting sqref="P3">
    <cfRule type="cellIs" dxfId="3" priority="1" stopIfTrue="1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5">
    <tabColor theme="0" tint="-0.249977111117893"/>
    <pageSetUpPr fitToPage="1"/>
  </sheetPr>
  <dimension ref="A1:N12"/>
  <sheetViews>
    <sheetView showGridLines="0" showRowColHeaders="0" zoomScaleNormal="100" workbookViewId="0">
      <pane ySplit="5" topLeftCell="A6" activePane="bottomLeft" state="frozen"/>
      <selection pane="bottomLeft" sqref="A1:N1"/>
    </sheetView>
  </sheetViews>
  <sheetFormatPr defaultRowHeight="14.4" customHeight="1" x14ac:dyDescent="0.3"/>
  <cols>
    <col min="1" max="1" width="14.33203125" style="192" bestFit="1" customWidth="1"/>
    <col min="2" max="2" width="15.6640625" style="192" bestFit="1" customWidth="1"/>
    <col min="3" max="5" width="8.33203125" style="202" customWidth="1"/>
    <col min="6" max="6" width="6.109375" style="203" customWidth="1"/>
    <col min="7" max="9" width="8.33203125" style="204" customWidth="1"/>
    <col min="10" max="10" width="6.109375" style="203" customWidth="1"/>
    <col min="11" max="13" width="8.33203125" style="204" customWidth="1"/>
    <col min="14" max="14" width="8.33203125" style="202" customWidth="1"/>
    <col min="15" max="16384" width="8.88671875" style="192"/>
  </cols>
  <sheetData>
    <row r="1" spans="1:14" ht="18.600000000000001" customHeight="1" thickBot="1" x14ac:dyDescent="0.4">
      <c r="A1" s="579" t="s">
        <v>185</v>
      </c>
      <c r="B1" s="580"/>
      <c r="C1" s="580"/>
      <c r="D1" s="580"/>
      <c r="E1" s="580"/>
      <c r="F1" s="580"/>
      <c r="G1" s="580"/>
      <c r="H1" s="580"/>
      <c r="I1" s="580"/>
      <c r="J1" s="580"/>
      <c r="K1" s="580"/>
      <c r="L1" s="580"/>
      <c r="M1" s="580"/>
      <c r="N1" s="580"/>
    </row>
    <row r="2" spans="1:14" ht="14.4" customHeight="1" thickBot="1" x14ac:dyDescent="0.35">
      <c r="A2" s="389" t="s">
        <v>298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</row>
    <row r="3" spans="1:14" ht="14.4" customHeight="1" thickBot="1" x14ac:dyDescent="0.35">
      <c r="A3" s="194"/>
      <c r="B3" s="195" t="s">
        <v>163</v>
      </c>
      <c r="C3" s="196">
        <f>SUBTOTAL(9,C6:C1048576)</f>
        <v>1014</v>
      </c>
      <c r="D3" s="197">
        <f>SUBTOTAL(9,D6:D1048576)</f>
        <v>943</v>
      </c>
      <c r="E3" s="197">
        <f>SUBTOTAL(9,E6:E1048576)</f>
        <v>997</v>
      </c>
      <c r="F3" s="198">
        <f>IF(OR(E3=0,C3=0),"",E3/C3)</f>
        <v>0.9832347140039448</v>
      </c>
      <c r="G3" s="199">
        <f>SUBTOTAL(9,G6:G1048576)</f>
        <v>8634822</v>
      </c>
      <c r="H3" s="200">
        <f>SUBTOTAL(9,H6:H1048576)</f>
        <v>8086412</v>
      </c>
      <c r="I3" s="200">
        <f>SUBTOTAL(9,I6:I1048576)</f>
        <v>8292922</v>
      </c>
      <c r="J3" s="198">
        <f>IF(OR(I3=0,G3=0),"",I3/G3)</f>
        <v>0.96040451094417467</v>
      </c>
      <c r="K3" s="199">
        <f>SUBTOTAL(9,K6:K1048576)</f>
        <v>3043560</v>
      </c>
      <c r="L3" s="200">
        <f>SUBTOTAL(9,L6:L1048576)</f>
        <v>2826100</v>
      </c>
      <c r="M3" s="200">
        <f>SUBTOTAL(9,M6:M1048576)</f>
        <v>2926440</v>
      </c>
      <c r="N3" s="201">
        <f>IF(OR(M3=0,E3=0),"",M3/E3)</f>
        <v>2935.2457372116351</v>
      </c>
    </row>
    <row r="4" spans="1:14" ht="14.4" customHeight="1" x14ac:dyDescent="0.3">
      <c r="A4" s="581" t="s">
        <v>93</v>
      </c>
      <c r="B4" s="582" t="s">
        <v>14</v>
      </c>
      <c r="C4" s="583" t="s">
        <v>94</v>
      </c>
      <c r="D4" s="583"/>
      <c r="E4" s="583"/>
      <c r="F4" s="584"/>
      <c r="G4" s="585" t="s">
        <v>17</v>
      </c>
      <c r="H4" s="583"/>
      <c r="I4" s="583"/>
      <c r="J4" s="584"/>
      <c r="K4" s="585" t="s">
        <v>95</v>
      </c>
      <c r="L4" s="583"/>
      <c r="M4" s="583"/>
      <c r="N4" s="586"/>
    </row>
    <row r="5" spans="1:14" ht="14.4" customHeight="1" thickBot="1" x14ac:dyDescent="0.35">
      <c r="A5" s="841"/>
      <c r="B5" s="842"/>
      <c r="C5" s="849">
        <v>2012</v>
      </c>
      <c r="D5" s="849">
        <v>2013</v>
      </c>
      <c r="E5" s="849">
        <v>2014</v>
      </c>
      <c r="F5" s="850" t="s">
        <v>5</v>
      </c>
      <c r="G5" s="860">
        <v>2012</v>
      </c>
      <c r="H5" s="849">
        <v>2013</v>
      </c>
      <c r="I5" s="849">
        <v>2014</v>
      </c>
      <c r="J5" s="850" t="s">
        <v>5</v>
      </c>
      <c r="K5" s="860">
        <v>2012</v>
      </c>
      <c r="L5" s="849">
        <v>2013</v>
      </c>
      <c r="M5" s="849">
        <v>2014</v>
      </c>
      <c r="N5" s="867" t="s">
        <v>96</v>
      </c>
    </row>
    <row r="6" spans="1:14" ht="14.4" customHeight="1" x14ac:dyDescent="0.3">
      <c r="A6" s="843" t="s">
        <v>3716</v>
      </c>
      <c r="B6" s="846" t="s">
        <v>4385</v>
      </c>
      <c r="C6" s="851">
        <v>713</v>
      </c>
      <c r="D6" s="852">
        <v>655</v>
      </c>
      <c r="E6" s="852">
        <v>712</v>
      </c>
      <c r="F6" s="857">
        <v>0.99859747545582045</v>
      </c>
      <c r="G6" s="861">
        <v>623692</v>
      </c>
      <c r="H6" s="862">
        <v>585720</v>
      </c>
      <c r="I6" s="862">
        <v>630293</v>
      </c>
      <c r="J6" s="857">
        <v>1.0105837496713121</v>
      </c>
      <c r="K6" s="861">
        <v>85560</v>
      </c>
      <c r="L6" s="862">
        <v>78600</v>
      </c>
      <c r="M6" s="862">
        <v>85440</v>
      </c>
      <c r="N6" s="868">
        <v>120</v>
      </c>
    </row>
    <row r="7" spans="1:14" ht="14.4" customHeight="1" x14ac:dyDescent="0.3">
      <c r="A7" s="844" t="s">
        <v>3891</v>
      </c>
      <c r="B7" s="847" t="s">
        <v>4386</v>
      </c>
      <c r="C7" s="853">
        <v>176</v>
      </c>
      <c r="D7" s="854">
        <v>150</v>
      </c>
      <c r="E7" s="854">
        <v>179</v>
      </c>
      <c r="F7" s="858">
        <v>1.0170454545454546</v>
      </c>
      <c r="G7" s="863">
        <v>5061830</v>
      </c>
      <c r="H7" s="864">
        <v>4315276</v>
      </c>
      <c r="I7" s="864">
        <v>5149722</v>
      </c>
      <c r="J7" s="858">
        <v>1.0173636807241651</v>
      </c>
      <c r="K7" s="863">
        <v>1936000</v>
      </c>
      <c r="L7" s="864">
        <v>1650000</v>
      </c>
      <c r="M7" s="864">
        <v>1969000</v>
      </c>
      <c r="N7" s="869">
        <v>11000</v>
      </c>
    </row>
    <row r="8" spans="1:14" ht="14.4" customHeight="1" x14ac:dyDescent="0.3">
      <c r="A8" s="844" t="s">
        <v>3909</v>
      </c>
      <c r="B8" s="847" t="s">
        <v>4386</v>
      </c>
      <c r="C8" s="853">
        <v>84</v>
      </c>
      <c r="D8" s="854">
        <v>86</v>
      </c>
      <c r="E8" s="854">
        <v>75</v>
      </c>
      <c r="F8" s="858">
        <v>0.8928571428571429</v>
      </c>
      <c r="G8" s="863">
        <v>2113473</v>
      </c>
      <c r="H8" s="864">
        <v>2164474</v>
      </c>
      <c r="I8" s="864">
        <v>1887705</v>
      </c>
      <c r="J8" s="858">
        <v>0.89317677585661137</v>
      </c>
      <c r="K8" s="863">
        <v>756000</v>
      </c>
      <c r="L8" s="864">
        <v>774000</v>
      </c>
      <c r="M8" s="864">
        <v>675000</v>
      </c>
      <c r="N8" s="869">
        <v>9000</v>
      </c>
    </row>
    <row r="9" spans="1:14" ht="14.4" customHeight="1" x14ac:dyDescent="0.3">
      <c r="A9" s="844" t="s">
        <v>3904</v>
      </c>
      <c r="B9" s="847" t="s">
        <v>4386</v>
      </c>
      <c r="C9" s="853">
        <v>37</v>
      </c>
      <c r="D9" s="854">
        <v>45</v>
      </c>
      <c r="E9" s="854">
        <v>27</v>
      </c>
      <c r="F9" s="858">
        <v>0.72972972972972971</v>
      </c>
      <c r="G9" s="863">
        <v>797734</v>
      </c>
      <c r="H9" s="864">
        <v>970576</v>
      </c>
      <c r="I9" s="864">
        <v>582373</v>
      </c>
      <c r="J9" s="858">
        <v>0.73003407150754507</v>
      </c>
      <c r="K9" s="863">
        <v>259000</v>
      </c>
      <c r="L9" s="864">
        <v>315000</v>
      </c>
      <c r="M9" s="864">
        <v>189000</v>
      </c>
      <c r="N9" s="869">
        <v>7000</v>
      </c>
    </row>
    <row r="10" spans="1:14" ht="14.4" customHeight="1" x14ac:dyDescent="0.3">
      <c r="A10" s="844" t="s">
        <v>3893</v>
      </c>
      <c r="B10" s="847" t="s">
        <v>4386</v>
      </c>
      <c r="C10" s="853">
        <v>3</v>
      </c>
      <c r="D10" s="854">
        <v>2</v>
      </c>
      <c r="E10" s="854">
        <v>4</v>
      </c>
      <c r="F10" s="858">
        <v>1.3333333333333333</v>
      </c>
      <c r="G10" s="863">
        <v>32094</v>
      </c>
      <c r="H10" s="864">
        <v>21412</v>
      </c>
      <c r="I10" s="864">
        <v>42829</v>
      </c>
      <c r="J10" s="858">
        <v>1.3344861967969091</v>
      </c>
      <c r="K10" s="863">
        <v>6000</v>
      </c>
      <c r="L10" s="864">
        <v>4000</v>
      </c>
      <c r="M10" s="864">
        <v>8000</v>
      </c>
      <c r="N10" s="869">
        <v>2000</v>
      </c>
    </row>
    <row r="11" spans="1:14" ht="14.4" customHeight="1" x14ac:dyDescent="0.3">
      <c r="A11" s="844" t="s">
        <v>3906</v>
      </c>
      <c r="B11" s="847" t="s">
        <v>4386</v>
      </c>
      <c r="C11" s="853">
        <v>1</v>
      </c>
      <c r="D11" s="854">
        <v>4</v>
      </c>
      <c r="E11" s="854">
        <v>0</v>
      </c>
      <c r="F11" s="858" t="s">
        <v>535</v>
      </c>
      <c r="G11" s="863">
        <v>5999</v>
      </c>
      <c r="H11" s="864">
        <v>24026</v>
      </c>
      <c r="I11" s="864">
        <v>0</v>
      </c>
      <c r="J11" s="858" t="s">
        <v>535</v>
      </c>
      <c r="K11" s="863">
        <v>1000</v>
      </c>
      <c r="L11" s="864">
        <v>4000</v>
      </c>
      <c r="M11" s="864">
        <v>0</v>
      </c>
      <c r="N11" s="869" t="s">
        <v>535</v>
      </c>
    </row>
    <row r="12" spans="1:14" ht="14.4" customHeight="1" thickBot="1" x14ac:dyDescent="0.35">
      <c r="A12" s="845" t="s">
        <v>3902</v>
      </c>
      <c r="B12" s="848" t="s">
        <v>4386</v>
      </c>
      <c r="C12" s="855">
        <v>0</v>
      </c>
      <c r="D12" s="856">
        <v>1</v>
      </c>
      <c r="E12" s="856">
        <v>0</v>
      </c>
      <c r="F12" s="859" t="s">
        <v>535</v>
      </c>
      <c r="G12" s="865">
        <v>0</v>
      </c>
      <c r="H12" s="866">
        <v>4928</v>
      </c>
      <c r="I12" s="866">
        <v>0</v>
      </c>
      <c r="J12" s="859" t="s">
        <v>535</v>
      </c>
      <c r="K12" s="865">
        <v>0</v>
      </c>
      <c r="L12" s="866">
        <v>500</v>
      </c>
      <c r="M12" s="866">
        <v>0</v>
      </c>
      <c r="N12" s="870" t="s">
        <v>535</v>
      </c>
    </row>
  </sheetData>
  <autoFilter ref="A5:N5"/>
  <mergeCells count="6">
    <mergeCell ref="A1:N1"/>
    <mergeCell ref="A4:A5"/>
    <mergeCell ref="B4:B5"/>
    <mergeCell ref="C4:F4"/>
    <mergeCell ref="G4:J4"/>
    <mergeCell ref="K4:N4"/>
  </mergeCells>
  <conditionalFormatting sqref="F6:F65531 J6:J65531">
    <cfRule type="cellIs" dxfId="2" priority="6" stopIfTrue="1" operator="greaterThanOrEqual">
      <formula>1</formula>
    </cfRule>
  </conditionalFormatting>
  <conditionalFormatting sqref="F3">
    <cfRule type="cellIs" dxfId="1" priority="5" stopIfTrue="1" operator="greaterThanOrEqual">
      <formula>1</formula>
    </cfRule>
  </conditionalFormatting>
  <conditionalFormatting sqref="J3">
    <cfRule type="cellIs" dxfId="0" priority="4" stopIfTrue="1" operator="greaterThanOrEqual">
      <formula>1</formula>
    </cfRule>
  </conditionalFormatting>
  <conditionalFormatting sqref="E6:E1048576">
    <cfRule type="dataBar" priority="3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{F41FDF36-4DF6-49C1-AEE2-A4734489E57F}</x14:id>
        </ext>
      </extLst>
    </cfRule>
  </conditionalFormatting>
  <conditionalFormatting sqref="I6:I1048576">
    <cfRule type="dataBar" priority="2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{22F00197-2BD7-493E-BC02-3906F6130DA3}</x14:id>
        </ext>
      </extLst>
    </cfRule>
  </conditionalFormatting>
  <conditionalFormatting sqref="M6:M1048576">
    <cfRule type="dataBar" priority="1">
      <dataBar>
        <cfvo type="min"/>
        <cfvo type="max"/>
        <color theme="3" tint="0.39997558519241921"/>
      </dataBar>
      <extLst>
        <ext xmlns:x14="http://schemas.microsoft.com/office/spreadsheetml/2009/9/main" uri="{B025F937-C7B1-47D3-B67F-A62EFF666E3E}">
          <x14:id>{E60DB86E-BB07-4CC2-A6CD-752208150D74}</x14:id>
        </ext>
      </extLs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  <headerFooter alignWithMargins="0"/>
  <ignoredErrors>
    <ignoredError sqref="K3:M3 C3:E3 G3:I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41FDF36-4DF6-49C1-AEE2-A4734489E57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E6:E1048576</xm:sqref>
        </x14:conditionalFormatting>
        <x14:conditionalFormatting xmlns:xm="http://schemas.microsoft.com/office/excel/2006/main">
          <x14:cfRule type="dataBar" id="{22F00197-2BD7-493E-BC02-3906F6130DA3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I6:I1048576</xm:sqref>
        </x14:conditionalFormatting>
        <x14:conditionalFormatting xmlns:xm="http://schemas.microsoft.com/office/excel/2006/main">
          <x14:cfRule type="dataBar" id="{E60DB86E-BB07-4CC2-A6CD-752208150D7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M6:M1048576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260" bestFit="1" customWidth="1"/>
    <col min="2" max="3" width="9.5546875" style="260" customWidth="1"/>
    <col min="4" max="4" width="2.44140625" style="260" customWidth="1"/>
    <col min="5" max="8" width="9.5546875" style="260" customWidth="1"/>
    <col min="9" max="16384" width="8.88671875" style="260"/>
  </cols>
  <sheetData>
    <row r="1" spans="1:8" ht="18.600000000000001" customHeight="1" thickBot="1" x14ac:dyDescent="0.4">
      <c r="A1" s="462" t="s">
        <v>179</v>
      </c>
      <c r="B1" s="462"/>
      <c r="C1" s="462"/>
      <c r="D1" s="462"/>
      <c r="E1" s="462"/>
      <c r="F1" s="462"/>
      <c r="G1" s="463"/>
      <c r="H1" s="463"/>
    </row>
    <row r="2" spans="1:8" ht="14.4" customHeight="1" thickBot="1" x14ac:dyDescent="0.35">
      <c r="A2" s="389" t="s">
        <v>298</v>
      </c>
      <c r="B2" s="230"/>
      <c r="C2" s="230"/>
      <c r="D2" s="230"/>
      <c r="E2" s="230"/>
      <c r="F2" s="230"/>
    </row>
    <row r="3" spans="1:8" ht="14.4" customHeight="1" x14ac:dyDescent="0.3">
      <c r="A3" s="464"/>
      <c r="B3" s="226">
        <v>2012</v>
      </c>
      <c r="C3" s="44">
        <v>2013</v>
      </c>
      <c r="D3" s="11"/>
      <c r="E3" s="468">
        <v>2014</v>
      </c>
      <c r="F3" s="469"/>
      <c r="G3" s="469"/>
      <c r="H3" s="470"/>
    </row>
    <row r="4" spans="1:8" ht="14.4" customHeight="1" thickBot="1" x14ac:dyDescent="0.35">
      <c r="A4" s="465"/>
      <c r="B4" s="466" t="s">
        <v>97</v>
      </c>
      <c r="C4" s="467"/>
      <c r="D4" s="11"/>
      <c r="E4" s="247" t="s">
        <v>97</v>
      </c>
      <c r="F4" s="228" t="s">
        <v>98</v>
      </c>
      <c r="G4" s="228" t="s">
        <v>72</v>
      </c>
      <c r="H4" s="229" t="s">
        <v>99</v>
      </c>
    </row>
    <row r="5" spans="1:8" ht="14.4" customHeight="1" x14ac:dyDescent="0.3">
      <c r="A5" s="231" t="str">
        <f>HYPERLINK("#'Léky Žádanky'!A1","Léky (Kč)")</f>
        <v>Léky (Kč)</v>
      </c>
      <c r="B5" s="31">
        <v>1729.8765100000001</v>
      </c>
      <c r="C5" s="33">
        <v>1348.4175</v>
      </c>
      <c r="D5" s="12"/>
      <c r="E5" s="236">
        <v>1253.74722</v>
      </c>
      <c r="F5" s="32">
        <v>1443</v>
      </c>
      <c r="G5" s="235">
        <f>E5-F5</f>
        <v>-189.25278000000003</v>
      </c>
      <c r="H5" s="241">
        <f>IF(F5&lt;0.00000001,"",E5/F5)</f>
        <v>0.86884769230769232</v>
      </c>
    </row>
    <row r="6" spans="1:8" ht="14.4" customHeight="1" x14ac:dyDescent="0.3">
      <c r="A6" s="231" t="str">
        <f>HYPERLINK("#'Materiál Žádanky'!A1","Materiál - SZM (Kč)")</f>
        <v>Materiál - SZM (Kč)</v>
      </c>
      <c r="B6" s="14">
        <v>6481.8811900000001</v>
      </c>
      <c r="C6" s="35">
        <v>6013.5671300000004</v>
      </c>
      <c r="D6" s="12"/>
      <c r="E6" s="237">
        <v>5484.3644000000104</v>
      </c>
      <c r="F6" s="34">
        <v>6538</v>
      </c>
      <c r="G6" s="238">
        <f>E6-F6</f>
        <v>-1053.6355999999896</v>
      </c>
      <c r="H6" s="242">
        <f>IF(F6&lt;0.00000001,"",E6/F6)</f>
        <v>0.83884435607219487</v>
      </c>
    </row>
    <row r="7" spans="1:8" ht="14.4" customHeight="1" x14ac:dyDescent="0.3">
      <c r="A7" s="454" t="str">
        <f>HYPERLINK("#'Osobní náklady'!A1","Osobní náklady (Kč) *")</f>
        <v>Osobní náklady (Kč) *</v>
      </c>
      <c r="B7" s="14">
        <v>10872.59359</v>
      </c>
      <c r="C7" s="35">
        <v>10137.116239999999</v>
      </c>
      <c r="D7" s="12"/>
      <c r="E7" s="237">
        <v>10542.07072</v>
      </c>
      <c r="F7" s="34">
        <v>12109</v>
      </c>
      <c r="G7" s="238">
        <f>E7-F7</f>
        <v>-1566.9292800000003</v>
      </c>
      <c r="H7" s="242">
        <f>IF(F7&lt;0.00000001,"",E7/F7)</f>
        <v>0.87059796184656035</v>
      </c>
    </row>
    <row r="8" spans="1:8" ht="14.4" customHeight="1" thickBot="1" x14ac:dyDescent="0.35">
      <c r="A8" s="1" t="s">
        <v>100</v>
      </c>
      <c r="B8" s="15">
        <v>5794.9089700000004</v>
      </c>
      <c r="C8" s="37">
        <v>4754.5807000000004</v>
      </c>
      <c r="D8" s="12"/>
      <c r="E8" s="239">
        <v>5096.90679000001</v>
      </c>
      <c r="F8" s="36">
        <v>4760</v>
      </c>
      <c r="G8" s="240">
        <f>E8-F8</f>
        <v>336.90679000001001</v>
      </c>
      <c r="H8" s="243">
        <f>IF(F8&lt;0.00000001,"",E8/F8)</f>
        <v>1.07077873739496</v>
      </c>
    </row>
    <row r="9" spans="1:8" ht="14.4" customHeight="1" thickBot="1" x14ac:dyDescent="0.35">
      <c r="A9" s="2" t="s">
        <v>101</v>
      </c>
      <c r="B9" s="3">
        <v>24879.260259999999</v>
      </c>
      <c r="C9" s="39">
        <v>22253.681570000001</v>
      </c>
      <c r="D9" s="12"/>
      <c r="E9" s="3">
        <v>22377.089130000099</v>
      </c>
      <c r="F9" s="38">
        <v>24850</v>
      </c>
      <c r="G9" s="38">
        <f>E9-F9</f>
        <v>-2472.9108699999015</v>
      </c>
      <c r="H9" s="244">
        <f>IF(F9&lt;0.00000001,"",E9/F9)</f>
        <v>0.90048648410463172</v>
      </c>
    </row>
    <row r="10" spans="1:8" ht="14.4" customHeight="1" thickBot="1" x14ac:dyDescent="0.35">
      <c r="A10" s="16"/>
      <c r="B10" s="16"/>
      <c r="C10" s="227"/>
      <c r="D10" s="12"/>
      <c r="E10" s="16"/>
      <c r="F10" s="17"/>
    </row>
    <row r="11" spans="1:8" ht="14.4" customHeight="1" x14ac:dyDescent="0.3">
      <c r="A11" s="263" t="str">
        <f>HYPERLINK("#'ZV Vykáz.-A'!A1","Ambulance *")</f>
        <v>Ambulance *</v>
      </c>
      <c r="B11" s="13">
        <f>IF(ISERROR(VLOOKUP("Celkem:",'ZV Vykáz.-A'!A:F,2,0)),0,VLOOKUP("Celkem:",'ZV Vykáz.-A'!A:F,2,0)/1000)</f>
        <v>183.44</v>
      </c>
      <c r="C11" s="33">
        <f>IF(ISERROR(VLOOKUP("Celkem:",'ZV Vykáz.-A'!A:F,4,0)),0,VLOOKUP("Celkem:",'ZV Vykáz.-A'!A:F,4,0)/1000)</f>
        <v>172.774</v>
      </c>
      <c r="D11" s="12"/>
      <c r="E11" s="236">
        <f>IF(ISERROR(VLOOKUP("Celkem:",'ZV Vykáz.-A'!A:F,6,0)),0,VLOOKUP("Celkem:",'ZV Vykáz.-A'!A:F,6,0)/1000)</f>
        <v>191.43299999999999</v>
      </c>
      <c r="F11" s="32">
        <f>B11</f>
        <v>183.44</v>
      </c>
      <c r="G11" s="235">
        <f>E11-F11</f>
        <v>7.992999999999995</v>
      </c>
      <c r="H11" s="241">
        <f>IF(F11&lt;0.00000001,"",E11/F11)</f>
        <v>1.043572830353249</v>
      </c>
    </row>
    <row r="12" spans="1:8" ht="14.4" customHeight="1" thickBot="1" x14ac:dyDescent="0.35">
      <c r="A12" s="264" t="str">
        <f>HYPERLINK("#CaseMix!A1","Hospitalizace *")</f>
        <v>Hospitalizace *</v>
      </c>
      <c r="B12" s="15">
        <f>IF(ISERROR(VLOOKUP("Celkem",CaseMix!A:D,2,0)),0,VLOOKUP("Celkem",CaseMix!A:D,2,0)*30)</f>
        <v>60589.169999999991</v>
      </c>
      <c r="C12" s="37">
        <f>IF(ISERROR(VLOOKUP("Celkem",CaseMix!A:D,3,0)),0,VLOOKUP("Celkem",CaseMix!A:D,3,0)*30)</f>
        <v>52553.94</v>
      </c>
      <c r="D12" s="12"/>
      <c r="E12" s="239">
        <f>IF(ISERROR(VLOOKUP("Celkem",CaseMix!A:D,4,0)),0,VLOOKUP("Celkem",CaseMix!A:D,4,0)*30)</f>
        <v>54377.490000000005</v>
      </c>
      <c r="F12" s="36">
        <f>B12</f>
        <v>60589.169999999991</v>
      </c>
      <c r="G12" s="240">
        <f>E12-F12</f>
        <v>-6211.6799999999857</v>
      </c>
      <c r="H12" s="243">
        <f>IF(F12&lt;0.00000001,"",E12/F12)</f>
        <v>0.89747870782847849</v>
      </c>
    </row>
    <row r="13" spans="1:8" ht="14.4" customHeight="1" thickBot="1" x14ac:dyDescent="0.35">
      <c r="A13" s="4" t="s">
        <v>104</v>
      </c>
      <c r="B13" s="9">
        <f>SUM(B11:B12)</f>
        <v>60772.609999999993</v>
      </c>
      <c r="C13" s="41">
        <f>SUM(C11:C12)</f>
        <v>52726.714</v>
      </c>
      <c r="D13" s="12"/>
      <c r="E13" s="9">
        <f>SUM(E11:E12)</f>
        <v>54568.923000000003</v>
      </c>
      <c r="F13" s="40">
        <f>SUM(F11:F12)</f>
        <v>60772.609999999993</v>
      </c>
      <c r="G13" s="40">
        <f>E13-F13</f>
        <v>-6203.6869999999908</v>
      </c>
      <c r="H13" s="245">
        <f>IF(F13&lt;0.00000001,"",E13/F13)</f>
        <v>0.8979196878330552</v>
      </c>
    </row>
    <row r="14" spans="1:8" ht="14.4" customHeight="1" thickBot="1" x14ac:dyDescent="0.35">
      <c r="A14" s="16"/>
      <c r="B14" s="16"/>
      <c r="C14" s="227"/>
      <c r="D14" s="12"/>
      <c r="E14" s="16"/>
      <c r="F14" s="17"/>
    </row>
    <row r="15" spans="1:8" ht="14.4" customHeight="1" thickBot="1" x14ac:dyDescent="0.35">
      <c r="A15" s="265" t="str">
        <f>HYPERLINK("#'HI Graf'!A1","Hospodářský index (Výnosy / Náklady) *")</f>
        <v>Hospodářský index (Výnosy / Náklady) *</v>
      </c>
      <c r="B15" s="10">
        <f>IF(B9=0,"",B13/B9)</f>
        <v>2.442701646467683</v>
      </c>
      <c r="C15" s="43">
        <f>IF(C9=0,"",C13/C9)</f>
        <v>2.3693479136989377</v>
      </c>
      <c r="D15" s="12"/>
      <c r="E15" s="10">
        <f>IF(E9=0,"",E13/E9)</f>
        <v>2.4386068573522173</v>
      </c>
      <c r="F15" s="42">
        <f>IF(F9=0,"",F13/F9)</f>
        <v>2.4455778672032191</v>
      </c>
      <c r="G15" s="42">
        <f>IF(ISERROR(F15-E15),"",E15-F15)</f>
        <v>-6.9710098510018526E-3</v>
      </c>
      <c r="H15" s="246">
        <f>IF(ISERROR(F15-E15),"",IF(F15&lt;0.00000001,"",E15/F15))</f>
        <v>0.99714954492167773</v>
      </c>
    </row>
    <row r="17" spans="1:8" ht="14.4" customHeight="1" x14ac:dyDescent="0.3">
      <c r="A17" s="232" t="s">
        <v>207</v>
      </c>
    </row>
    <row r="18" spans="1:8" ht="14.4" customHeight="1" x14ac:dyDescent="0.3">
      <c r="A18" s="456" t="s">
        <v>295</v>
      </c>
      <c r="B18" s="457"/>
      <c r="C18" s="457"/>
      <c r="D18" s="457"/>
      <c r="E18" s="457"/>
      <c r="F18" s="457"/>
      <c r="G18" s="457"/>
      <c r="H18" s="457"/>
    </row>
    <row r="19" spans="1:8" x14ac:dyDescent="0.3">
      <c r="A19" s="455" t="s">
        <v>294</v>
      </c>
      <c r="B19" s="457"/>
      <c r="C19" s="457"/>
      <c r="D19" s="457"/>
      <c r="E19" s="457"/>
      <c r="F19" s="457"/>
      <c r="G19" s="457"/>
      <c r="H19" s="457"/>
    </row>
    <row r="20" spans="1:8" ht="14.4" customHeight="1" x14ac:dyDescent="0.3">
      <c r="A20" s="233" t="s">
        <v>208</v>
      </c>
    </row>
    <row r="21" spans="1:8" ht="14.4" customHeight="1" x14ac:dyDescent="0.3">
      <c r="A21" s="233" t="s">
        <v>209</v>
      </c>
    </row>
    <row r="22" spans="1:8" ht="14.4" customHeight="1" x14ac:dyDescent="0.3">
      <c r="A22" s="234" t="s">
        <v>210</v>
      </c>
    </row>
    <row r="23" spans="1:8" ht="14.4" customHeight="1" x14ac:dyDescent="0.3">
      <c r="A23" s="234" t="s">
        <v>211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69" priority="4" operator="greaterThan">
      <formula>0</formula>
    </cfRule>
  </conditionalFormatting>
  <conditionalFormatting sqref="G11:G13 G15">
    <cfRule type="cellIs" dxfId="68" priority="3" operator="lessThan">
      <formula>0</formula>
    </cfRule>
  </conditionalFormatting>
  <conditionalFormatting sqref="H5:H9">
    <cfRule type="cellIs" dxfId="67" priority="2" operator="greaterThan">
      <formula>1</formula>
    </cfRule>
  </conditionalFormatting>
  <conditionalFormatting sqref="H11:H13 H15">
    <cfRule type="cellIs" dxfId="66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>
    <tabColor theme="0" tint="-0.249977111117893"/>
    <pageSetUpPr fitToPage="1"/>
  </sheetPr>
  <dimension ref="A1:M13"/>
  <sheetViews>
    <sheetView showGridLines="0" showRowColHeaders="0" workbookViewId="0">
      <selection sqref="A1:M1"/>
    </sheetView>
  </sheetViews>
  <sheetFormatPr defaultRowHeight="14.4" customHeight="1" x14ac:dyDescent="0.3"/>
  <cols>
    <col min="1" max="1" width="8.88671875" style="260"/>
    <col min="2" max="13" width="8.88671875" style="260" customWidth="1"/>
    <col min="14" max="16384" width="8.88671875" style="260"/>
  </cols>
  <sheetData>
    <row r="1" spans="1:13" ht="18.600000000000001" customHeight="1" thickBot="1" x14ac:dyDescent="0.4">
      <c r="A1" s="462" t="s">
        <v>132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ht="14.4" customHeight="1" x14ac:dyDescent="0.3">
      <c r="A2" s="389" t="s">
        <v>298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</row>
    <row r="3" spans="1:13" ht="14.4" customHeight="1" x14ac:dyDescent="0.3">
      <c r="A3" s="334"/>
      <c r="B3" s="335" t="s">
        <v>106</v>
      </c>
      <c r="C3" s="336" t="s">
        <v>107</v>
      </c>
      <c r="D3" s="336" t="s">
        <v>108</v>
      </c>
      <c r="E3" s="335" t="s">
        <v>109</v>
      </c>
      <c r="F3" s="336" t="s">
        <v>110</v>
      </c>
      <c r="G3" s="336" t="s">
        <v>111</v>
      </c>
      <c r="H3" s="336" t="s">
        <v>112</v>
      </c>
      <c r="I3" s="336" t="s">
        <v>113</v>
      </c>
      <c r="J3" s="336" t="s">
        <v>114</v>
      </c>
      <c r="K3" s="336" t="s">
        <v>115</v>
      </c>
      <c r="L3" s="336" t="s">
        <v>116</v>
      </c>
      <c r="M3" s="336" t="s">
        <v>117</v>
      </c>
    </row>
    <row r="4" spans="1:13" ht="14.4" customHeight="1" x14ac:dyDescent="0.3">
      <c r="A4" s="334" t="s">
        <v>105</v>
      </c>
      <c r="B4" s="337">
        <f>(B10+B8)/B6</f>
        <v>1.3739254000439249</v>
      </c>
      <c r="C4" s="337">
        <f t="shared" ref="C4:M4" si="0">(C10+C8)/C6</f>
        <v>2.4386068573522173</v>
      </c>
      <c r="D4" s="337">
        <f t="shared" si="0"/>
        <v>8.554866045707132E-3</v>
      </c>
      <c r="E4" s="337">
        <f t="shared" si="0"/>
        <v>8.554866045707132E-3</v>
      </c>
      <c r="F4" s="337">
        <f t="shared" si="0"/>
        <v>8.554866045707132E-3</v>
      </c>
      <c r="G4" s="337">
        <f t="shared" si="0"/>
        <v>8.554866045707132E-3</v>
      </c>
      <c r="H4" s="337">
        <f t="shared" si="0"/>
        <v>8.554866045707132E-3</v>
      </c>
      <c r="I4" s="337">
        <f t="shared" si="0"/>
        <v>8.554866045707132E-3</v>
      </c>
      <c r="J4" s="337">
        <f t="shared" si="0"/>
        <v>8.554866045707132E-3</v>
      </c>
      <c r="K4" s="337">
        <f t="shared" si="0"/>
        <v>8.554866045707132E-3</v>
      </c>
      <c r="L4" s="337">
        <f t="shared" si="0"/>
        <v>8.554866045707132E-3</v>
      </c>
      <c r="M4" s="337">
        <f t="shared" si="0"/>
        <v>8.554866045707132E-3</v>
      </c>
    </row>
    <row r="5" spans="1:13" ht="14.4" customHeight="1" x14ac:dyDescent="0.3">
      <c r="A5" s="338" t="s">
        <v>56</v>
      </c>
      <c r="B5" s="337">
        <f>IF(ISERROR(VLOOKUP($A5,'Man Tab'!$A:$Q,COLUMN()+2,0)),0,VLOOKUP($A5,'Man Tab'!$A:$Q,COLUMN()+2,0))</f>
        <v>11497.918300000099</v>
      </c>
      <c r="C5" s="337">
        <f>IF(ISERROR(VLOOKUP($A5,'Man Tab'!$A:$Q,COLUMN()+2,0)),0,VLOOKUP($A5,'Man Tab'!$A:$Q,COLUMN()+2,0))</f>
        <v>10879.170829999999</v>
      </c>
      <c r="D5" s="337">
        <f>IF(ISERROR(VLOOKUP($A5,'Man Tab'!$A:$Q,COLUMN()+2,0)),0,VLOOKUP($A5,'Man Tab'!$A:$Q,COLUMN()+2,0))</f>
        <v>4.9406564584124654E-324</v>
      </c>
      <c r="E5" s="337">
        <f>IF(ISERROR(VLOOKUP($A5,'Man Tab'!$A:$Q,COLUMN()+2,0)),0,VLOOKUP($A5,'Man Tab'!$A:$Q,COLUMN()+2,0))</f>
        <v>4.9406564584124654E-324</v>
      </c>
      <c r="F5" s="337">
        <f>IF(ISERROR(VLOOKUP($A5,'Man Tab'!$A:$Q,COLUMN()+2,0)),0,VLOOKUP($A5,'Man Tab'!$A:$Q,COLUMN()+2,0))</f>
        <v>4.9406564584124654E-324</v>
      </c>
      <c r="G5" s="337">
        <f>IF(ISERROR(VLOOKUP($A5,'Man Tab'!$A:$Q,COLUMN()+2,0)),0,VLOOKUP($A5,'Man Tab'!$A:$Q,COLUMN()+2,0))</f>
        <v>4.9406564584124654E-324</v>
      </c>
      <c r="H5" s="337">
        <f>IF(ISERROR(VLOOKUP($A5,'Man Tab'!$A:$Q,COLUMN()+2,0)),0,VLOOKUP($A5,'Man Tab'!$A:$Q,COLUMN()+2,0))</f>
        <v>4.9406564584124654E-324</v>
      </c>
      <c r="I5" s="337">
        <f>IF(ISERROR(VLOOKUP($A5,'Man Tab'!$A:$Q,COLUMN()+2,0)),0,VLOOKUP($A5,'Man Tab'!$A:$Q,COLUMN()+2,0))</f>
        <v>4.9406564584124654E-324</v>
      </c>
      <c r="J5" s="337">
        <f>IF(ISERROR(VLOOKUP($A5,'Man Tab'!$A:$Q,COLUMN()+2,0)),0,VLOOKUP($A5,'Man Tab'!$A:$Q,COLUMN()+2,0))</f>
        <v>4.9406564584124654E-324</v>
      </c>
      <c r="K5" s="337">
        <f>IF(ISERROR(VLOOKUP($A5,'Man Tab'!$A:$Q,COLUMN()+2,0)),0,VLOOKUP($A5,'Man Tab'!$A:$Q,COLUMN()+2,0))</f>
        <v>4.9406564584124654E-324</v>
      </c>
      <c r="L5" s="337">
        <f>IF(ISERROR(VLOOKUP($A5,'Man Tab'!$A:$Q,COLUMN()+2,0)),0,VLOOKUP($A5,'Man Tab'!$A:$Q,COLUMN()+2,0))</f>
        <v>4.9406564584124654E-324</v>
      </c>
      <c r="M5" s="337">
        <f>IF(ISERROR(VLOOKUP($A5,'Man Tab'!$A:$Q,COLUMN()+2,0)),0,VLOOKUP($A5,'Man Tab'!$A:$Q,COLUMN()+2,0))</f>
        <v>4.9406564584124654E-324</v>
      </c>
    </row>
    <row r="6" spans="1:13" ht="14.4" customHeight="1" x14ac:dyDescent="0.3">
      <c r="A6" s="338" t="s">
        <v>101</v>
      </c>
      <c r="B6" s="339">
        <f>B5</f>
        <v>11497.918300000099</v>
      </c>
      <c r="C6" s="339">
        <f t="shared" ref="C6:M6" si="1">C5+B6</f>
        <v>22377.089130000099</v>
      </c>
      <c r="D6" s="339">
        <f t="shared" si="1"/>
        <v>22377.089130000099</v>
      </c>
      <c r="E6" s="339">
        <f t="shared" si="1"/>
        <v>22377.089130000099</v>
      </c>
      <c r="F6" s="339">
        <f t="shared" si="1"/>
        <v>22377.089130000099</v>
      </c>
      <c r="G6" s="339">
        <f t="shared" si="1"/>
        <v>22377.089130000099</v>
      </c>
      <c r="H6" s="339">
        <f t="shared" si="1"/>
        <v>22377.089130000099</v>
      </c>
      <c r="I6" s="339">
        <f t="shared" si="1"/>
        <v>22377.089130000099</v>
      </c>
      <c r="J6" s="339">
        <f t="shared" si="1"/>
        <v>22377.089130000099</v>
      </c>
      <c r="K6" s="339">
        <f t="shared" si="1"/>
        <v>22377.089130000099</v>
      </c>
      <c r="L6" s="339">
        <f t="shared" si="1"/>
        <v>22377.089130000099</v>
      </c>
      <c r="M6" s="339">
        <f t="shared" si="1"/>
        <v>22377.089130000099</v>
      </c>
    </row>
    <row r="7" spans="1:13" ht="14.4" customHeight="1" x14ac:dyDescent="0.3">
      <c r="A7" s="338" t="s">
        <v>130</v>
      </c>
      <c r="B7" s="338">
        <v>523.19600000000003</v>
      </c>
      <c r="C7" s="338">
        <v>1812.5830000000001</v>
      </c>
      <c r="D7" s="338"/>
      <c r="E7" s="338"/>
      <c r="F7" s="338"/>
      <c r="G7" s="338"/>
      <c r="H7" s="338"/>
      <c r="I7" s="338"/>
      <c r="J7" s="338"/>
      <c r="K7" s="338"/>
      <c r="L7" s="338"/>
      <c r="M7" s="338"/>
    </row>
    <row r="8" spans="1:13" ht="14.4" customHeight="1" x14ac:dyDescent="0.3">
      <c r="A8" s="338" t="s">
        <v>102</v>
      </c>
      <c r="B8" s="339">
        <f>B7*30</f>
        <v>15695.880000000001</v>
      </c>
      <c r="C8" s="339">
        <f t="shared" ref="C8:M8" si="2">C7*30</f>
        <v>54377.490000000005</v>
      </c>
      <c r="D8" s="339">
        <f t="shared" si="2"/>
        <v>0</v>
      </c>
      <c r="E8" s="339">
        <f t="shared" si="2"/>
        <v>0</v>
      </c>
      <c r="F8" s="339">
        <f t="shared" si="2"/>
        <v>0</v>
      </c>
      <c r="G8" s="339">
        <f t="shared" si="2"/>
        <v>0</v>
      </c>
      <c r="H8" s="339">
        <f t="shared" si="2"/>
        <v>0</v>
      </c>
      <c r="I8" s="339">
        <f t="shared" si="2"/>
        <v>0</v>
      </c>
      <c r="J8" s="339">
        <f t="shared" si="2"/>
        <v>0</v>
      </c>
      <c r="K8" s="339">
        <f t="shared" si="2"/>
        <v>0</v>
      </c>
      <c r="L8" s="339">
        <f t="shared" si="2"/>
        <v>0</v>
      </c>
      <c r="M8" s="339">
        <f t="shared" si="2"/>
        <v>0</v>
      </c>
    </row>
    <row r="9" spans="1:13" ht="14.4" customHeight="1" x14ac:dyDescent="0.3">
      <c r="A9" s="338" t="s">
        <v>131</v>
      </c>
      <c r="B9" s="338">
        <v>101402</v>
      </c>
      <c r="C9" s="338">
        <v>90031</v>
      </c>
      <c r="D9" s="338">
        <v>0</v>
      </c>
      <c r="E9" s="338">
        <v>0</v>
      </c>
      <c r="F9" s="338">
        <v>0</v>
      </c>
      <c r="G9" s="338">
        <v>0</v>
      </c>
      <c r="H9" s="338">
        <v>0</v>
      </c>
      <c r="I9" s="338">
        <v>0</v>
      </c>
      <c r="J9" s="338">
        <v>0</v>
      </c>
      <c r="K9" s="338">
        <v>0</v>
      </c>
      <c r="L9" s="338">
        <v>0</v>
      </c>
      <c r="M9" s="338">
        <v>0</v>
      </c>
    </row>
    <row r="10" spans="1:13" ht="14.4" customHeight="1" x14ac:dyDescent="0.3">
      <c r="A10" s="338" t="s">
        <v>103</v>
      </c>
      <c r="B10" s="339">
        <f>B9/1000</f>
        <v>101.402</v>
      </c>
      <c r="C10" s="339">
        <f t="shared" ref="C10:M10" si="3">C9/1000+B10</f>
        <v>191.43299999999999</v>
      </c>
      <c r="D10" s="339">
        <f t="shared" si="3"/>
        <v>191.43299999999999</v>
      </c>
      <c r="E10" s="339">
        <f t="shared" si="3"/>
        <v>191.43299999999999</v>
      </c>
      <c r="F10" s="339">
        <f t="shared" si="3"/>
        <v>191.43299999999999</v>
      </c>
      <c r="G10" s="339">
        <f t="shared" si="3"/>
        <v>191.43299999999999</v>
      </c>
      <c r="H10" s="339">
        <f t="shared" si="3"/>
        <v>191.43299999999999</v>
      </c>
      <c r="I10" s="339">
        <f t="shared" si="3"/>
        <v>191.43299999999999</v>
      </c>
      <c r="J10" s="339">
        <f t="shared" si="3"/>
        <v>191.43299999999999</v>
      </c>
      <c r="K10" s="339">
        <f t="shared" si="3"/>
        <v>191.43299999999999</v>
      </c>
      <c r="L10" s="339">
        <f t="shared" si="3"/>
        <v>191.43299999999999</v>
      </c>
      <c r="M10" s="339">
        <f t="shared" si="3"/>
        <v>191.43299999999999</v>
      </c>
    </row>
    <row r="11" spans="1:13" ht="14.4" customHeight="1" x14ac:dyDescent="0.3">
      <c r="A11" s="334"/>
      <c r="B11" s="334" t="s">
        <v>119</v>
      </c>
      <c r="C11" s="334">
        <f>COUNTIF(B7:M7,"&lt;&gt;")</f>
        <v>2</v>
      </c>
      <c r="D11" s="334"/>
      <c r="E11" s="334"/>
      <c r="F11" s="334"/>
      <c r="G11" s="334"/>
      <c r="H11" s="334"/>
      <c r="I11" s="334"/>
      <c r="J11" s="334"/>
      <c r="K11" s="334"/>
      <c r="L11" s="334"/>
      <c r="M11" s="334"/>
    </row>
    <row r="12" spans="1:13" ht="14.4" customHeight="1" x14ac:dyDescent="0.3">
      <c r="A12" s="334">
        <v>0</v>
      </c>
      <c r="B12" s="337">
        <f>IF(ISERROR(HI!F15),#REF!,HI!F15)</f>
        <v>2.4455778672032191</v>
      </c>
      <c r="C12" s="334"/>
      <c r="D12" s="334"/>
      <c r="E12" s="334"/>
      <c r="F12" s="334"/>
      <c r="G12" s="334"/>
      <c r="H12" s="334"/>
      <c r="I12" s="334"/>
      <c r="J12" s="334"/>
      <c r="K12" s="334"/>
      <c r="L12" s="334"/>
      <c r="M12" s="334"/>
    </row>
    <row r="13" spans="1:13" ht="14.4" customHeight="1" x14ac:dyDescent="0.3">
      <c r="A13" s="334">
        <v>1</v>
      </c>
      <c r="B13" s="337">
        <f>IF(ISERROR(HI!F15),#REF!,HI!F15)</f>
        <v>2.4455778672032191</v>
      </c>
      <c r="C13" s="334"/>
      <c r="D13" s="334"/>
      <c r="E13" s="334"/>
      <c r="F13" s="334"/>
      <c r="G13" s="334"/>
      <c r="H13" s="334"/>
      <c r="I13" s="334"/>
      <c r="J13" s="334"/>
      <c r="K13" s="334"/>
      <c r="L13" s="334"/>
      <c r="M13" s="334"/>
    </row>
  </sheetData>
  <mergeCells count="1">
    <mergeCell ref="A1:M1"/>
  </mergeCells>
  <hyperlinks>
    <hyperlink ref="A2" location="Obsah!A1" display="Zpět na Obsah  KL 01  1.-4.měsíc"/>
  </hyperlinks>
  <pageMargins left="0.25" right="0.25" top="0.75" bottom="0.75" header="0.3" footer="0.3"/>
  <pageSetup paperSize="9" orientation="landscape" r:id="rId1"/>
  <ignoredErrors>
    <ignoredError sqref="B4:M4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260" bestFit="1" customWidth="1"/>
    <col min="2" max="2" width="12.77734375" style="260" bestFit="1" customWidth="1"/>
    <col min="3" max="3" width="13.6640625" style="260" bestFit="1" customWidth="1"/>
    <col min="4" max="15" width="7.77734375" style="260" bestFit="1" customWidth="1"/>
    <col min="16" max="16" width="8.88671875" style="260" customWidth="1"/>
    <col min="17" max="17" width="6.6640625" style="260" bestFit="1" customWidth="1"/>
    <col min="18" max="16384" width="8.88671875" style="260"/>
  </cols>
  <sheetData>
    <row r="1" spans="1:17" s="340" customFormat="1" ht="18.600000000000001" customHeight="1" thickBot="1" x14ac:dyDescent="0.4">
      <c r="A1" s="471" t="s">
        <v>300</v>
      </c>
      <c r="B1" s="471"/>
      <c r="C1" s="471"/>
      <c r="D1" s="471"/>
      <c r="E1" s="471"/>
      <c r="F1" s="471"/>
      <c r="G1" s="471"/>
      <c r="H1" s="462"/>
      <c r="I1" s="462"/>
      <c r="J1" s="462"/>
      <c r="K1" s="462"/>
      <c r="L1" s="462"/>
      <c r="M1" s="462"/>
      <c r="N1" s="462"/>
      <c r="O1" s="462"/>
      <c r="P1" s="462"/>
      <c r="Q1" s="462"/>
    </row>
    <row r="2" spans="1:17" s="340" customFormat="1" ht="14.4" customHeight="1" thickBot="1" x14ac:dyDescent="0.3">
      <c r="A2" s="389" t="s">
        <v>298</v>
      </c>
      <c r="B2" s="341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</row>
    <row r="3" spans="1:17" ht="14.4" customHeight="1" x14ac:dyDescent="0.3">
      <c r="A3" s="101"/>
      <c r="B3" s="472" t="s">
        <v>32</v>
      </c>
      <c r="C3" s="473"/>
      <c r="D3" s="473"/>
      <c r="E3" s="473"/>
      <c r="F3" s="473"/>
      <c r="G3" s="473"/>
      <c r="H3" s="473"/>
      <c r="I3" s="473"/>
      <c r="J3" s="473"/>
      <c r="K3" s="473"/>
      <c r="L3" s="473"/>
      <c r="M3" s="473"/>
      <c r="N3" s="473"/>
      <c r="O3" s="473"/>
      <c r="P3" s="269"/>
      <c r="Q3" s="271"/>
    </row>
    <row r="4" spans="1:17" ht="14.4" customHeight="1" x14ac:dyDescent="0.3">
      <c r="A4" s="102"/>
      <c r="B4" s="24">
        <v>2014</v>
      </c>
      <c r="C4" s="270" t="s">
        <v>33</v>
      </c>
      <c r="D4" s="248" t="s">
        <v>215</v>
      </c>
      <c r="E4" s="248" t="s">
        <v>216</v>
      </c>
      <c r="F4" s="248" t="s">
        <v>217</v>
      </c>
      <c r="G4" s="248" t="s">
        <v>218</v>
      </c>
      <c r="H4" s="248" t="s">
        <v>219</v>
      </c>
      <c r="I4" s="248" t="s">
        <v>220</v>
      </c>
      <c r="J4" s="248" t="s">
        <v>221</v>
      </c>
      <c r="K4" s="248" t="s">
        <v>222</v>
      </c>
      <c r="L4" s="248" t="s">
        <v>223</v>
      </c>
      <c r="M4" s="248" t="s">
        <v>224</v>
      </c>
      <c r="N4" s="248" t="s">
        <v>225</v>
      </c>
      <c r="O4" s="248" t="s">
        <v>226</v>
      </c>
      <c r="P4" s="474" t="s">
        <v>6</v>
      </c>
      <c r="Q4" s="475"/>
    </row>
    <row r="5" spans="1:17" ht="14.4" customHeight="1" thickBot="1" x14ac:dyDescent="0.35">
      <c r="A5" s="103"/>
      <c r="B5" s="25" t="s">
        <v>34</v>
      </c>
      <c r="C5" s="26" t="s">
        <v>34</v>
      </c>
      <c r="D5" s="26" t="s">
        <v>35</v>
      </c>
      <c r="E5" s="26" t="s">
        <v>35</v>
      </c>
      <c r="F5" s="26" t="s">
        <v>35</v>
      </c>
      <c r="G5" s="26" t="s">
        <v>35</v>
      </c>
      <c r="H5" s="26" t="s">
        <v>35</v>
      </c>
      <c r="I5" s="26" t="s">
        <v>35</v>
      </c>
      <c r="J5" s="26" t="s">
        <v>35</v>
      </c>
      <c r="K5" s="26" t="s">
        <v>35</v>
      </c>
      <c r="L5" s="26" t="s">
        <v>35</v>
      </c>
      <c r="M5" s="26" t="s">
        <v>35</v>
      </c>
      <c r="N5" s="26" t="s">
        <v>35</v>
      </c>
      <c r="O5" s="26" t="s">
        <v>35</v>
      </c>
      <c r="P5" s="26" t="s">
        <v>35</v>
      </c>
      <c r="Q5" s="27" t="s">
        <v>36</v>
      </c>
    </row>
    <row r="6" spans="1:17" ht="14.4" customHeight="1" x14ac:dyDescent="0.3">
      <c r="A6" s="18" t="s">
        <v>37</v>
      </c>
      <c r="B6" s="52">
        <v>5695.9999999999</v>
      </c>
      <c r="C6" s="53">
        <v>474.66666666665799</v>
      </c>
      <c r="D6" s="53">
        <v>718.51000000000397</v>
      </c>
      <c r="E6" s="53">
        <v>877.98</v>
      </c>
      <c r="F6" s="53">
        <v>4.9406564584124654E-324</v>
      </c>
      <c r="G6" s="53">
        <v>4.9406564584124654E-324</v>
      </c>
      <c r="H6" s="53">
        <v>4.9406564584124654E-324</v>
      </c>
      <c r="I6" s="53">
        <v>4.9406564584124654E-324</v>
      </c>
      <c r="J6" s="53">
        <v>4.9406564584124654E-324</v>
      </c>
      <c r="K6" s="53">
        <v>4.9406564584124654E-324</v>
      </c>
      <c r="L6" s="53">
        <v>4.9406564584124654E-324</v>
      </c>
      <c r="M6" s="53">
        <v>4.9406564584124654E-324</v>
      </c>
      <c r="N6" s="53">
        <v>4.9406564584124654E-324</v>
      </c>
      <c r="O6" s="53">
        <v>4.9406564584124654E-324</v>
      </c>
      <c r="P6" s="54">
        <v>1596.49</v>
      </c>
      <c r="Q6" s="188">
        <v>1.6816959269659999</v>
      </c>
    </row>
    <row r="7" spans="1:17" ht="14.4" customHeight="1" x14ac:dyDescent="0.3">
      <c r="A7" s="19" t="s">
        <v>38</v>
      </c>
      <c r="B7" s="55">
        <v>7914.83599718199</v>
      </c>
      <c r="C7" s="56">
        <v>659.56966643183205</v>
      </c>
      <c r="D7" s="56">
        <v>636.51431000000298</v>
      </c>
      <c r="E7" s="56">
        <v>617.23290999999995</v>
      </c>
      <c r="F7" s="56">
        <v>4.9406564584124654E-324</v>
      </c>
      <c r="G7" s="56">
        <v>4.9406564584124654E-324</v>
      </c>
      <c r="H7" s="56">
        <v>4.9406564584124654E-324</v>
      </c>
      <c r="I7" s="56">
        <v>4.9406564584124654E-324</v>
      </c>
      <c r="J7" s="56">
        <v>4.9406564584124654E-324</v>
      </c>
      <c r="K7" s="56">
        <v>4.9406564584124654E-324</v>
      </c>
      <c r="L7" s="56">
        <v>4.9406564584124654E-324</v>
      </c>
      <c r="M7" s="56">
        <v>4.9406564584124654E-324</v>
      </c>
      <c r="N7" s="56">
        <v>4.9406564584124654E-324</v>
      </c>
      <c r="O7" s="56">
        <v>4.9406564584124654E-324</v>
      </c>
      <c r="P7" s="57">
        <v>1253.74722</v>
      </c>
      <c r="Q7" s="189">
        <v>0.95042819872399997</v>
      </c>
    </row>
    <row r="8" spans="1:17" ht="14.4" customHeight="1" x14ac:dyDescent="0.3">
      <c r="A8" s="19" t="s">
        <v>39</v>
      </c>
      <c r="B8" s="55">
        <v>3425.1412216394401</v>
      </c>
      <c r="C8" s="56">
        <v>285.42843513662001</v>
      </c>
      <c r="D8" s="56">
        <v>289.96200000000101</v>
      </c>
      <c r="E8" s="56">
        <v>243.93899999999999</v>
      </c>
      <c r="F8" s="56">
        <v>4.9406564584124654E-324</v>
      </c>
      <c r="G8" s="56">
        <v>4.9406564584124654E-324</v>
      </c>
      <c r="H8" s="56">
        <v>4.9406564584124654E-324</v>
      </c>
      <c r="I8" s="56">
        <v>4.9406564584124654E-324</v>
      </c>
      <c r="J8" s="56">
        <v>4.9406564584124654E-324</v>
      </c>
      <c r="K8" s="56">
        <v>4.9406564584124654E-324</v>
      </c>
      <c r="L8" s="56">
        <v>4.9406564584124654E-324</v>
      </c>
      <c r="M8" s="56">
        <v>4.9406564584124654E-324</v>
      </c>
      <c r="N8" s="56">
        <v>4.9406564584124654E-324</v>
      </c>
      <c r="O8" s="56">
        <v>4.9406564584124654E-324</v>
      </c>
      <c r="P8" s="57">
        <v>533.90100000000098</v>
      </c>
      <c r="Q8" s="189">
        <v>0.93526245859900003</v>
      </c>
    </row>
    <row r="9" spans="1:17" ht="14.4" customHeight="1" x14ac:dyDescent="0.3">
      <c r="A9" s="19" t="s">
        <v>40</v>
      </c>
      <c r="B9" s="55">
        <v>36000.155430295301</v>
      </c>
      <c r="C9" s="56">
        <v>3000.0129525246098</v>
      </c>
      <c r="D9" s="56">
        <v>2775.6744200000098</v>
      </c>
      <c r="E9" s="56">
        <v>2708.6899800000001</v>
      </c>
      <c r="F9" s="56">
        <v>4.9406564584124654E-324</v>
      </c>
      <c r="G9" s="56">
        <v>4.9406564584124654E-324</v>
      </c>
      <c r="H9" s="56">
        <v>4.9406564584124654E-324</v>
      </c>
      <c r="I9" s="56">
        <v>4.9406564584124654E-324</v>
      </c>
      <c r="J9" s="56">
        <v>4.9406564584124654E-324</v>
      </c>
      <c r="K9" s="56">
        <v>4.9406564584124654E-324</v>
      </c>
      <c r="L9" s="56">
        <v>4.9406564584124654E-324</v>
      </c>
      <c r="M9" s="56">
        <v>4.9406564584124654E-324</v>
      </c>
      <c r="N9" s="56">
        <v>4.9406564584124654E-324</v>
      </c>
      <c r="O9" s="56">
        <v>4.9406564584124654E-324</v>
      </c>
      <c r="P9" s="57">
        <v>5484.3644000000104</v>
      </c>
      <c r="Q9" s="189">
        <v>0.91405678688500003</v>
      </c>
    </row>
    <row r="10" spans="1:17" ht="14.4" customHeight="1" x14ac:dyDescent="0.3">
      <c r="A10" s="19" t="s">
        <v>41</v>
      </c>
      <c r="B10" s="55">
        <v>543.49808318894497</v>
      </c>
      <c r="C10" s="56">
        <v>45.291506932411998</v>
      </c>
      <c r="D10" s="56">
        <v>52.5381</v>
      </c>
      <c r="E10" s="56">
        <v>58.180280000000003</v>
      </c>
      <c r="F10" s="56">
        <v>4.9406564584124654E-324</v>
      </c>
      <c r="G10" s="56">
        <v>4.9406564584124654E-324</v>
      </c>
      <c r="H10" s="56">
        <v>4.9406564584124654E-324</v>
      </c>
      <c r="I10" s="56">
        <v>4.9406564584124654E-324</v>
      </c>
      <c r="J10" s="56">
        <v>4.9406564584124654E-324</v>
      </c>
      <c r="K10" s="56">
        <v>4.9406564584124654E-324</v>
      </c>
      <c r="L10" s="56">
        <v>4.9406564584124654E-324</v>
      </c>
      <c r="M10" s="56">
        <v>4.9406564584124654E-324</v>
      </c>
      <c r="N10" s="56">
        <v>4.9406564584124654E-324</v>
      </c>
      <c r="O10" s="56">
        <v>4.9406564584124654E-324</v>
      </c>
      <c r="P10" s="57">
        <v>110.71838</v>
      </c>
      <c r="Q10" s="189">
        <v>1.2222863346670001</v>
      </c>
    </row>
    <row r="11" spans="1:17" ht="14.4" customHeight="1" x14ac:dyDescent="0.3">
      <c r="A11" s="19" t="s">
        <v>42</v>
      </c>
      <c r="B11" s="55">
        <v>808.94629088091006</v>
      </c>
      <c r="C11" s="56">
        <v>67.412190906741998</v>
      </c>
      <c r="D11" s="56">
        <v>63.212400000000002</v>
      </c>
      <c r="E11" s="56">
        <v>70.641689999999997</v>
      </c>
      <c r="F11" s="56">
        <v>4.9406564584124654E-324</v>
      </c>
      <c r="G11" s="56">
        <v>4.9406564584124654E-324</v>
      </c>
      <c r="H11" s="56">
        <v>4.9406564584124654E-324</v>
      </c>
      <c r="I11" s="56">
        <v>4.9406564584124654E-324</v>
      </c>
      <c r="J11" s="56">
        <v>4.9406564584124654E-324</v>
      </c>
      <c r="K11" s="56">
        <v>4.9406564584124654E-324</v>
      </c>
      <c r="L11" s="56">
        <v>4.9406564584124654E-324</v>
      </c>
      <c r="M11" s="56">
        <v>4.9406564584124654E-324</v>
      </c>
      <c r="N11" s="56">
        <v>4.9406564584124654E-324</v>
      </c>
      <c r="O11" s="56">
        <v>4.9406564584124654E-324</v>
      </c>
      <c r="P11" s="57">
        <v>133.85409000000001</v>
      </c>
      <c r="Q11" s="189">
        <v>0.99280329121099997</v>
      </c>
    </row>
    <row r="12" spans="1:17" ht="14.4" customHeight="1" x14ac:dyDescent="0.3">
      <c r="A12" s="19" t="s">
        <v>43</v>
      </c>
      <c r="B12" s="55">
        <v>241.07580320140301</v>
      </c>
      <c r="C12" s="56">
        <v>20.089650266783</v>
      </c>
      <c r="D12" s="56">
        <v>71.330100000000002</v>
      </c>
      <c r="E12" s="56">
        <v>4.9406564584124654E-324</v>
      </c>
      <c r="F12" s="56">
        <v>4.9406564584124654E-324</v>
      </c>
      <c r="G12" s="56">
        <v>4.9406564584124654E-324</v>
      </c>
      <c r="H12" s="56">
        <v>4.9406564584124654E-324</v>
      </c>
      <c r="I12" s="56">
        <v>4.9406564584124654E-324</v>
      </c>
      <c r="J12" s="56">
        <v>4.9406564584124654E-324</v>
      </c>
      <c r="K12" s="56">
        <v>4.9406564584124654E-324</v>
      </c>
      <c r="L12" s="56">
        <v>4.9406564584124654E-324</v>
      </c>
      <c r="M12" s="56">
        <v>4.9406564584124654E-324</v>
      </c>
      <c r="N12" s="56">
        <v>4.9406564584124654E-324</v>
      </c>
      <c r="O12" s="56">
        <v>4.9406564584124654E-324</v>
      </c>
      <c r="P12" s="57">
        <v>71.330100000000002</v>
      </c>
      <c r="Q12" s="189">
        <v>1.7752947177459999</v>
      </c>
    </row>
    <row r="13" spans="1:17" ht="14.4" customHeight="1" x14ac:dyDescent="0.3">
      <c r="A13" s="19" t="s">
        <v>44</v>
      </c>
      <c r="B13" s="55">
        <v>332.55886295656597</v>
      </c>
      <c r="C13" s="56">
        <v>27.713238579713</v>
      </c>
      <c r="D13" s="56">
        <v>26.552569999999999</v>
      </c>
      <c r="E13" s="56">
        <v>20.909790000000001</v>
      </c>
      <c r="F13" s="56">
        <v>4.9406564584124654E-324</v>
      </c>
      <c r="G13" s="56">
        <v>4.9406564584124654E-324</v>
      </c>
      <c r="H13" s="56">
        <v>4.9406564584124654E-324</v>
      </c>
      <c r="I13" s="56">
        <v>4.9406564584124654E-324</v>
      </c>
      <c r="J13" s="56">
        <v>4.9406564584124654E-324</v>
      </c>
      <c r="K13" s="56">
        <v>4.9406564584124654E-324</v>
      </c>
      <c r="L13" s="56">
        <v>4.9406564584124654E-324</v>
      </c>
      <c r="M13" s="56">
        <v>4.9406564584124654E-324</v>
      </c>
      <c r="N13" s="56">
        <v>4.9406564584124654E-324</v>
      </c>
      <c r="O13" s="56">
        <v>4.9406564584124654E-324</v>
      </c>
      <c r="P13" s="57">
        <v>47.462359999999997</v>
      </c>
      <c r="Q13" s="189">
        <v>0.85631204493599999</v>
      </c>
    </row>
    <row r="14" spans="1:17" ht="14.4" customHeight="1" x14ac:dyDescent="0.3">
      <c r="A14" s="19" t="s">
        <v>45</v>
      </c>
      <c r="B14" s="55">
        <v>2149.2848787416701</v>
      </c>
      <c r="C14" s="56">
        <v>179.10707322847199</v>
      </c>
      <c r="D14" s="56">
        <v>236.51700000000099</v>
      </c>
      <c r="E14" s="56">
        <v>198.45400000000001</v>
      </c>
      <c r="F14" s="56">
        <v>4.9406564584124654E-324</v>
      </c>
      <c r="G14" s="56">
        <v>4.9406564584124654E-324</v>
      </c>
      <c r="H14" s="56">
        <v>4.9406564584124654E-324</v>
      </c>
      <c r="I14" s="56">
        <v>4.9406564584124654E-324</v>
      </c>
      <c r="J14" s="56">
        <v>4.9406564584124654E-324</v>
      </c>
      <c r="K14" s="56">
        <v>4.9406564584124654E-324</v>
      </c>
      <c r="L14" s="56">
        <v>4.9406564584124654E-324</v>
      </c>
      <c r="M14" s="56">
        <v>4.9406564584124654E-324</v>
      </c>
      <c r="N14" s="56">
        <v>4.9406564584124654E-324</v>
      </c>
      <c r="O14" s="56">
        <v>4.9406564584124654E-324</v>
      </c>
      <c r="P14" s="57">
        <v>434.97100000000103</v>
      </c>
      <c r="Q14" s="189">
        <v>1.2142764441380001</v>
      </c>
    </row>
    <row r="15" spans="1:17" ht="14.4" customHeight="1" x14ac:dyDescent="0.3">
      <c r="A15" s="19" t="s">
        <v>46</v>
      </c>
      <c r="B15" s="55">
        <v>4.9406564584124654E-324</v>
      </c>
      <c r="C15" s="56">
        <v>0</v>
      </c>
      <c r="D15" s="56">
        <v>4.9406564584124654E-324</v>
      </c>
      <c r="E15" s="56">
        <v>4.9406564584124654E-324</v>
      </c>
      <c r="F15" s="56">
        <v>4.9406564584124654E-324</v>
      </c>
      <c r="G15" s="56">
        <v>4.9406564584124654E-324</v>
      </c>
      <c r="H15" s="56">
        <v>4.9406564584124654E-324</v>
      </c>
      <c r="I15" s="56">
        <v>4.9406564584124654E-324</v>
      </c>
      <c r="J15" s="56">
        <v>4.9406564584124654E-324</v>
      </c>
      <c r="K15" s="56">
        <v>4.9406564584124654E-324</v>
      </c>
      <c r="L15" s="56">
        <v>4.9406564584124654E-324</v>
      </c>
      <c r="M15" s="56">
        <v>4.9406564584124654E-324</v>
      </c>
      <c r="N15" s="56">
        <v>4.9406564584124654E-324</v>
      </c>
      <c r="O15" s="56">
        <v>4.9406564584124654E-324</v>
      </c>
      <c r="P15" s="57">
        <v>9.8813129168249309E-324</v>
      </c>
      <c r="Q15" s="189" t="s">
        <v>299</v>
      </c>
    </row>
    <row r="16" spans="1:17" ht="14.4" customHeight="1" x14ac:dyDescent="0.3">
      <c r="A16" s="19" t="s">
        <v>47</v>
      </c>
      <c r="B16" s="55">
        <v>4.9406564584124654E-324</v>
      </c>
      <c r="C16" s="56">
        <v>0</v>
      </c>
      <c r="D16" s="56">
        <v>4.9406564584124654E-324</v>
      </c>
      <c r="E16" s="56">
        <v>4.9406564584124654E-324</v>
      </c>
      <c r="F16" s="56">
        <v>4.9406564584124654E-324</v>
      </c>
      <c r="G16" s="56">
        <v>4.9406564584124654E-324</v>
      </c>
      <c r="H16" s="56">
        <v>4.9406564584124654E-324</v>
      </c>
      <c r="I16" s="56">
        <v>4.9406564584124654E-324</v>
      </c>
      <c r="J16" s="56">
        <v>4.9406564584124654E-324</v>
      </c>
      <c r="K16" s="56">
        <v>4.9406564584124654E-324</v>
      </c>
      <c r="L16" s="56">
        <v>4.9406564584124654E-324</v>
      </c>
      <c r="M16" s="56">
        <v>4.9406564584124654E-324</v>
      </c>
      <c r="N16" s="56">
        <v>4.9406564584124654E-324</v>
      </c>
      <c r="O16" s="56">
        <v>4.9406564584124654E-324</v>
      </c>
      <c r="P16" s="57">
        <v>9.8813129168249309E-324</v>
      </c>
      <c r="Q16" s="189" t="s">
        <v>299</v>
      </c>
    </row>
    <row r="17" spans="1:17" ht="14.4" customHeight="1" x14ac:dyDescent="0.3">
      <c r="A17" s="19" t="s">
        <v>48</v>
      </c>
      <c r="B17" s="55">
        <v>960.95761996988006</v>
      </c>
      <c r="C17" s="56">
        <v>80.079801664155994</v>
      </c>
      <c r="D17" s="56">
        <v>18.34796</v>
      </c>
      <c r="E17" s="56">
        <v>76.395480000000006</v>
      </c>
      <c r="F17" s="56">
        <v>4.9406564584124654E-324</v>
      </c>
      <c r="G17" s="56">
        <v>4.9406564584124654E-324</v>
      </c>
      <c r="H17" s="56">
        <v>4.9406564584124654E-324</v>
      </c>
      <c r="I17" s="56">
        <v>4.9406564584124654E-324</v>
      </c>
      <c r="J17" s="56">
        <v>4.9406564584124654E-324</v>
      </c>
      <c r="K17" s="56">
        <v>4.9406564584124654E-324</v>
      </c>
      <c r="L17" s="56">
        <v>4.9406564584124654E-324</v>
      </c>
      <c r="M17" s="56">
        <v>4.9406564584124654E-324</v>
      </c>
      <c r="N17" s="56">
        <v>4.9406564584124654E-324</v>
      </c>
      <c r="O17" s="56">
        <v>4.9406564584124654E-324</v>
      </c>
      <c r="P17" s="57">
        <v>94.743440000000007</v>
      </c>
      <c r="Q17" s="189">
        <v>0.59155641017500005</v>
      </c>
    </row>
    <row r="18" spans="1:17" ht="14.4" customHeight="1" x14ac:dyDescent="0.3">
      <c r="A18" s="19" t="s">
        <v>49</v>
      </c>
      <c r="B18" s="55">
        <v>0</v>
      </c>
      <c r="C18" s="56">
        <v>0</v>
      </c>
      <c r="D18" s="56">
        <v>15.215</v>
      </c>
      <c r="E18" s="56">
        <v>3.08</v>
      </c>
      <c r="F18" s="56">
        <v>4.9406564584124654E-324</v>
      </c>
      <c r="G18" s="56">
        <v>4.9406564584124654E-324</v>
      </c>
      <c r="H18" s="56">
        <v>4.9406564584124654E-324</v>
      </c>
      <c r="I18" s="56">
        <v>4.9406564584124654E-324</v>
      </c>
      <c r="J18" s="56">
        <v>4.9406564584124654E-324</v>
      </c>
      <c r="K18" s="56">
        <v>4.9406564584124654E-324</v>
      </c>
      <c r="L18" s="56">
        <v>4.9406564584124654E-324</v>
      </c>
      <c r="M18" s="56">
        <v>4.9406564584124654E-324</v>
      </c>
      <c r="N18" s="56">
        <v>4.9406564584124654E-324</v>
      </c>
      <c r="O18" s="56">
        <v>4.9406564584124654E-324</v>
      </c>
      <c r="P18" s="57">
        <v>18.295000000000002</v>
      </c>
      <c r="Q18" s="189" t="s">
        <v>299</v>
      </c>
    </row>
    <row r="19" spans="1:17" ht="14.4" customHeight="1" x14ac:dyDescent="0.3">
      <c r="A19" s="19" t="s">
        <v>50</v>
      </c>
      <c r="B19" s="55">
        <v>3532.2354966754801</v>
      </c>
      <c r="C19" s="56">
        <v>294.35295805628999</v>
      </c>
      <c r="D19" s="56">
        <v>302.23519000000101</v>
      </c>
      <c r="E19" s="56">
        <v>118.65777</v>
      </c>
      <c r="F19" s="56">
        <v>4.9406564584124654E-324</v>
      </c>
      <c r="G19" s="56">
        <v>4.9406564584124654E-324</v>
      </c>
      <c r="H19" s="56">
        <v>4.9406564584124654E-324</v>
      </c>
      <c r="I19" s="56">
        <v>4.9406564584124654E-324</v>
      </c>
      <c r="J19" s="56">
        <v>4.9406564584124654E-324</v>
      </c>
      <c r="K19" s="56">
        <v>4.9406564584124654E-324</v>
      </c>
      <c r="L19" s="56">
        <v>4.9406564584124654E-324</v>
      </c>
      <c r="M19" s="56">
        <v>4.9406564584124654E-324</v>
      </c>
      <c r="N19" s="56">
        <v>4.9406564584124654E-324</v>
      </c>
      <c r="O19" s="56">
        <v>4.9406564584124654E-324</v>
      </c>
      <c r="P19" s="57">
        <v>420.89296000000098</v>
      </c>
      <c r="Q19" s="189">
        <v>0.71494603414000002</v>
      </c>
    </row>
    <row r="20" spans="1:17" ht="14.4" customHeight="1" x14ac:dyDescent="0.3">
      <c r="A20" s="19" t="s">
        <v>51</v>
      </c>
      <c r="B20" s="55">
        <v>66622</v>
      </c>
      <c r="C20" s="56">
        <v>5551.8333333333303</v>
      </c>
      <c r="D20" s="56">
        <v>5457.6280800000304</v>
      </c>
      <c r="E20" s="56">
        <v>5084.4426400000002</v>
      </c>
      <c r="F20" s="56">
        <v>4.9406564584124654E-324</v>
      </c>
      <c r="G20" s="56">
        <v>4.9406564584124654E-324</v>
      </c>
      <c r="H20" s="56">
        <v>4.9406564584124654E-324</v>
      </c>
      <c r="I20" s="56">
        <v>4.9406564584124654E-324</v>
      </c>
      <c r="J20" s="56">
        <v>4.9406564584124654E-324</v>
      </c>
      <c r="K20" s="56">
        <v>4.9406564584124654E-324</v>
      </c>
      <c r="L20" s="56">
        <v>4.9406564584124654E-324</v>
      </c>
      <c r="M20" s="56">
        <v>4.9406564584124654E-324</v>
      </c>
      <c r="N20" s="56">
        <v>4.9406564584124654E-324</v>
      </c>
      <c r="O20" s="56">
        <v>4.9406564584124654E-324</v>
      </c>
      <c r="P20" s="57">
        <v>10542.07072</v>
      </c>
      <c r="Q20" s="189">
        <v>0.94942247786</v>
      </c>
    </row>
    <row r="21" spans="1:17" ht="14.4" customHeight="1" x14ac:dyDescent="0.3">
      <c r="A21" s="20" t="s">
        <v>52</v>
      </c>
      <c r="B21" s="55">
        <v>8264.1017727710096</v>
      </c>
      <c r="C21" s="56">
        <v>688.67514773091705</v>
      </c>
      <c r="D21" s="56">
        <v>800.57400000000405</v>
      </c>
      <c r="E21" s="56">
        <v>800.56700000000001</v>
      </c>
      <c r="F21" s="56">
        <v>1.4821969375237396E-323</v>
      </c>
      <c r="G21" s="56">
        <v>1.4821969375237396E-323</v>
      </c>
      <c r="H21" s="56">
        <v>1.4821969375237396E-323</v>
      </c>
      <c r="I21" s="56">
        <v>1.4821969375237396E-323</v>
      </c>
      <c r="J21" s="56">
        <v>1.4821969375237396E-323</v>
      </c>
      <c r="K21" s="56">
        <v>1.4821969375237396E-323</v>
      </c>
      <c r="L21" s="56">
        <v>1.4821969375237396E-323</v>
      </c>
      <c r="M21" s="56">
        <v>1.4821969375237396E-323</v>
      </c>
      <c r="N21" s="56">
        <v>1.4821969375237396E-323</v>
      </c>
      <c r="O21" s="56">
        <v>1.4821969375237396E-323</v>
      </c>
      <c r="P21" s="57">
        <v>1601.1410000000001</v>
      </c>
      <c r="Q21" s="189">
        <v>1.1624791494760001</v>
      </c>
    </row>
    <row r="22" spans="1:17" ht="14.4" customHeight="1" x14ac:dyDescent="0.3">
      <c r="A22" s="19" t="s">
        <v>53</v>
      </c>
      <c r="B22" s="55">
        <v>0</v>
      </c>
      <c r="C22" s="56">
        <v>0</v>
      </c>
      <c r="D22" s="56">
        <v>4.9406564584124654E-324</v>
      </c>
      <c r="E22" s="56">
        <v>4.9406564584124654E-324</v>
      </c>
      <c r="F22" s="56">
        <v>4.9406564584124654E-324</v>
      </c>
      <c r="G22" s="56">
        <v>4.9406564584124654E-324</v>
      </c>
      <c r="H22" s="56">
        <v>4.9406564584124654E-324</v>
      </c>
      <c r="I22" s="56">
        <v>4.9406564584124654E-324</v>
      </c>
      <c r="J22" s="56">
        <v>4.9406564584124654E-324</v>
      </c>
      <c r="K22" s="56">
        <v>4.9406564584124654E-324</v>
      </c>
      <c r="L22" s="56">
        <v>4.9406564584124654E-324</v>
      </c>
      <c r="M22" s="56">
        <v>4.9406564584124654E-324</v>
      </c>
      <c r="N22" s="56">
        <v>4.9406564584124654E-324</v>
      </c>
      <c r="O22" s="56">
        <v>4.9406564584124654E-324</v>
      </c>
      <c r="P22" s="57">
        <v>9.8813129168249309E-324</v>
      </c>
      <c r="Q22" s="189" t="s">
        <v>299</v>
      </c>
    </row>
    <row r="23" spans="1:17" ht="14.4" customHeight="1" x14ac:dyDescent="0.3">
      <c r="A23" s="20" t="s">
        <v>54</v>
      </c>
      <c r="B23" s="55">
        <v>1.9762625833649862E-323</v>
      </c>
      <c r="C23" s="56">
        <v>0</v>
      </c>
      <c r="D23" s="56">
        <v>1.9762625833649862E-323</v>
      </c>
      <c r="E23" s="56">
        <v>1.9762625833649862E-323</v>
      </c>
      <c r="F23" s="56">
        <v>1.9762625833649862E-323</v>
      </c>
      <c r="G23" s="56">
        <v>1.9762625833649862E-323</v>
      </c>
      <c r="H23" s="56">
        <v>1.9762625833649862E-323</v>
      </c>
      <c r="I23" s="56">
        <v>1.9762625833649862E-323</v>
      </c>
      <c r="J23" s="56">
        <v>1.9762625833649862E-323</v>
      </c>
      <c r="K23" s="56">
        <v>1.9762625833649862E-323</v>
      </c>
      <c r="L23" s="56">
        <v>1.9762625833649862E-323</v>
      </c>
      <c r="M23" s="56">
        <v>1.9762625833649862E-323</v>
      </c>
      <c r="N23" s="56">
        <v>1.9762625833649862E-323</v>
      </c>
      <c r="O23" s="56">
        <v>1.9762625833649862E-323</v>
      </c>
      <c r="P23" s="57">
        <v>3.9525251667299724E-323</v>
      </c>
      <c r="Q23" s="189" t="s">
        <v>299</v>
      </c>
    </row>
    <row r="24" spans="1:17" ht="14.4" customHeight="1" x14ac:dyDescent="0.3">
      <c r="A24" s="20" t="s">
        <v>55</v>
      </c>
      <c r="B24" s="55">
        <v>-2.91038304567337E-11</v>
      </c>
      <c r="C24" s="56">
        <v>-3.6379788070917101E-12</v>
      </c>
      <c r="D24" s="56">
        <v>33.107170000000998</v>
      </c>
      <c r="E24" s="56">
        <v>2.90000001E-4</v>
      </c>
      <c r="F24" s="56">
        <v>-1.0869444208507424E-322</v>
      </c>
      <c r="G24" s="56">
        <v>-1.0869444208507424E-322</v>
      </c>
      <c r="H24" s="56">
        <v>-1.0869444208507424E-322</v>
      </c>
      <c r="I24" s="56">
        <v>-1.0869444208507424E-322</v>
      </c>
      <c r="J24" s="56">
        <v>-1.0869444208507424E-322</v>
      </c>
      <c r="K24" s="56">
        <v>-1.0869444208507424E-322</v>
      </c>
      <c r="L24" s="56">
        <v>-1.0869444208507424E-322</v>
      </c>
      <c r="M24" s="56">
        <v>-1.0869444208507424E-322</v>
      </c>
      <c r="N24" s="56">
        <v>-1.0869444208507424E-322</v>
      </c>
      <c r="O24" s="56">
        <v>-1.0869444208507424E-322</v>
      </c>
      <c r="P24" s="57">
        <v>33.107460000002</v>
      </c>
      <c r="Q24" s="189"/>
    </row>
    <row r="25" spans="1:17" ht="14.4" customHeight="1" x14ac:dyDescent="0.3">
      <c r="A25" s="21" t="s">
        <v>56</v>
      </c>
      <c r="B25" s="58">
        <v>136490.791457502</v>
      </c>
      <c r="C25" s="59">
        <v>11374.232621458499</v>
      </c>
      <c r="D25" s="59">
        <v>11497.918300000099</v>
      </c>
      <c r="E25" s="59">
        <v>10879.170829999999</v>
      </c>
      <c r="F25" s="59">
        <v>4.9406564584124654E-324</v>
      </c>
      <c r="G25" s="59">
        <v>4.9406564584124654E-324</v>
      </c>
      <c r="H25" s="59">
        <v>4.9406564584124654E-324</v>
      </c>
      <c r="I25" s="59">
        <v>4.9406564584124654E-324</v>
      </c>
      <c r="J25" s="59">
        <v>4.9406564584124654E-324</v>
      </c>
      <c r="K25" s="59">
        <v>4.9406564584124654E-324</v>
      </c>
      <c r="L25" s="59">
        <v>4.9406564584124654E-324</v>
      </c>
      <c r="M25" s="59">
        <v>4.9406564584124654E-324</v>
      </c>
      <c r="N25" s="59">
        <v>4.9406564584124654E-324</v>
      </c>
      <c r="O25" s="59">
        <v>4.9406564584124654E-324</v>
      </c>
      <c r="P25" s="60">
        <v>22377.089130000099</v>
      </c>
      <c r="Q25" s="190">
        <v>0.98367467391899999</v>
      </c>
    </row>
    <row r="26" spans="1:17" ht="14.4" customHeight="1" x14ac:dyDescent="0.3">
      <c r="A26" s="19" t="s">
        <v>57</v>
      </c>
      <c r="B26" s="55">
        <v>10284.010632265399</v>
      </c>
      <c r="C26" s="56">
        <v>857.00088602211497</v>
      </c>
      <c r="D26" s="56">
        <v>933.97304999999994</v>
      </c>
      <c r="E26" s="56">
        <v>865.20513000000005</v>
      </c>
      <c r="F26" s="56">
        <v>4.9406564584124654E-324</v>
      </c>
      <c r="G26" s="56">
        <v>4.9406564584124654E-324</v>
      </c>
      <c r="H26" s="56">
        <v>4.9406564584124654E-324</v>
      </c>
      <c r="I26" s="56">
        <v>4.9406564584124654E-324</v>
      </c>
      <c r="J26" s="56">
        <v>4.9406564584124654E-324</v>
      </c>
      <c r="K26" s="56">
        <v>4.9406564584124654E-324</v>
      </c>
      <c r="L26" s="56">
        <v>4.9406564584124654E-324</v>
      </c>
      <c r="M26" s="56">
        <v>4.9406564584124654E-324</v>
      </c>
      <c r="N26" s="56">
        <v>4.9406564584124654E-324</v>
      </c>
      <c r="O26" s="56">
        <v>4.9406564584124654E-324</v>
      </c>
      <c r="P26" s="57">
        <v>1799.1781800000001</v>
      </c>
      <c r="Q26" s="189">
        <v>1.0496944690159999</v>
      </c>
    </row>
    <row r="27" spans="1:17" ht="14.4" customHeight="1" x14ac:dyDescent="0.3">
      <c r="A27" s="22" t="s">
        <v>58</v>
      </c>
      <c r="B27" s="58">
        <v>146774.802089768</v>
      </c>
      <c r="C27" s="59">
        <v>12231.2335074807</v>
      </c>
      <c r="D27" s="59">
        <v>12431.8913500001</v>
      </c>
      <c r="E27" s="59">
        <v>11744.375959999999</v>
      </c>
      <c r="F27" s="59">
        <v>9.8813129168249309E-324</v>
      </c>
      <c r="G27" s="59">
        <v>9.8813129168249309E-324</v>
      </c>
      <c r="H27" s="59">
        <v>9.8813129168249309E-324</v>
      </c>
      <c r="I27" s="59">
        <v>9.8813129168249309E-324</v>
      </c>
      <c r="J27" s="59">
        <v>9.8813129168249309E-324</v>
      </c>
      <c r="K27" s="59">
        <v>9.8813129168249309E-324</v>
      </c>
      <c r="L27" s="59">
        <v>9.8813129168249309E-324</v>
      </c>
      <c r="M27" s="59">
        <v>9.8813129168249309E-324</v>
      </c>
      <c r="N27" s="59">
        <v>9.8813129168249309E-324</v>
      </c>
      <c r="O27" s="59">
        <v>9.8813129168249309E-324</v>
      </c>
      <c r="P27" s="60">
        <v>24176.267310000101</v>
      </c>
      <c r="Q27" s="190">
        <v>0.98830045617200002</v>
      </c>
    </row>
    <row r="28" spans="1:17" ht="14.4" customHeight="1" x14ac:dyDescent="0.3">
      <c r="A28" s="20" t="s">
        <v>59</v>
      </c>
      <c r="B28" s="55">
        <v>2.95187948396</v>
      </c>
      <c r="C28" s="56">
        <v>0.24598995699599999</v>
      </c>
      <c r="D28" s="56">
        <v>1.2351641146031164E-322</v>
      </c>
      <c r="E28" s="56">
        <v>1.2351641146031164E-322</v>
      </c>
      <c r="F28" s="56">
        <v>1.2351641146031164E-322</v>
      </c>
      <c r="G28" s="56">
        <v>1.2351641146031164E-322</v>
      </c>
      <c r="H28" s="56">
        <v>1.2351641146031164E-322</v>
      </c>
      <c r="I28" s="56">
        <v>1.2351641146031164E-322</v>
      </c>
      <c r="J28" s="56">
        <v>1.2351641146031164E-322</v>
      </c>
      <c r="K28" s="56">
        <v>1.2351641146031164E-322</v>
      </c>
      <c r="L28" s="56">
        <v>1.2351641146031164E-322</v>
      </c>
      <c r="M28" s="56">
        <v>1.2351641146031164E-322</v>
      </c>
      <c r="N28" s="56">
        <v>1.2351641146031164E-322</v>
      </c>
      <c r="O28" s="56">
        <v>1.2351641146031164E-322</v>
      </c>
      <c r="P28" s="57">
        <v>2.4703282292062327E-322</v>
      </c>
      <c r="Q28" s="189">
        <v>5.0394695875807148E-322</v>
      </c>
    </row>
    <row r="29" spans="1:17" ht="14.4" customHeight="1" x14ac:dyDescent="0.3">
      <c r="A29" s="20" t="s">
        <v>60</v>
      </c>
      <c r="B29" s="55">
        <v>9.8813129168249309E-324</v>
      </c>
      <c r="C29" s="56">
        <v>0</v>
      </c>
      <c r="D29" s="56">
        <v>9.8813129168249309E-324</v>
      </c>
      <c r="E29" s="56">
        <v>9.8813129168249309E-324</v>
      </c>
      <c r="F29" s="56">
        <v>9.8813129168249309E-324</v>
      </c>
      <c r="G29" s="56">
        <v>9.8813129168249309E-324</v>
      </c>
      <c r="H29" s="56">
        <v>9.8813129168249309E-324</v>
      </c>
      <c r="I29" s="56">
        <v>9.8813129168249309E-324</v>
      </c>
      <c r="J29" s="56">
        <v>9.8813129168249309E-324</v>
      </c>
      <c r="K29" s="56">
        <v>9.8813129168249309E-324</v>
      </c>
      <c r="L29" s="56">
        <v>9.8813129168249309E-324</v>
      </c>
      <c r="M29" s="56">
        <v>9.8813129168249309E-324</v>
      </c>
      <c r="N29" s="56">
        <v>9.8813129168249309E-324</v>
      </c>
      <c r="O29" s="56">
        <v>9.8813129168249309E-324</v>
      </c>
      <c r="P29" s="57">
        <v>1.9762625833649862E-323</v>
      </c>
      <c r="Q29" s="189" t="s">
        <v>299</v>
      </c>
    </row>
    <row r="30" spans="1:17" ht="14.4" customHeight="1" x14ac:dyDescent="0.3">
      <c r="A30" s="20" t="s">
        <v>61</v>
      </c>
      <c r="B30" s="55">
        <v>4.9406564584124654E-323</v>
      </c>
      <c r="C30" s="56">
        <v>0</v>
      </c>
      <c r="D30" s="56">
        <v>4.9406564584124654E-323</v>
      </c>
      <c r="E30" s="56">
        <v>4.9406564584124654E-323</v>
      </c>
      <c r="F30" s="56">
        <v>4.9406564584124654E-323</v>
      </c>
      <c r="G30" s="56">
        <v>4.9406564584124654E-323</v>
      </c>
      <c r="H30" s="56">
        <v>4.9406564584124654E-323</v>
      </c>
      <c r="I30" s="56">
        <v>4.9406564584124654E-323</v>
      </c>
      <c r="J30" s="56">
        <v>4.9406564584124654E-323</v>
      </c>
      <c r="K30" s="56">
        <v>4.9406564584124654E-323</v>
      </c>
      <c r="L30" s="56">
        <v>4.9406564584124654E-323</v>
      </c>
      <c r="M30" s="56">
        <v>4.9406564584124654E-323</v>
      </c>
      <c r="N30" s="56">
        <v>4.9406564584124654E-323</v>
      </c>
      <c r="O30" s="56">
        <v>4.9406564584124654E-323</v>
      </c>
      <c r="P30" s="57">
        <v>9.8813129168249309E-323</v>
      </c>
      <c r="Q30" s="189">
        <v>0</v>
      </c>
    </row>
    <row r="31" spans="1:17" ht="14.4" customHeight="1" thickBot="1" x14ac:dyDescent="0.35">
      <c r="A31" s="23" t="s">
        <v>62</v>
      </c>
      <c r="B31" s="61">
        <v>1.4821969375237396E-323</v>
      </c>
      <c r="C31" s="62">
        <v>0</v>
      </c>
      <c r="D31" s="62">
        <v>2.4703282292062327E-323</v>
      </c>
      <c r="E31" s="62">
        <v>2.4703282292062327E-323</v>
      </c>
      <c r="F31" s="62">
        <v>2.4703282292062327E-323</v>
      </c>
      <c r="G31" s="62">
        <v>2.4703282292062327E-323</v>
      </c>
      <c r="H31" s="62">
        <v>2.4703282292062327E-323</v>
      </c>
      <c r="I31" s="62">
        <v>2.4703282292062327E-323</v>
      </c>
      <c r="J31" s="62">
        <v>2.4703282292062327E-323</v>
      </c>
      <c r="K31" s="62">
        <v>2.4703282292062327E-323</v>
      </c>
      <c r="L31" s="62">
        <v>2.4703282292062327E-323</v>
      </c>
      <c r="M31" s="62">
        <v>2.4703282292062327E-323</v>
      </c>
      <c r="N31" s="62">
        <v>2.4703282292062327E-323</v>
      </c>
      <c r="O31" s="62">
        <v>2.4703282292062327E-323</v>
      </c>
      <c r="P31" s="63">
        <v>4.9406564584124654E-323</v>
      </c>
      <c r="Q31" s="191" t="s">
        <v>299</v>
      </c>
    </row>
    <row r="32" spans="1:17" ht="14.4" customHeight="1" x14ac:dyDescent="0.3">
      <c r="B32" s="261"/>
      <c r="C32" s="261"/>
      <c r="D32" s="261"/>
      <c r="E32" s="261"/>
      <c r="F32" s="261"/>
      <c r="G32" s="261"/>
      <c r="H32" s="261"/>
      <c r="I32" s="261"/>
      <c r="J32" s="261"/>
      <c r="K32" s="261"/>
      <c r="L32" s="261"/>
      <c r="M32" s="261"/>
      <c r="N32" s="261"/>
      <c r="O32" s="261"/>
      <c r="P32" s="261"/>
      <c r="Q32" s="261"/>
    </row>
    <row r="33" spans="1:17" ht="14.4" customHeight="1" x14ac:dyDescent="0.3">
      <c r="A33" s="232" t="s">
        <v>207</v>
      </c>
      <c r="B33" s="262"/>
      <c r="C33" s="262"/>
      <c r="D33" s="262"/>
      <c r="E33" s="262"/>
      <c r="F33" s="262"/>
      <c r="G33" s="262"/>
      <c r="H33" s="262"/>
      <c r="I33" s="262"/>
      <c r="J33" s="262"/>
      <c r="K33" s="262"/>
      <c r="L33" s="262"/>
      <c r="M33" s="262"/>
      <c r="N33" s="262"/>
      <c r="O33" s="262"/>
      <c r="P33" s="262"/>
      <c r="Q33" s="262"/>
    </row>
    <row r="34" spans="1:17" ht="14.4" customHeight="1" x14ac:dyDescent="0.3">
      <c r="A34" s="266" t="s">
        <v>243</v>
      </c>
      <c r="B34" s="262"/>
      <c r="C34" s="262"/>
      <c r="D34" s="262"/>
      <c r="E34" s="262"/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  <c r="Q34" s="262"/>
    </row>
    <row r="35" spans="1:17" ht="14.4" customHeight="1" x14ac:dyDescent="0.3">
      <c r="A35" s="267" t="s">
        <v>63</v>
      </c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  <c r="Q35" s="262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24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260" customWidth="1"/>
    <col min="2" max="11" width="10" style="260" customWidth="1"/>
    <col min="12" max="16384" width="8.88671875" style="260"/>
  </cols>
  <sheetData>
    <row r="1" spans="1:11" s="64" customFormat="1" ht="18.600000000000001" customHeight="1" thickBot="1" x14ac:dyDescent="0.4">
      <c r="A1" s="471" t="s">
        <v>64</v>
      </c>
      <c r="B1" s="471"/>
      <c r="C1" s="471"/>
      <c r="D1" s="471"/>
      <c r="E1" s="471"/>
      <c r="F1" s="471"/>
      <c r="G1" s="471"/>
      <c r="H1" s="476"/>
      <c r="I1" s="476"/>
      <c r="J1" s="476"/>
      <c r="K1" s="476"/>
    </row>
    <row r="2" spans="1:11" s="64" customFormat="1" ht="14.4" customHeight="1" thickBot="1" x14ac:dyDescent="0.35">
      <c r="A2" s="389" t="s">
        <v>298</v>
      </c>
      <c r="B2" s="65"/>
      <c r="C2" s="65"/>
      <c r="D2" s="65"/>
      <c r="E2" s="65"/>
      <c r="F2" s="65"/>
      <c r="G2" s="65"/>
      <c r="H2" s="65"/>
      <c r="I2" s="65"/>
      <c r="J2" s="65"/>
      <c r="K2" s="65"/>
    </row>
    <row r="3" spans="1:11" ht="14.4" customHeight="1" x14ac:dyDescent="0.3">
      <c r="A3" s="101"/>
      <c r="B3" s="472" t="s">
        <v>65</v>
      </c>
      <c r="C3" s="473"/>
      <c r="D3" s="473"/>
      <c r="E3" s="473"/>
      <c r="F3" s="479" t="s">
        <v>66</v>
      </c>
      <c r="G3" s="473"/>
      <c r="H3" s="473"/>
      <c r="I3" s="473"/>
      <c r="J3" s="473"/>
      <c r="K3" s="480"/>
    </row>
    <row r="4" spans="1:11" ht="14.4" customHeight="1" x14ac:dyDescent="0.3">
      <c r="A4" s="102"/>
      <c r="B4" s="477"/>
      <c r="C4" s="478"/>
      <c r="D4" s="478"/>
      <c r="E4" s="478"/>
      <c r="F4" s="481" t="s">
        <v>231</v>
      </c>
      <c r="G4" s="483" t="s">
        <v>67</v>
      </c>
      <c r="H4" s="272" t="s">
        <v>187</v>
      </c>
      <c r="I4" s="481" t="s">
        <v>68</v>
      </c>
      <c r="J4" s="483" t="s">
        <v>233</v>
      </c>
      <c r="K4" s="484" t="s">
        <v>234</v>
      </c>
    </row>
    <row r="5" spans="1:11" ht="42" thickBot="1" x14ac:dyDescent="0.35">
      <c r="A5" s="103"/>
      <c r="B5" s="28" t="s">
        <v>227</v>
      </c>
      <c r="C5" s="29" t="s">
        <v>228</v>
      </c>
      <c r="D5" s="30" t="s">
        <v>229</v>
      </c>
      <c r="E5" s="30" t="s">
        <v>230</v>
      </c>
      <c r="F5" s="482"/>
      <c r="G5" s="482"/>
      <c r="H5" s="29" t="s">
        <v>232</v>
      </c>
      <c r="I5" s="482"/>
      <c r="J5" s="482"/>
      <c r="K5" s="485"/>
    </row>
    <row r="6" spans="1:11" ht="14.4" customHeight="1" thickBot="1" x14ac:dyDescent="0.35">
      <c r="A6" s="605" t="s">
        <v>301</v>
      </c>
      <c r="B6" s="587">
        <v>131279.196663957</v>
      </c>
      <c r="C6" s="587">
        <v>135034.70509999999</v>
      </c>
      <c r="D6" s="588">
        <v>3755.5084360435098</v>
      </c>
      <c r="E6" s="589">
        <v>1.0286070339510001</v>
      </c>
      <c r="F6" s="587">
        <v>136490.791457502</v>
      </c>
      <c r="G6" s="588">
        <v>22748.4652429171</v>
      </c>
      <c r="H6" s="590">
        <v>10879.170829999999</v>
      </c>
      <c r="I6" s="587">
        <v>22377.089130000099</v>
      </c>
      <c r="J6" s="588">
        <v>-371.37611291702001</v>
      </c>
      <c r="K6" s="591">
        <v>0.16394577898599999</v>
      </c>
    </row>
    <row r="7" spans="1:11" ht="14.4" customHeight="1" thickBot="1" x14ac:dyDescent="0.35">
      <c r="A7" s="606" t="s">
        <v>302</v>
      </c>
      <c r="B7" s="587">
        <v>56755.751552332498</v>
      </c>
      <c r="C7" s="587">
        <v>54438.516459999999</v>
      </c>
      <c r="D7" s="588">
        <v>-2317.2350923324798</v>
      </c>
      <c r="E7" s="589">
        <v>0.95917180146500003</v>
      </c>
      <c r="F7" s="587">
        <v>57111.496568086099</v>
      </c>
      <c r="G7" s="588">
        <v>9518.5827613476904</v>
      </c>
      <c r="H7" s="590">
        <v>4796.0279399999999</v>
      </c>
      <c r="I7" s="587">
        <v>9666.8400100000199</v>
      </c>
      <c r="J7" s="588">
        <v>148.25724865233499</v>
      </c>
      <c r="K7" s="591">
        <v>0.16926259318799999</v>
      </c>
    </row>
    <row r="8" spans="1:11" ht="14.4" customHeight="1" thickBot="1" x14ac:dyDescent="0.35">
      <c r="A8" s="607" t="s">
        <v>303</v>
      </c>
      <c r="B8" s="587">
        <v>54584.111717408203</v>
      </c>
      <c r="C8" s="587">
        <v>52303.782460000002</v>
      </c>
      <c r="D8" s="588">
        <v>-2280.3292574081102</v>
      </c>
      <c r="E8" s="589">
        <v>0.95822357118799995</v>
      </c>
      <c r="F8" s="587">
        <v>54962.211689344498</v>
      </c>
      <c r="G8" s="588">
        <v>9160.36861489074</v>
      </c>
      <c r="H8" s="590">
        <v>4597.5739400000002</v>
      </c>
      <c r="I8" s="587">
        <v>9231.8690100000204</v>
      </c>
      <c r="J8" s="588">
        <v>71.500395109280007</v>
      </c>
      <c r="K8" s="591">
        <v>0.16796756764699999</v>
      </c>
    </row>
    <row r="9" spans="1:11" ht="14.4" customHeight="1" thickBot="1" x14ac:dyDescent="0.35">
      <c r="A9" s="608" t="s">
        <v>304</v>
      </c>
      <c r="B9" s="592">
        <v>4.9406564584124654E-324</v>
      </c>
      <c r="C9" s="592">
        <v>1.1999999999999999E-3</v>
      </c>
      <c r="D9" s="593">
        <v>1.1999999999999999E-3</v>
      </c>
      <c r="E9" s="594" t="s">
        <v>305</v>
      </c>
      <c r="F9" s="592">
        <v>0</v>
      </c>
      <c r="G9" s="593">
        <v>0</v>
      </c>
      <c r="H9" s="595">
        <v>2.9E-4</v>
      </c>
      <c r="I9" s="592">
        <v>1.4599999999999999E-3</v>
      </c>
      <c r="J9" s="593">
        <v>1.4599999999999999E-3</v>
      </c>
      <c r="K9" s="596" t="s">
        <v>299</v>
      </c>
    </row>
    <row r="10" spans="1:11" ht="14.4" customHeight="1" thickBot="1" x14ac:dyDescent="0.35">
      <c r="A10" s="609" t="s">
        <v>306</v>
      </c>
      <c r="B10" s="587">
        <v>4.9406564584124654E-324</v>
      </c>
      <c r="C10" s="587">
        <v>1.1999999999999999E-3</v>
      </c>
      <c r="D10" s="588">
        <v>1.1999999999999999E-3</v>
      </c>
      <c r="E10" s="597" t="s">
        <v>305</v>
      </c>
      <c r="F10" s="587">
        <v>0</v>
      </c>
      <c r="G10" s="588">
        <v>0</v>
      </c>
      <c r="H10" s="590">
        <v>2.9E-4</v>
      </c>
      <c r="I10" s="587">
        <v>1.4599999999999999E-3</v>
      </c>
      <c r="J10" s="588">
        <v>1.4599999999999999E-3</v>
      </c>
      <c r="K10" s="598" t="s">
        <v>299</v>
      </c>
    </row>
    <row r="11" spans="1:11" ht="14.4" customHeight="1" thickBot="1" x14ac:dyDescent="0.35">
      <c r="A11" s="608" t="s">
        <v>307</v>
      </c>
      <c r="B11" s="592">
        <v>5638.9374660563299</v>
      </c>
      <c r="C11" s="592">
        <v>5701.9933000000001</v>
      </c>
      <c r="D11" s="593">
        <v>63.055833943671999</v>
      </c>
      <c r="E11" s="599">
        <v>1.011182219048</v>
      </c>
      <c r="F11" s="592">
        <v>5695.9999999999</v>
      </c>
      <c r="G11" s="593">
        <v>949.33333333331598</v>
      </c>
      <c r="H11" s="595">
        <v>877.98</v>
      </c>
      <c r="I11" s="592">
        <v>1596.49</v>
      </c>
      <c r="J11" s="593">
        <v>647.15666666668801</v>
      </c>
      <c r="K11" s="600">
        <v>0.28028265449400003</v>
      </c>
    </row>
    <row r="12" spans="1:11" ht="14.4" customHeight="1" thickBot="1" x14ac:dyDescent="0.35">
      <c r="A12" s="609" t="s">
        <v>308</v>
      </c>
      <c r="B12" s="587">
        <v>5638.9374660563299</v>
      </c>
      <c r="C12" s="587">
        <v>5701.9933000000001</v>
      </c>
      <c r="D12" s="588">
        <v>63.055833943671999</v>
      </c>
      <c r="E12" s="589">
        <v>1.011182219048</v>
      </c>
      <c r="F12" s="587">
        <v>5695.9999999999</v>
      </c>
      <c r="G12" s="588">
        <v>949.33333333331598</v>
      </c>
      <c r="H12" s="590">
        <v>877.98</v>
      </c>
      <c r="I12" s="587">
        <v>1596.49</v>
      </c>
      <c r="J12" s="588">
        <v>647.15666666668801</v>
      </c>
      <c r="K12" s="591">
        <v>0.28028265449400003</v>
      </c>
    </row>
    <row r="13" spans="1:11" ht="14.4" customHeight="1" thickBot="1" x14ac:dyDescent="0.35">
      <c r="A13" s="608" t="s">
        <v>309</v>
      </c>
      <c r="B13" s="592">
        <v>7908.7475143914698</v>
      </c>
      <c r="C13" s="592">
        <v>8142.8020999999999</v>
      </c>
      <c r="D13" s="593">
        <v>234.05458560852799</v>
      </c>
      <c r="E13" s="599">
        <v>1.0295943934459999</v>
      </c>
      <c r="F13" s="592">
        <v>7914.83599718199</v>
      </c>
      <c r="G13" s="593">
        <v>1319.13933286366</v>
      </c>
      <c r="H13" s="595">
        <v>617.23290999999995</v>
      </c>
      <c r="I13" s="592">
        <v>1253.74722</v>
      </c>
      <c r="J13" s="593">
        <v>-65.392112863660998</v>
      </c>
      <c r="K13" s="600">
        <v>0.158404699787</v>
      </c>
    </row>
    <row r="14" spans="1:11" ht="14.4" customHeight="1" thickBot="1" x14ac:dyDescent="0.35">
      <c r="A14" s="609" t="s">
        <v>310</v>
      </c>
      <c r="B14" s="587">
        <v>5719.8765648224398</v>
      </c>
      <c r="C14" s="587">
        <v>5701.3209299999999</v>
      </c>
      <c r="D14" s="588">
        <v>-18.555634822439998</v>
      </c>
      <c r="E14" s="589">
        <v>0.99675593789200001</v>
      </c>
      <c r="F14" s="587">
        <v>5677.8763873951302</v>
      </c>
      <c r="G14" s="588">
        <v>946.31273123252197</v>
      </c>
      <c r="H14" s="590">
        <v>476.86626999999999</v>
      </c>
      <c r="I14" s="587">
        <v>980.28699000000302</v>
      </c>
      <c r="J14" s="588">
        <v>33.974258767480002</v>
      </c>
      <c r="K14" s="591">
        <v>0.17265028738099999</v>
      </c>
    </row>
    <row r="15" spans="1:11" ht="14.4" customHeight="1" thickBot="1" x14ac:dyDescent="0.35">
      <c r="A15" s="609" t="s">
        <v>311</v>
      </c>
      <c r="B15" s="587">
        <v>694.717086204515</v>
      </c>
      <c r="C15" s="587">
        <v>683.27869999999996</v>
      </c>
      <c r="D15" s="588">
        <v>-11.438386204514</v>
      </c>
      <c r="E15" s="589">
        <v>0.983535188018</v>
      </c>
      <c r="F15" s="587">
        <v>682.25787146453695</v>
      </c>
      <c r="G15" s="588">
        <v>113.70964524409</v>
      </c>
      <c r="H15" s="590">
        <v>36.390439999999998</v>
      </c>
      <c r="I15" s="587">
        <v>87.184070000000006</v>
      </c>
      <c r="J15" s="588">
        <v>-26.525575244089001</v>
      </c>
      <c r="K15" s="591">
        <v>0.127787561927</v>
      </c>
    </row>
    <row r="16" spans="1:11" ht="14.4" customHeight="1" thickBot="1" x14ac:dyDescent="0.35">
      <c r="A16" s="609" t="s">
        <v>312</v>
      </c>
      <c r="B16" s="587">
        <v>387.98808342013001</v>
      </c>
      <c r="C16" s="587">
        <v>560.79843000000005</v>
      </c>
      <c r="D16" s="588">
        <v>172.81034657986999</v>
      </c>
      <c r="E16" s="589">
        <v>1.445401170717</v>
      </c>
      <c r="F16" s="587">
        <v>560.00491717430305</v>
      </c>
      <c r="G16" s="588">
        <v>93.334152862382993</v>
      </c>
      <c r="H16" s="590">
        <v>45.368600000000001</v>
      </c>
      <c r="I16" s="587">
        <v>67.889240000000001</v>
      </c>
      <c r="J16" s="588">
        <v>-25.444912862382999</v>
      </c>
      <c r="K16" s="591">
        <v>0.121229721236</v>
      </c>
    </row>
    <row r="17" spans="1:11" ht="14.4" customHeight="1" thickBot="1" x14ac:dyDescent="0.35">
      <c r="A17" s="609" t="s">
        <v>313</v>
      </c>
      <c r="B17" s="587">
        <v>738.56958331220403</v>
      </c>
      <c r="C17" s="587">
        <v>673.62603000000001</v>
      </c>
      <c r="D17" s="588">
        <v>-64.943553312202994</v>
      </c>
      <c r="E17" s="589">
        <v>0.91206847021600002</v>
      </c>
      <c r="F17" s="587">
        <v>506.67756220487303</v>
      </c>
      <c r="G17" s="588">
        <v>84.446260367478004</v>
      </c>
      <c r="H17" s="590">
        <v>36.403179999999999</v>
      </c>
      <c r="I17" s="587">
        <v>75.008610000000004</v>
      </c>
      <c r="J17" s="588">
        <v>-9.4376503674779997</v>
      </c>
      <c r="K17" s="591">
        <v>0.14804012570299999</v>
      </c>
    </row>
    <row r="18" spans="1:11" ht="14.4" customHeight="1" thickBot="1" x14ac:dyDescent="0.35">
      <c r="A18" s="609" t="s">
        <v>314</v>
      </c>
      <c r="B18" s="587">
        <v>54.985058692210998</v>
      </c>
      <c r="C18" s="587">
        <v>232.15168</v>
      </c>
      <c r="D18" s="588">
        <v>177.16662130778801</v>
      </c>
      <c r="E18" s="589">
        <v>4.2220866090089997</v>
      </c>
      <c r="F18" s="587">
        <v>209.01417084361799</v>
      </c>
      <c r="G18" s="588">
        <v>34.835695140601999</v>
      </c>
      <c r="H18" s="590">
        <v>3.3803700000000001</v>
      </c>
      <c r="I18" s="587">
        <v>7.8741599999999998</v>
      </c>
      <c r="J18" s="588">
        <v>-26.961535140601999</v>
      </c>
      <c r="K18" s="591">
        <v>3.7672852362999998E-2</v>
      </c>
    </row>
    <row r="19" spans="1:11" ht="14.4" customHeight="1" thickBot="1" x14ac:dyDescent="0.35">
      <c r="A19" s="609" t="s">
        <v>315</v>
      </c>
      <c r="B19" s="587">
        <v>276.638952824</v>
      </c>
      <c r="C19" s="587">
        <v>291.62633</v>
      </c>
      <c r="D19" s="588">
        <v>14.987377176000001</v>
      </c>
      <c r="E19" s="589">
        <v>1.054176669709</v>
      </c>
      <c r="F19" s="587">
        <v>279.00508809952299</v>
      </c>
      <c r="G19" s="588">
        <v>46.500848016587</v>
      </c>
      <c r="H19" s="590">
        <v>18.82405</v>
      </c>
      <c r="I19" s="587">
        <v>35.504150000000003</v>
      </c>
      <c r="J19" s="588">
        <v>-10.996698016587001</v>
      </c>
      <c r="K19" s="591">
        <v>0.12725269722400001</v>
      </c>
    </row>
    <row r="20" spans="1:11" ht="14.4" customHeight="1" thickBot="1" x14ac:dyDescent="0.35">
      <c r="A20" s="608" t="s">
        <v>316</v>
      </c>
      <c r="B20" s="592">
        <v>3532.0634418838699</v>
      </c>
      <c r="C20" s="592">
        <v>3421.1979999999999</v>
      </c>
      <c r="D20" s="593">
        <v>-110.865441883873</v>
      </c>
      <c r="E20" s="599">
        <v>0.96861170709099997</v>
      </c>
      <c r="F20" s="592">
        <v>3425.1412216394401</v>
      </c>
      <c r="G20" s="593">
        <v>570.85687027324002</v>
      </c>
      <c r="H20" s="595">
        <v>243.93899999999999</v>
      </c>
      <c r="I20" s="592">
        <v>533.90100000000098</v>
      </c>
      <c r="J20" s="593">
        <v>-36.955870273237998</v>
      </c>
      <c r="K20" s="600">
        <v>0.155877076433</v>
      </c>
    </row>
    <row r="21" spans="1:11" ht="14.4" customHeight="1" thickBot="1" x14ac:dyDescent="0.35">
      <c r="A21" s="609" t="s">
        <v>317</v>
      </c>
      <c r="B21" s="587">
        <v>3049.3628391336201</v>
      </c>
      <c r="C21" s="587">
        <v>3000.8290000000002</v>
      </c>
      <c r="D21" s="588">
        <v>-48.533839133615999</v>
      </c>
      <c r="E21" s="589">
        <v>0.98408394090999995</v>
      </c>
      <c r="F21" s="587">
        <v>3004.98219503776</v>
      </c>
      <c r="G21" s="588">
        <v>500.83036583962598</v>
      </c>
      <c r="H21" s="590">
        <v>220.17099999999999</v>
      </c>
      <c r="I21" s="587">
        <v>471.77300000000099</v>
      </c>
      <c r="J21" s="588">
        <v>-29.057365839624001</v>
      </c>
      <c r="K21" s="591">
        <v>0.15699693687999999</v>
      </c>
    </row>
    <row r="22" spans="1:11" ht="14.4" customHeight="1" thickBot="1" x14ac:dyDescent="0.35">
      <c r="A22" s="609" t="s">
        <v>318</v>
      </c>
      <c r="B22" s="587">
        <v>482.70060275025702</v>
      </c>
      <c r="C22" s="587">
        <v>420.36900000000003</v>
      </c>
      <c r="D22" s="588">
        <v>-62.331602750256003</v>
      </c>
      <c r="E22" s="589">
        <v>0.87086901819600004</v>
      </c>
      <c r="F22" s="587">
        <v>420.15902660168399</v>
      </c>
      <c r="G22" s="588">
        <v>70.026504433613994</v>
      </c>
      <c r="H22" s="590">
        <v>23.768000000000001</v>
      </c>
      <c r="I22" s="587">
        <v>62.128</v>
      </c>
      <c r="J22" s="588">
        <v>-7.8985044336129997</v>
      </c>
      <c r="K22" s="591">
        <v>0.14786782162500001</v>
      </c>
    </row>
    <row r="23" spans="1:11" ht="14.4" customHeight="1" thickBot="1" x14ac:dyDescent="0.35">
      <c r="A23" s="608" t="s">
        <v>319</v>
      </c>
      <c r="B23" s="592">
        <v>35072.065565590201</v>
      </c>
      <c r="C23" s="592">
        <v>32866.46415</v>
      </c>
      <c r="D23" s="593">
        <v>-2205.6014155902199</v>
      </c>
      <c r="E23" s="599">
        <v>0.93711230347999996</v>
      </c>
      <c r="F23" s="592">
        <v>36000.155430295301</v>
      </c>
      <c r="G23" s="593">
        <v>6000.0259050492195</v>
      </c>
      <c r="H23" s="595">
        <v>2708.6899800000001</v>
      </c>
      <c r="I23" s="592">
        <v>5484.3644000000104</v>
      </c>
      <c r="J23" s="593">
        <v>-515.66150504920495</v>
      </c>
      <c r="K23" s="600">
        <v>0.15234279781400001</v>
      </c>
    </row>
    <row r="24" spans="1:11" ht="14.4" customHeight="1" thickBot="1" x14ac:dyDescent="0.35">
      <c r="A24" s="609" t="s">
        <v>320</v>
      </c>
      <c r="B24" s="587">
        <v>4.9406564584124654E-324</v>
      </c>
      <c r="C24" s="587">
        <v>4.9406564584124654E-324</v>
      </c>
      <c r="D24" s="588">
        <v>0</v>
      </c>
      <c r="E24" s="589">
        <v>1</v>
      </c>
      <c r="F24" s="587">
        <v>4.9406564584124654E-324</v>
      </c>
      <c r="G24" s="588">
        <v>0</v>
      </c>
      <c r="H24" s="590">
        <v>43.667250000000003</v>
      </c>
      <c r="I24" s="587">
        <v>43.667250000000003</v>
      </c>
      <c r="J24" s="588">
        <v>43.667250000000003</v>
      </c>
      <c r="K24" s="598" t="s">
        <v>305</v>
      </c>
    </row>
    <row r="25" spans="1:11" ht="14.4" customHeight="1" thickBot="1" x14ac:dyDescent="0.35">
      <c r="A25" s="609" t="s">
        <v>321</v>
      </c>
      <c r="B25" s="587">
        <v>5000.4129999999996</v>
      </c>
      <c r="C25" s="587">
        <v>4128.8453200000004</v>
      </c>
      <c r="D25" s="588">
        <v>-871.56767999999795</v>
      </c>
      <c r="E25" s="589">
        <v>0.82570086110800001</v>
      </c>
      <c r="F25" s="587">
        <v>5202.9971984984204</v>
      </c>
      <c r="G25" s="588">
        <v>867.16619974973605</v>
      </c>
      <c r="H25" s="590">
        <v>204.38815</v>
      </c>
      <c r="I25" s="587">
        <v>523.27532000000201</v>
      </c>
      <c r="J25" s="588">
        <v>-343.89087974973398</v>
      </c>
      <c r="K25" s="591">
        <v>0.10057190116299999</v>
      </c>
    </row>
    <row r="26" spans="1:11" ht="14.4" customHeight="1" thickBot="1" x14ac:dyDescent="0.35">
      <c r="A26" s="609" t="s">
        <v>322</v>
      </c>
      <c r="B26" s="587">
        <v>4.9406564584124654E-324</v>
      </c>
      <c r="C26" s="587">
        <v>4.9406564584124654E-324</v>
      </c>
      <c r="D26" s="588">
        <v>0</v>
      </c>
      <c r="E26" s="589">
        <v>1</v>
      </c>
      <c r="F26" s="587">
        <v>191.99989661958099</v>
      </c>
      <c r="G26" s="588">
        <v>31.99998276993</v>
      </c>
      <c r="H26" s="590">
        <v>47.522370000000002</v>
      </c>
      <c r="I26" s="587">
        <v>66.796750000000003</v>
      </c>
      <c r="J26" s="588">
        <v>34.796767230070003</v>
      </c>
      <c r="K26" s="591">
        <v>0.34789992690600002</v>
      </c>
    </row>
    <row r="27" spans="1:11" ht="14.4" customHeight="1" thickBot="1" x14ac:dyDescent="0.35">
      <c r="A27" s="609" t="s">
        <v>323</v>
      </c>
      <c r="B27" s="587">
        <v>1312.1231804184199</v>
      </c>
      <c r="C27" s="587">
        <v>1017.81011</v>
      </c>
      <c r="D27" s="588">
        <v>-294.31307041841598</v>
      </c>
      <c r="E27" s="589">
        <v>0.77569707264400001</v>
      </c>
      <c r="F27" s="587">
        <v>1182.9528641541101</v>
      </c>
      <c r="G27" s="588">
        <v>197.15881069235201</v>
      </c>
      <c r="H27" s="590">
        <v>90.726780000000005</v>
      </c>
      <c r="I27" s="587">
        <v>182.77188000000001</v>
      </c>
      <c r="J27" s="588">
        <v>-14.386930692350999</v>
      </c>
      <c r="K27" s="591">
        <v>0.15450478674000001</v>
      </c>
    </row>
    <row r="28" spans="1:11" ht="14.4" customHeight="1" thickBot="1" x14ac:dyDescent="0.35">
      <c r="A28" s="609" t="s">
        <v>324</v>
      </c>
      <c r="B28" s="587">
        <v>10.950599421902</v>
      </c>
      <c r="C28" s="587">
        <v>1.54573</v>
      </c>
      <c r="D28" s="588">
        <v>-9.4048694219019993</v>
      </c>
      <c r="E28" s="589">
        <v>0.141154830018</v>
      </c>
      <c r="F28" s="587">
        <v>1.5458277183019999</v>
      </c>
      <c r="G28" s="588">
        <v>0.25763795304999998</v>
      </c>
      <c r="H28" s="590">
        <v>0.1089</v>
      </c>
      <c r="I28" s="587">
        <v>0.18149999999999999</v>
      </c>
      <c r="J28" s="588">
        <v>-7.6137953049999998E-2</v>
      </c>
      <c r="K28" s="591">
        <v>0.11741282540799999</v>
      </c>
    </row>
    <row r="29" spans="1:11" ht="14.4" customHeight="1" thickBot="1" x14ac:dyDescent="0.35">
      <c r="A29" s="609" t="s">
        <v>325</v>
      </c>
      <c r="B29" s="587">
        <v>1081.8896391748599</v>
      </c>
      <c r="C29" s="587">
        <v>1023.18684</v>
      </c>
      <c r="D29" s="588">
        <v>-58.702799174854</v>
      </c>
      <c r="E29" s="589">
        <v>0.94574049233000002</v>
      </c>
      <c r="F29" s="587">
        <v>1008.51362868428</v>
      </c>
      <c r="G29" s="588">
        <v>168.085604780713</v>
      </c>
      <c r="H29" s="590">
        <v>22.22794</v>
      </c>
      <c r="I29" s="587">
        <v>102.2587</v>
      </c>
      <c r="J29" s="588">
        <v>-65.826904780711999</v>
      </c>
      <c r="K29" s="591">
        <v>0.10139545673100001</v>
      </c>
    </row>
    <row r="30" spans="1:11" ht="14.4" customHeight="1" thickBot="1" x14ac:dyDescent="0.35">
      <c r="A30" s="609" t="s">
        <v>326</v>
      </c>
      <c r="B30" s="587">
        <v>20249.568586175101</v>
      </c>
      <c r="C30" s="587">
        <v>20275.613809999999</v>
      </c>
      <c r="D30" s="588">
        <v>26.045223824922999</v>
      </c>
      <c r="E30" s="589">
        <v>1.001286211294</v>
      </c>
      <c r="F30" s="587">
        <v>21660.563214250498</v>
      </c>
      <c r="G30" s="588">
        <v>3610.0938690417502</v>
      </c>
      <c r="H30" s="590">
        <v>1811.69012</v>
      </c>
      <c r="I30" s="587">
        <v>3619.85115000001</v>
      </c>
      <c r="J30" s="588">
        <v>9.7572809582629993</v>
      </c>
      <c r="K30" s="591">
        <v>0.167117129605</v>
      </c>
    </row>
    <row r="31" spans="1:11" ht="14.4" customHeight="1" thickBot="1" x14ac:dyDescent="0.35">
      <c r="A31" s="609" t="s">
        <v>327</v>
      </c>
      <c r="B31" s="587">
        <v>1245.88201556578</v>
      </c>
      <c r="C31" s="587">
        <v>1126.6591599999999</v>
      </c>
      <c r="D31" s="588">
        <v>-119.222855565782</v>
      </c>
      <c r="E31" s="589">
        <v>0.90430646395299996</v>
      </c>
      <c r="F31" s="587">
        <v>1108.7027714030401</v>
      </c>
      <c r="G31" s="588">
        <v>184.78379523384001</v>
      </c>
      <c r="H31" s="590">
        <v>74.616829999999993</v>
      </c>
      <c r="I31" s="587">
        <v>175.72576000000001</v>
      </c>
      <c r="J31" s="588">
        <v>-9.058035233839</v>
      </c>
      <c r="K31" s="591">
        <v>0.15849672656399999</v>
      </c>
    </row>
    <row r="32" spans="1:11" ht="14.4" customHeight="1" thickBot="1" x14ac:dyDescent="0.35">
      <c r="A32" s="609" t="s">
        <v>328</v>
      </c>
      <c r="B32" s="587">
        <v>2157.7351119780601</v>
      </c>
      <c r="C32" s="587">
        <v>2129.91437</v>
      </c>
      <c r="D32" s="588">
        <v>-27.820741978061001</v>
      </c>
      <c r="E32" s="589">
        <v>0.98710650727000004</v>
      </c>
      <c r="F32" s="587">
        <v>2088.0364983569202</v>
      </c>
      <c r="G32" s="588">
        <v>348.00608305948703</v>
      </c>
      <c r="H32" s="590">
        <v>113.95072</v>
      </c>
      <c r="I32" s="587">
        <v>252.90265000000099</v>
      </c>
      <c r="J32" s="588">
        <v>-95.103433059485994</v>
      </c>
      <c r="K32" s="591">
        <v>0.12111984163</v>
      </c>
    </row>
    <row r="33" spans="1:11" ht="14.4" customHeight="1" thickBot="1" x14ac:dyDescent="0.35">
      <c r="A33" s="609" t="s">
        <v>329</v>
      </c>
      <c r="B33" s="587">
        <v>221.43201598547199</v>
      </c>
      <c r="C33" s="587">
        <v>121.4267</v>
      </c>
      <c r="D33" s="588">
        <v>-100.005315985472</v>
      </c>
      <c r="E33" s="589">
        <v>0.54837011468100005</v>
      </c>
      <c r="F33" s="587">
        <v>126.56142212293599</v>
      </c>
      <c r="G33" s="588">
        <v>21.093570353821999</v>
      </c>
      <c r="H33" s="590">
        <v>2.4285100000000002</v>
      </c>
      <c r="I33" s="587">
        <v>5.6847599999999998</v>
      </c>
      <c r="J33" s="588">
        <v>-15.408810353822</v>
      </c>
      <c r="K33" s="591">
        <v>4.4917004759999997E-2</v>
      </c>
    </row>
    <row r="34" spans="1:11" ht="14.4" customHeight="1" thickBot="1" x14ac:dyDescent="0.35">
      <c r="A34" s="609" t="s">
        <v>330</v>
      </c>
      <c r="B34" s="587">
        <v>279.60766253249602</v>
      </c>
      <c r="C34" s="587">
        <v>267.90006</v>
      </c>
      <c r="D34" s="588">
        <v>-11.707602532495001</v>
      </c>
      <c r="E34" s="589">
        <v>0.958128463195</v>
      </c>
      <c r="F34" s="587">
        <v>271.69097481343402</v>
      </c>
      <c r="G34" s="588">
        <v>45.281829135572004</v>
      </c>
      <c r="H34" s="590">
        <v>20.492280000000001</v>
      </c>
      <c r="I34" s="587">
        <v>41.107219999999998</v>
      </c>
      <c r="J34" s="588">
        <v>-4.1746091355720001</v>
      </c>
      <c r="K34" s="591">
        <v>0.15130138212399999</v>
      </c>
    </row>
    <row r="35" spans="1:11" ht="14.4" customHeight="1" thickBot="1" x14ac:dyDescent="0.35">
      <c r="A35" s="609" t="s">
        <v>331</v>
      </c>
      <c r="B35" s="587">
        <v>2879.2441629999998</v>
      </c>
      <c r="C35" s="587">
        <v>2581.4331999999999</v>
      </c>
      <c r="D35" s="588">
        <v>-297.81096299999803</v>
      </c>
      <c r="E35" s="589">
        <v>0.89656627012400003</v>
      </c>
      <c r="F35" s="587">
        <v>2967.5912354389202</v>
      </c>
      <c r="G35" s="588">
        <v>494.59853923982001</v>
      </c>
      <c r="H35" s="590">
        <v>276.87013000000002</v>
      </c>
      <c r="I35" s="587">
        <v>470.14146000000102</v>
      </c>
      <c r="J35" s="588">
        <v>-24.457079239818</v>
      </c>
      <c r="K35" s="591">
        <v>0.15842527582099999</v>
      </c>
    </row>
    <row r="36" spans="1:11" ht="14.4" customHeight="1" thickBot="1" x14ac:dyDescent="0.35">
      <c r="A36" s="609" t="s">
        <v>332</v>
      </c>
      <c r="B36" s="587">
        <v>633.21959133815506</v>
      </c>
      <c r="C36" s="587">
        <v>192.12885</v>
      </c>
      <c r="D36" s="588">
        <v>-441.090741338155</v>
      </c>
      <c r="E36" s="589">
        <v>0.30341583335</v>
      </c>
      <c r="F36" s="587">
        <v>188.99989823490299</v>
      </c>
      <c r="G36" s="588">
        <v>31.499983039149999</v>
      </c>
      <c r="H36" s="590">
        <v>4.9406564584124654E-324</v>
      </c>
      <c r="I36" s="587">
        <v>9.8813129168249309E-324</v>
      </c>
      <c r="J36" s="588">
        <v>-31.499983039149999</v>
      </c>
      <c r="K36" s="591">
        <v>0</v>
      </c>
    </row>
    <row r="37" spans="1:11" ht="14.4" customHeight="1" thickBot="1" x14ac:dyDescent="0.35">
      <c r="A37" s="608" t="s">
        <v>333</v>
      </c>
      <c r="B37" s="592">
        <v>583.03170817999296</v>
      </c>
      <c r="C37" s="592">
        <v>619.43380000000104</v>
      </c>
      <c r="D37" s="593">
        <v>36.402091820007001</v>
      </c>
      <c r="E37" s="599">
        <v>1.062435869797</v>
      </c>
      <c r="F37" s="592">
        <v>543.49808318894497</v>
      </c>
      <c r="G37" s="593">
        <v>90.583013864823997</v>
      </c>
      <c r="H37" s="595">
        <v>58.180280000000003</v>
      </c>
      <c r="I37" s="592">
        <v>110.71838</v>
      </c>
      <c r="J37" s="593">
        <v>20.135366135176</v>
      </c>
      <c r="K37" s="600">
        <v>0.20371438911100001</v>
      </c>
    </row>
    <row r="38" spans="1:11" ht="14.4" customHeight="1" thickBot="1" x14ac:dyDescent="0.35">
      <c r="A38" s="609" t="s">
        <v>334</v>
      </c>
      <c r="B38" s="587">
        <v>508.03430320355801</v>
      </c>
      <c r="C38" s="587">
        <v>544.10471000000098</v>
      </c>
      <c r="D38" s="588">
        <v>36.070406796442001</v>
      </c>
      <c r="E38" s="589">
        <v>1.070999943446</v>
      </c>
      <c r="F38" s="587">
        <v>480.49830537679497</v>
      </c>
      <c r="G38" s="588">
        <v>80.083050896131994</v>
      </c>
      <c r="H38" s="590">
        <v>50.949640000000002</v>
      </c>
      <c r="I38" s="587">
        <v>97.600800000000007</v>
      </c>
      <c r="J38" s="588">
        <v>17.517749103867001</v>
      </c>
      <c r="K38" s="591">
        <v>0.20312412948700001</v>
      </c>
    </row>
    <row r="39" spans="1:11" ht="14.4" customHeight="1" thickBot="1" x14ac:dyDescent="0.35">
      <c r="A39" s="609" t="s">
        <v>335</v>
      </c>
      <c r="B39" s="587">
        <v>74.997404976435007</v>
      </c>
      <c r="C39" s="587">
        <v>74.675039999999996</v>
      </c>
      <c r="D39" s="588">
        <v>-0.32236497643500001</v>
      </c>
      <c r="E39" s="589">
        <v>0.99570165158900004</v>
      </c>
      <c r="F39" s="587">
        <v>62.99977781215</v>
      </c>
      <c r="G39" s="588">
        <v>10.499962968690999</v>
      </c>
      <c r="H39" s="590">
        <v>7.2306400000000002</v>
      </c>
      <c r="I39" s="587">
        <v>13.11758</v>
      </c>
      <c r="J39" s="588">
        <v>2.6176170313079998</v>
      </c>
      <c r="K39" s="591">
        <v>0.20821628988999999</v>
      </c>
    </row>
    <row r="40" spans="1:11" ht="14.4" customHeight="1" thickBot="1" x14ac:dyDescent="0.35">
      <c r="A40" s="609" t="s">
        <v>336</v>
      </c>
      <c r="B40" s="587">
        <v>4.9406564584124654E-324</v>
      </c>
      <c r="C40" s="587">
        <v>0.65405000000000002</v>
      </c>
      <c r="D40" s="588">
        <v>0.65405000000000002</v>
      </c>
      <c r="E40" s="597" t="s">
        <v>305</v>
      </c>
      <c r="F40" s="587">
        <v>0</v>
      </c>
      <c r="G40" s="588">
        <v>0</v>
      </c>
      <c r="H40" s="590">
        <v>4.9406564584124654E-324</v>
      </c>
      <c r="I40" s="587">
        <v>9.8813129168249309E-324</v>
      </c>
      <c r="J40" s="588">
        <v>9.8813129168249309E-324</v>
      </c>
      <c r="K40" s="598" t="s">
        <v>299</v>
      </c>
    </row>
    <row r="41" spans="1:11" ht="14.4" customHeight="1" thickBot="1" x14ac:dyDescent="0.35">
      <c r="A41" s="608" t="s">
        <v>337</v>
      </c>
      <c r="B41" s="592">
        <v>791.70310959059202</v>
      </c>
      <c r="C41" s="592">
        <v>822.51530000000002</v>
      </c>
      <c r="D41" s="593">
        <v>30.812190409408</v>
      </c>
      <c r="E41" s="599">
        <v>1.0389188700100001</v>
      </c>
      <c r="F41" s="592">
        <v>808.94629088091006</v>
      </c>
      <c r="G41" s="593">
        <v>134.82438181348499</v>
      </c>
      <c r="H41" s="595">
        <v>70.641689999999997</v>
      </c>
      <c r="I41" s="592">
        <v>133.85409000000001</v>
      </c>
      <c r="J41" s="593">
        <v>-0.97029181348399995</v>
      </c>
      <c r="K41" s="600">
        <v>0.165467215201</v>
      </c>
    </row>
    <row r="42" spans="1:11" ht="14.4" customHeight="1" thickBot="1" x14ac:dyDescent="0.35">
      <c r="A42" s="609" t="s">
        <v>338</v>
      </c>
      <c r="B42" s="587">
        <v>133.00602067785599</v>
      </c>
      <c r="C42" s="587">
        <v>8.4000000000000005E-2</v>
      </c>
      <c r="D42" s="588">
        <v>-132.92202067785601</v>
      </c>
      <c r="E42" s="589">
        <v>6.3155035800000002E-4</v>
      </c>
      <c r="F42" s="587">
        <v>0.251594930301</v>
      </c>
      <c r="G42" s="588">
        <v>4.1932488382999997E-2</v>
      </c>
      <c r="H42" s="590">
        <v>4.9406564584124654E-324</v>
      </c>
      <c r="I42" s="587">
        <v>9.8813129168249309E-324</v>
      </c>
      <c r="J42" s="588">
        <v>-4.1932488382999997E-2</v>
      </c>
      <c r="K42" s="591">
        <v>3.9525251667299724E-323</v>
      </c>
    </row>
    <row r="43" spans="1:11" ht="14.4" customHeight="1" thickBot="1" x14ac:dyDescent="0.35">
      <c r="A43" s="609" t="s">
        <v>339</v>
      </c>
      <c r="B43" s="587">
        <v>12.141346804867</v>
      </c>
      <c r="C43" s="587">
        <v>14.18196</v>
      </c>
      <c r="D43" s="588">
        <v>2.0406131951319999</v>
      </c>
      <c r="E43" s="589">
        <v>1.1680714032740001</v>
      </c>
      <c r="F43" s="587">
        <v>14.274965209039999</v>
      </c>
      <c r="G43" s="588">
        <v>2.3791608681729999</v>
      </c>
      <c r="H43" s="590">
        <v>1.3391299999999999</v>
      </c>
      <c r="I43" s="587">
        <v>2.8888400000000001</v>
      </c>
      <c r="J43" s="588">
        <v>0.509679131826</v>
      </c>
      <c r="K43" s="591">
        <v>0.202371071151</v>
      </c>
    </row>
    <row r="44" spans="1:11" ht="14.4" customHeight="1" thickBot="1" x14ac:dyDescent="0.35">
      <c r="A44" s="609" t="s">
        <v>340</v>
      </c>
      <c r="B44" s="587">
        <v>456.455618259348</v>
      </c>
      <c r="C44" s="587">
        <v>496.84679999999997</v>
      </c>
      <c r="D44" s="588">
        <v>40.391181740652002</v>
      </c>
      <c r="E44" s="589">
        <v>1.0884887382799999</v>
      </c>
      <c r="F44" s="587">
        <v>511.08054203925599</v>
      </c>
      <c r="G44" s="588">
        <v>85.180090339876003</v>
      </c>
      <c r="H44" s="590">
        <v>42.088749999999997</v>
      </c>
      <c r="I44" s="587">
        <v>82.669409999999999</v>
      </c>
      <c r="J44" s="588">
        <v>-2.5106803398749999</v>
      </c>
      <c r="K44" s="591">
        <v>0.16175417218999999</v>
      </c>
    </row>
    <row r="45" spans="1:11" ht="14.4" customHeight="1" thickBot="1" x14ac:dyDescent="0.35">
      <c r="A45" s="609" t="s">
        <v>341</v>
      </c>
      <c r="B45" s="587">
        <v>84.701091534417998</v>
      </c>
      <c r="C45" s="587">
        <v>71.807140000000004</v>
      </c>
      <c r="D45" s="588">
        <v>-12.893951534417999</v>
      </c>
      <c r="E45" s="589">
        <v>0.84777112902700003</v>
      </c>
      <c r="F45" s="587">
        <v>68.965736499315</v>
      </c>
      <c r="G45" s="588">
        <v>11.494289416552</v>
      </c>
      <c r="H45" s="590">
        <v>3.8801100000000002</v>
      </c>
      <c r="I45" s="587">
        <v>8.9432799999999997</v>
      </c>
      <c r="J45" s="588">
        <v>-2.5510094165520001</v>
      </c>
      <c r="K45" s="591">
        <v>0.129677147725</v>
      </c>
    </row>
    <row r="46" spans="1:11" ht="14.4" customHeight="1" thickBot="1" x14ac:dyDescent="0.35">
      <c r="A46" s="609" t="s">
        <v>342</v>
      </c>
      <c r="B46" s="587">
        <v>5.4690678064220002</v>
      </c>
      <c r="C46" s="587">
        <v>2.1326100000000001</v>
      </c>
      <c r="D46" s="588">
        <v>-3.3364578064220001</v>
      </c>
      <c r="E46" s="589">
        <v>0.38994031075899999</v>
      </c>
      <c r="F46" s="587">
        <v>12.351783235338001</v>
      </c>
      <c r="G46" s="588">
        <v>2.058630539223</v>
      </c>
      <c r="H46" s="590">
        <v>4.9406564584124654E-324</v>
      </c>
      <c r="I46" s="587">
        <v>1.0446800000000001</v>
      </c>
      <c r="J46" s="588">
        <v>-1.0139505392229999</v>
      </c>
      <c r="K46" s="591">
        <v>8.4577261444000004E-2</v>
      </c>
    </row>
    <row r="47" spans="1:11" ht="14.4" customHeight="1" thickBot="1" x14ac:dyDescent="0.35">
      <c r="A47" s="609" t="s">
        <v>343</v>
      </c>
      <c r="B47" s="587">
        <v>3.050923278895</v>
      </c>
      <c r="C47" s="587">
        <v>7.4470299999999998</v>
      </c>
      <c r="D47" s="588">
        <v>4.3961067211040001</v>
      </c>
      <c r="E47" s="589">
        <v>2.4409102816549999</v>
      </c>
      <c r="F47" s="587">
        <v>12.932042572383001</v>
      </c>
      <c r="G47" s="588">
        <v>2.1553404287300002</v>
      </c>
      <c r="H47" s="590">
        <v>0.55774000000000001</v>
      </c>
      <c r="I47" s="587">
        <v>2.3301500000000002</v>
      </c>
      <c r="J47" s="588">
        <v>0.17480957126900001</v>
      </c>
      <c r="K47" s="591">
        <v>0.18018421969699999</v>
      </c>
    </row>
    <row r="48" spans="1:11" ht="14.4" customHeight="1" thickBot="1" x14ac:dyDescent="0.35">
      <c r="A48" s="609" t="s">
        <v>344</v>
      </c>
      <c r="B48" s="587">
        <v>30.160838187814999</v>
      </c>
      <c r="C48" s="587">
        <v>50.401260000000001</v>
      </c>
      <c r="D48" s="588">
        <v>20.240421812184</v>
      </c>
      <c r="E48" s="589">
        <v>1.6710828686570001</v>
      </c>
      <c r="F48" s="587">
        <v>28.135032798169998</v>
      </c>
      <c r="G48" s="588">
        <v>4.6891721330280003</v>
      </c>
      <c r="H48" s="590">
        <v>4.3437900000000003</v>
      </c>
      <c r="I48" s="587">
        <v>9.1455800000000007</v>
      </c>
      <c r="J48" s="588">
        <v>4.4564078669710003</v>
      </c>
      <c r="K48" s="591">
        <v>0.32506022173799998</v>
      </c>
    </row>
    <row r="49" spans="1:11" ht="14.4" customHeight="1" thickBot="1" x14ac:dyDescent="0.35">
      <c r="A49" s="609" t="s">
        <v>345</v>
      </c>
      <c r="B49" s="587">
        <v>22.175031724391999</v>
      </c>
      <c r="C49" s="587">
        <v>12.69284</v>
      </c>
      <c r="D49" s="588">
        <v>-9.4821917243920009</v>
      </c>
      <c r="E49" s="589">
        <v>0.57239331865400001</v>
      </c>
      <c r="F49" s="587">
        <v>13.003228942910001</v>
      </c>
      <c r="G49" s="588">
        <v>2.1672048238179999</v>
      </c>
      <c r="H49" s="590">
        <v>4.9406564584124654E-324</v>
      </c>
      <c r="I49" s="587">
        <v>9.8813129168249309E-324</v>
      </c>
      <c r="J49" s="588">
        <v>-2.1672048238179999</v>
      </c>
      <c r="K49" s="591">
        <v>0</v>
      </c>
    </row>
    <row r="50" spans="1:11" ht="14.4" customHeight="1" thickBot="1" x14ac:dyDescent="0.35">
      <c r="A50" s="609" t="s">
        <v>346</v>
      </c>
      <c r="B50" s="587">
        <v>41.520214905029</v>
      </c>
      <c r="C50" s="587">
        <v>48.260249999999999</v>
      </c>
      <c r="D50" s="588">
        <v>6.7400350949699996</v>
      </c>
      <c r="E50" s="589">
        <v>1.1623314115879999</v>
      </c>
      <c r="F50" s="587">
        <v>53.959344807247</v>
      </c>
      <c r="G50" s="588">
        <v>8.9932241345410002</v>
      </c>
      <c r="H50" s="590">
        <v>9.3233300000000003</v>
      </c>
      <c r="I50" s="587">
        <v>12.43206</v>
      </c>
      <c r="J50" s="588">
        <v>3.438835865458</v>
      </c>
      <c r="K50" s="591">
        <v>0.23039679307399999</v>
      </c>
    </row>
    <row r="51" spans="1:11" ht="14.4" customHeight="1" thickBot="1" x14ac:dyDescent="0.35">
      <c r="A51" s="609" t="s">
        <v>347</v>
      </c>
      <c r="B51" s="587">
        <v>4.9406564584124654E-324</v>
      </c>
      <c r="C51" s="587">
        <v>1.0619400000000001</v>
      </c>
      <c r="D51" s="588">
        <v>1.0619400000000001</v>
      </c>
      <c r="E51" s="597" t="s">
        <v>305</v>
      </c>
      <c r="F51" s="587">
        <v>0</v>
      </c>
      <c r="G51" s="588">
        <v>0</v>
      </c>
      <c r="H51" s="590">
        <v>4.9406564584124654E-324</v>
      </c>
      <c r="I51" s="587">
        <v>9.8813129168249309E-324</v>
      </c>
      <c r="J51" s="588">
        <v>9.8813129168249309E-324</v>
      </c>
      <c r="K51" s="598" t="s">
        <v>299</v>
      </c>
    </row>
    <row r="52" spans="1:11" ht="14.4" customHeight="1" thickBot="1" x14ac:dyDescent="0.35">
      <c r="A52" s="609" t="s">
        <v>348</v>
      </c>
      <c r="B52" s="587">
        <v>4.9406564584124654E-324</v>
      </c>
      <c r="C52" s="587">
        <v>5.5590000000000001E-2</v>
      </c>
      <c r="D52" s="588">
        <v>5.5590000000000001E-2</v>
      </c>
      <c r="E52" s="597" t="s">
        <v>305</v>
      </c>
      <c r="F52" s="587">
        <v>0</v>
      </c>
      <c r="G52" s="588">
        <v>0</v>
      </c>
      <c r="H52" s="590">
        <v>4.9406564584124654E-324</v>
      </c>
      <c r="I52" s="587">
        <v>9.8813129168249309E-324</v>
      </c>
      <c r="J52" s="588">
        <v>9.8813129168249309E-324</v>
      </c>
      <c r="K52" s="598" t="s">
        <v>299</v>
      </c>
    </row>
    <row r="53" spans="1:11" ht="14.4" customHeight="1" thickBot="1" x14ac:dyDescent="0.35">
      <c r="A53" s="609" t="s">
        <v>349</v>
      </c>
      <c r="B53" s="587">
        <v>4.9406564584124654E-324</v>
      </c>
      <c r="C53" s="587">
        <v>117.51388</v>
      </c>
      <c r="D53" s="588">
        <v>117.51388</v>
      </c>
      <c r="E53" s="597" t="s">
        <v>305</v>
      </c>
      <c r="F53" s="587">
        <v>93.992019846944999</v>
      </c>
      <c r="G53" s="588">
        <v>15.665336641156999</v>
      </c>
      <c r="H53" s="590">
        <v>9.1088400000000007</v>
      </c>
      <c r="I53" s="587">
        <v>13.39729</v>
      </c>
      <c r="J53" s="588">
        <v>-2.2680466411569999</v>
      </c>
      <c r="K53" s="591">
        <v>0.14253646237000001</v>
      </c>
    </row>
    <row r="54" spans="1:11" ht="14.4" customHeight="1" thickBot="1" x14ac:dyDescent="0.35">
      <c r="A54" s="609" t="s">
        <v>350</v>
      </c>
      <c r="B54" s="587">
        <v>4.9406564584124654E-324</v>
      </c>
      <c r="C54" s="587">
        <v>0.03</v>
      </c>
      <c r="D54" s="588">
        <v>0.03</v>
      </c>
      <c r="E54" s="597" t="s">
        <v>305</v>
      </c>
      <c r="F54" s="587">
        <v>0</v>
      </c>
      <c r="G54" s="588">
        <v>0</v>
      </c>
      <c r="H54" s="590">
        <v>4.9406564584124654E-324</v>
      </c>
      <c r="I54" s="587">
        <v>9.8813129168249309E-324</v>
      </c>
      <c r="J54" s="588">
        <v>9.8813129168249309E-324</v>
      </c>
      <c r="K54" s="598" t="s">
        <v>299</v>
      </c>
    </row>
    <row r="55" spans="1:11" ht="14.4" customHeight="1" thickBot="1" x14ac:dyDescent="0.35">
      <c r="A55" s="609" t="s">
        <v>351</v>
      </c>
      <c r="B55" s="587">
        <v>2.9983409767959999</v>
      </c>
      <c r="C55" s="587">
        <v>4.9406564584124654E-324</v>
      </c>
      <c r="D55" s="588">
        <v>-2.9983409767959999</v>
      </c>
      <c r="E55" s="589">
        <v>0</v>
      </c>
      <c r="F55" s="587">
        <v>4.9406564584124654E-324</v>
      </c>
      <c r="G55" s="588">
        <v>0</v>
      </c>
      <c r="H55" s="590">
        <v>4.9406564584124654E-324</v>
      </c>
      <c r="I55" s="587">
        <v>1.0027999999999999</v>
      </c>
      <c r="J55" s="588">
        <v>1.0027999999999999</v>
      </c>
      <c r="K55" s="598" t="s">
        <v>305</v>
      </c>
    </row>
    <row r="56" spans="1:11" ht="14.4" customHeight="1" thickBot="1" x14ac:dyDescent="0.35">
      <c r="A56" s="608" t="s">
        <v>352</v>
      </c>
      <c r="B56" s="592">
        <v>441.21555084215498</v>
      </c>
      <c r="C56" s="592">
        <v>370.39332000000002</v>
      </c>
      <c r="D56" s="593">
        <v>-70.822230842153999</v>
      </c>
      <c r="E56" s="599">
        <v>0.83948382891899997</v>
      </c>
      <c r="F56" s="592">
        <v>241.07580320140301</v>
      </c>
      <c r="G56" s="593">
        <v>40.179300533567002</v>
      </c>
      <c r="H56" s="595">
        <v>4.9406564584124654E-324</v>
      </c>
      <c r="I56" s="592">
        <v>71.330100000000002</v>
      </c>
      <c r="J56" s="593">
        <v>31.150799466433</v>
      </c>
      <c r="K56" s="600">
        <v>0.295882452957</v>
      </c>
    </row>
    <row r="57" spans="1:11" ht="14.4" customHeight="1" thickBot="1" x14ac:dyDescent="0.35">
      <c r="A57" s="609" t="s">
        <v>353</v>
      </c>
      <c r="B57" s="587">
        <v>4.499257253983</v>
      </c>
      <c r="C57" s="587">
        <v>1.298</v>
      </c>
      <c r="D57" s="588">
        <v>-3.201257253983</v>
      </c>
      <c r="E57" s="589">
        <v>0.28849206140599998</v>
      </c>
      <c r="F57" s="587">
        <v>0</v>
      </c>
      <c r="G57" s="588">
        <v>0</v>
      </c>
      <c r="H57" s="590">
        <v>4.9406564584124654E-324</v>
      </c>
      <c r="I57" s="587">
        <v>9.8813129168249309E-324</v>
      </c>
      <c r="J57" s="588">
        <v>9.8813129168249309E-324</v>
      </c>
      <c r="K57" s="598" t="s">
        <v>299</v>
      </c>
    </row>
    <row r="58" spans="1:11" ht="14.4" customHeight="1" thickBot="1" x14ac:dyDescent="0.35">
      <c r="A58" s="609" t="s">
        <v>354</v>
      </c>
      <c r="B58" s="587">
        <v>16.039377257043999</v>
      </c>
      <c r="C58" s="587">
        <v>26.878299999999999</v>
      </c>
      <c r="D58" s="588">
        <v>10.838922742955001</v>
      </c>
      <c r="E58" s="589">
        <v>1.6757695494810001</v>
      </c>
      <c r="F58" s="587">
        <v>21.772820673563</v>
      </c>
      <c r="G58" s="588">
        <v>3.6288034455929998</v>
      </c>
      <c r="H58" s="590">
        <v>4.9406564584124654E-324</v>
      </c>
      <c r="I58" s="587">
        <v>9.8813129168249309E-324</v>
      </c>
      <c r="J58" s="588">
        <v>-3.6288034455929998</v>
      </c>
      <c r="K58" s="591">
        <v>0</v>
      </c>
    </row>
    <row r="59" spans="1:11" ht="14.4" customHeight="1" thickBot="1" x14ac:dyDescent="0.35">
      <c r="A59" s="609" t="s">
        <v>355</v>
      </c>
      <c r="B59" s="587">
        <v>397.26710892403702</v>
      </c>
      <c r="C59" s="587">
        <v>319.74304000000001</v>
      </c>
      <c r="D59" s="588">
        <v>-77.524068924036001</v>
      </c>
      <c r="E59" s="589">
        <v>0.80485656329800004</v>
      </c>
      <c r="F59" s="587">
        <v>213.13816823315199</v>
      </c>
      <c r="G59" s="588">
        <v>35.523028038858001</v>
      </c>
      <c r="H59" s="590">
        <v>4.9406564584124654E-324</v>
      </c>
      <c r="I59" s="587">
        <v>59.055999999999997</v>
      </c>
      <c r="J59" s="588">
        <v>23.532971961141001</v>
      </c>
      <c r="K59" s="591">
        <v>0.27707848148199998</v>
      </c>
    </row>
    <row r="60" spans="1:11" ht="14.4" customHeight="1" thickBot="1" x14ac:dyDescent="0.35">
      <c r="A60" s="609" t="s">
        <v>356</v>
      </c>
      <c r="B60" s="587">
        <v>0</v>
      </c>
      <c r="C60" s="587">
        <v>2.9897</v>
      </c>
      <c r="D60" s="588">
        <v>2.9897</v>
      </c>
      <c r="E60" s="597" t="s">
        <v>299</v>
      </c>
      <c r="F60" s="587">
        <v>0</v>
      </c>
      <c r="G60" s="588">
        <v>0</v>
      </c>
      <c r="H60" s="590">
        <v>4.9406564584124654E-324</v>
      </c>
      <c r="I60" s="587">
        <v>9.8813129168249309E-324</v>
      </c>
      <c r="J60" s="588">
        <v>9.8813129168249309E-324</v>
      </c>
      <c r="K60" s="598" t="s">
        <v>299</v>
      </c>
    </row>
    <row r="61" spans="1:11" ht="14.4" customHeight="1" thickBot="1" x14ac:dyDescent="0.35">
      <c r="A61" s="609" t="s">
        <v>357</v>
      </c>
      <c r="B61" s="587">
        <v>21.710507012316</v>
      </c>
      <c r="C61" s="587">
        <v>19.484279999999998</v>
      </c>
      <c r="D61" s="588">
        <v>-2.226227012316</v>
      </c>
      <c r="E61" s="589">
        <v>0.89745854341099995</v>
      </c>
      <c r="F61" s="587">
        <v>6.1648142946869999</v>
      </c>
      <c r="G61" s="588">
        <v>1.0274690491139999</v>
      </c>
      <c r="H61" s="590">
        <v>4.9406564584124654E-324</v>
      </c>
      <c r="I61" s="587">
        <v>12.274100000000001</v>
      </c>
      <c r="J61" s="588">
        <v>11.246630950885001</v>
      </c>
      <c r="K61" s="591">
        <v>1.9909926582170001</v>
      </c>
    </row>
    <row r="62" spans="1:11" ht="14.4" customHeight="1" thickBot="1" x14ac:dyDescent="0.35">
      <c r="A62" s="608" t="s">
        <v>358</v>
      </c>
      <c r="B62" s="592">
        <v>616.347360873502</v>
      </c>
      <c r="C62" s="592">
        <v>337.94029</v>
      </c>
      <c r="D62" s="593">
        <v>-278.40707087350199</v>
      </c>
      <c r="E62" s="599">
        <v>0.548295184587</v>
      </c>
      <c r="F62" s="592">
        <v>332.55886295656597</v>
      </c>
      <c r="G62" s="593">
        <v>55.426477159427002</v>
      </c>
      <c r="H62" s="595">
        <v>20.909790000000001</v>
      </c>
      <c r="I62" s="592">
        <v>47.462359999999997</v>
      </c>
      <c r="J62" s="593">
        <v>-7.9641171594270004</v>
      </c>
      <c r="K62" s="600">
        <v>0.14271867415600001</v>
      </c>
    </row>
    <row r="63" spans="1:11" ht="14.4" customHeight="1" thickBot="1" x14ac:dyDescent="0.35">
      <c r="A63" s="609" t="s">
        <v>359</v>
      </c>
      <c r="B63" s="587">
        <v>27.089140827036999</v>
      </c>
      <c r="C63" s="587">
        <v>36.409350000000003</v>
      </c>
      <c r="D63" s="588">
        <v>9.3202091729620005</v>
      </c>
      <c r="E63" s="589">
        <v>1.3440570239</v>
      </c>
      <c r="F63" s="587">
        <v>32.569270197377001</v>
      </c>
      <c r="G63" s="588">
        <v>5.4282116995619996</v>
      </c>
      <c r="H63" s="590">
        <v>2.5666500000000001</v>
      </c>
      <c r="I63" s="587">
        <v>4.2414500000000004</v>
      </c>
      <c r="J63" s="588">
        <v>-1.1867616995620001</v>
      </c>
      <c r="K63" s="591">
        <v>0.13022858584999999</v>
      </c>
    </row>
    <row r="64" spans="1:11" ht="14.4" customHeight="1" thickBot="1" x14ac:dyDescent="0.35">
      <c r="A64" s="609" t="s">
        <v>360</v>
      </c>
      <c r="B64" s="587">
        <v>0</v>
      </c>
      <c r="C64" s="587">
        <v>4.9406564584124654E-324</v>
      </c>
      <c r="D64" s="588">
        <v>4.9406564584124654E-324</v>
      </c>
      <c r="E64" s="597" t="s">
        <v>299</v>
      </c>
      <c r="F64" s="587">
        <v>4.9406564584124654E-324</v>
      </c>
      <c r="G64" s="588">
        <v>0</v>
      </c>
      <c r="H64" s="590">
        <v>0.25724999999999998</v>
      </c>
      <c r="I64" s="587">
        <v>0.25724999999999998</v>
      </c>
      <c r="J64" s="588">
        <v>0.25724999999999998</v>
      </c>
      <c r="K64" s="598" t="s">
        <v>305</v>
      </c>
    </row>
    <row r="65" spans="1:11" ht="14.4" customHeight="1" thickBot="1" x14ac:dyDescent="0.35">
      <c r="A65" s="609" t="s">
        <v>361</v>
      </c>
      <c r="B65" s="587">
        <v>3.3863579860400002</v>
      </c>
      <c r="C65" s="587">
        <v>1.0473699999999999</v>
      </c>
      <c r="D65" s="588">
        <v>-2.3389879860399998</v>
      </c>
      <c r="E65" s="589">
        <v>0.30929098586600001</v>
      </c>
      <c r="F65" s="587">
        <v>0</v>
      </c>
      <c r="G65" s="588">
        <v>0</v>
      </c>
      <c r="H65" s="590">
        <v>4.9406564584124654E-324</v>
      </c>
      <c r="I65" s="587">
        <v>3.0119899999999999</v>
      </c>
      <c r="J65" s="588">
        <v>3.0119899999999999</v>
      </c>
      <c r="K65" s="598" t="s">
        <v>299</v>
      </c>
    </row>
    <row r="66" spans="1:11" ht="14.4" customHeight="1" thickBot="1" x14ac:dyDescent="0.35">
      <c r="A66" s="609" t="s">
        <v>362</v>
      </c>
      <c r="B66" s="587">
        <v>585.87186206042395</v>
      </c>
      <c r="C66" s="587">
        <v>300.48356999999999</v>
      </c>
      <c r="D66" s="588">
        <v>-285.38829206042402</v>
      </c>
      <c r="E66" s="589">
        <v>0.51288274699299996</v>
      </c>
      <c r="F66" s="587">
        <v>0</v>
      </c>
      <c r="G66" s="588">
        <v>0</v>
      </c>
      <c r="H66" s="590">
        <v>4.9406564584124654E-324</v>
      </c>
      <c r="I66" s="587">
        <v>9.8813129168249309E-324</v>
      </c>
      <c r="J66" s="588">
        <v>9.8813129168249309E-324</v>
      </c>
      <c r="K66" s="598" t="s">
        <v>299</v>
      </c>
    </row>
    <row r="67" spans="1:11" ht="14.4" customHeight="1" thickBot="1" x14ac:dyDescent="0.35">
      <c r="A67" s="609" t="s">
        <v>363</v>
      </c>
      <c r="B67" s="587">
        <v>4.9406564584124654E-324</v>
      </c>
      <c r="C67" s="587">
        <v>4.9406564584124654E-324</v>
      </c>
      <c r="D67" s="588">
        <v>0</v>
      </c>
      <c r="E67" s="589">
        <v>1</v>
      </c>
      <c r="F67" s="587">
        <v>44.004232538521002</v>
      </c>
      <c r="G67" s="588">
        <v>7.33403875642</v>
      </c>
      <c r="H67" s="590">
        <v>3.8459699999999999</v>
      </c>
      <c r="I67" s="587">
        <v>8.3637899999999998</v>
      </c>
      <c r="J67" s="588">
        <v>1.0297512435789999</v>
      </c>
      <c r="K67" s="591">
        <v>0.19006785296500001</v>
      </c>
    </row>
    <row r="68" spans="1:11" ht="14.4" customHeight="1" thickBot="1" x14ac:dyDescent="0.35">
      <c r="A68" s="609" t="s">
        <v>364</v>
      </c>
      <c r="B68" s="587">
        <v>4.9406564584124654E-324</v>
      </c>
      <c r="C68" s="587">
        <v>4.9406564584124654E-324</v>
      </c>
      <c r="D68" s="588">
        <v>0</v>
      </c>
      <c r="E68" s="589">
        <v>1</v>
      </c>
      <c r="F68" s="587">
        <v>172.996640778841</v>
      </c>
      <c r="G68" s="588">
        <v>28.832773463140001</v>
      </c>
      <c r="H68" s="590">
        <v>8.5311000000000003</v>
      </c>
      <c r="I68" s="587">
        <v>19.075839999999999</v>
      </c>
      <c r="J68" s="588">
        <v>-9.7569334631399993</v>
      </c>
      <c r="K68" s="591">
        <v>0.110267112205</v>
      </c>
    </row>
    <row r="69" spans="1:11" ht="14.4" customHeight="1" thickBot="1" x14ac:dyDescent="0.35">
      <c r="A69" s="609" t="s">
        <v>365</v>
      </c>
      <c r="B69" s="587">
        <v>4.9406564584124654E-324</v>
      </c>
      <c r="C69" s="587">
        <v>4.9406564584124654E-324</v>
      </c>
      <c r="D69" s="588">
        <v>0</v>
      </c>
      <c r="E69" s="589">
        <v>1</v>
      </c>
      <c r="F69" s="587">
        <v>82.988719441824998</v>
      </c>
      <c r="G69" s="588">
        <v>13.831453240304</v>
      </c>
      <c r="H69" s="590">
        <v>5.7088200000000002</v>
      </c>
      <c r="I69" s="587">
        <v>12.512040000000001</v>
      </c>
      <c r="J69" s="588">
        <v>-1.319413240304</v>
      </c>
      <c r="K69" s="591">
        <v>0.15076796080400001</v>
      </c>
    </row>
    <row r="70" spans="1:11" ht="14.4" customHeight="1" thickBot="1" x14ac:dyDescent="0.35">
      <c r="A70" s="608" t="s">
        <v>366</v>
      </c>
      <c r="B70" s="592">
        <v>0</v>
      </c>
      <c r="C70" s="592">
        <v>21.041</v>
      </c>
      <c r="D70" s="593">
        <v>21.041</v>
      </c>
      <c r="E70" s="594" t="s">
        <v>299</v>
      </c>
      <c r="F70" s="592">
        <v>0</v>
      </c>
      <c r="G70" s="593">
        <v>0</v>
      </c>
      <c r="H70" s="595">
        <v>4.9406564584124654E-324</v>
      </c>
      <c r="I70" s="592">
        <v>9.8813129168249309E-324</v>
      </c>
      <c r="J70" s="593">
        <v>9.8813129168249309E-324</v>
      </c>
      <c r="K70" s="596" t="s">
        <v>299</v>
      </c>
    </row>
    <row r="71" spans="1:11" ht="14.4" customHeight="1" thickBot="1" x14ac:dyDescent="0.35">
      <c r="A71" s="609" t="s">
        <v>367</v>
      </c>
      <c r="B71" s="587">
        <v>4.9406564584124654E-324</v>
      </c>
      <c r="C71" s="587">
        <v>14.52</v>
      </c>
      <c r="D71" s="588">
        <v>14.52</v>
      </c>
      <c r="E71" s="597" t="s">
        <v>305</v>
      </c>
      <c r="F71" s="587">
        <v>0</v>
      </c>
      <c r="G71" s="588">
        <v>0</v>
      </c>
      <c r="H71" s="590">
        <v>4.9406564584124654E-324</v>
      </c>
      <c r="I71" s="587">
        <v>9.8813129168249309E-324</v>
      </c>
      <c r="J71" s="588">
        <v>9.8813129168249309E-324</v>
      </c>
      <c r="K71" s="598" t="s">
        <v>299</v>
      </c>
    </row>
    <row r="72" spans="1:11" ht="14.4" customHeight="1" thickBot="1" x14ac:dyDescent="0.35">
      <c r="A72" s="609" t="s">
        <v>368</v>
      </c>
      <c r="B72" s="587">
        <v>0</v>
      </c>
      <c r="C72" s="587">
        <v>6.5209999999989998</v>
      </c>
      <c r="D72" s="588">
        <v>6.5209999999989998</v>
      </c>
      <c r="E72" s="597" t="s">
        <v>299</v>
      </c>
      <c r="F72" s="587">
        <v>0</v>
      </c>
      <c r="G72" s="588">
        <v>0</v>
      </c>
      <c r="H72" s="590">
        <v>4.9406564584124654E-324</v>
      </c>
      <c r="I72" s="587">
        <v>9.8813129168249309E-324</v>
      </c>
      <c r="J72" s="588">
        <v>9.8813129168249309E-324</v>
      </c>
      <c r="K72" s="598" t="s">
        <v>299</v>
      </c>
    </row>
    <row r="73" spans="1:11" ht="14.4" customHeight="1" thickBot="1" x14ac:dyDescent="0.35">
      <c r="A73" s="607" t="s">
        <v>45</v>
      </c>
      <c r="B73" s="587">
        <v>2171.63983492438</v>
      </c>
      <c r="C73" s="587">
        <v>2134.7339999999999</v>
      </c>
      <c r="D73" s="588">
        <v>-36.905834924376997</v>
      </c>
      <c r="E73" s="589">
        <v>0.98300554524200001</v>
      </c>
      <c r="F73" s="587">
        <v>2149.2848787416701</v>
      </c>
      <c r="G73" s="588">
        <v>358.21414645694398</v>
      </c>
      <c r="H73" s="590">
        <v>198.45400000000001</v>
      </c>
      <c r="I73" s="587">
        <v>434.97100000000103</v>
      </c>
      <c r="J73" s="588">
        <v>76.756853543055996</v>
      </c>
      <c r="K73" s="591">
        <v>0.20237940735599999</v>
      </c>
    </row>
    <row r="74" spans="1:11" ht="14.4" customHeight="1" thickBot="1" x14ac:dyDescent="0.35">
      <c r="A74" s="608" t="s">
        <v>369</v>
      </c>
      <c r="B74" s="592">
        <v>2171.63983492438</v>
      </c>
      <c r="C74" s="592">
        <v>2134.7339999999999</v>
      </c>
      <c r="D74" s="593">
        <v>-36.905834924376997</v>
      </c>
      <c r="E74" s="599">
        <v>0.98300554524200001</v>
      </c>
      <c r="F74" s="592">
        <v>2149.2848787416701</v>
      </c>
      <c r="G74" s="593">
        <v>358.21414645694398</v>
      </c>
      <c r="H74" s="595">
        <v>198.45400000000001</v>
      </c>
      <c r="I74" s="592">
        <v>434.97100000000103</v>
      </c>
      <c r="J74" s="593">
        <v>76.756853543055996</v>
      </c>
      <c r="K74" s="600">
        <v>0.20237940735599999</v>
      </c>
    </row>
    <row r="75" spans="1:11" ht="14.4" customHeight="1" thickBot="1" x14ac:dyDescent="0.35">
      <c r="A75" s="609" t="s">
        <v>370</v>
      </c>
      <c r="B75" s="587">
        <v>710.93574910044504</v>
      </c>
      <c r="C75" s="587">
        <v>812.95</v>
      </c>
      <c r="D75" s="588">
        <v>102.01425089955499</v>
      </c>
      <c r="E75" s="589">
        <v>1.143492926088</v>
      </c>
      <c r="F75" s="587">
        <v>806.87418360582296</v>
      </c>
      <c r="G75" s="588">
        <v>134.47903060097099</v>
      </c>
      <c r="H75" s="590">
        <v>54.362000000000002</v>
      </c>
      <c r="I75" s="587">
        <v>114.98399999999999</v>
      </c>
      <c r="J75" s="588">
        <v>-19.495030600970001</v>
      </c>
      <c r="K75" s="591">
        <v>0.14250548888</v>
      </c>
    </row>
    <row r="76" spans="1:11" ht="14.4" customHeight="1" thickBot="1" x14ac:dyDescent="0.35">
      <c r="A76" s="609" t="s">
        <v>371</v>
      </c>
      <c r="B76" s="587">
        <v>370.015902579645</v>
      </c>
      <c r="C76" s="587">
        <v>283.92899999999997</v>
      </c>
      <c r="D76" s="588">
        <v>-86.086902579644004</v>
      </c>
      <c r="E76" s="589">
        <v>0.76734269532800004</v>
      </c>
      <c r="F76" s="587">
        <v>290.04492109402401</v>
      </c>
      <c r="G76" s="588">
        <v>48.340820182336998</v>
      </c>
      <c r="H76" s="590">
        <v>21.337</v>
      </c>
      <c r="I76" s="587">
        <v>49.802999999999997</v>
      </c>
      <c r="J76" s="588">
        <v>1.462179817662</v>
      </c>
      <c r="K76" s="591">
        <v>0.17170788515099999</v>
      </c>
    </row>
    <row r="77" spans="1:11" ht="14.4" customHeight="1" thickBot="1" x14ac:dyDescent="0.35">
      <c r="A77" s="609" t="s">
        <v>372</v>
      </c>
      <c r="B77" s="587">
        <v>1090.68818324429</v>
      </c>
      <c r="C77" s="587">
        <v>1037.855</v>
      </c>
      <c r="D77" s="588">
        <v>-52.833183244288001</v>
      </c>
      <c r="E77" s="589">
        <v>0.95155977294299998</v>
      </c>
      <c r="F77" s="587">
        <v>1052.36577404182</v>
      </c>
      <c r="G77" s="588">
        <v>175.39429567363601</v>
      </c>
      <c r="H77" s="590">
        <v>122.755</v>
      </c>
      <c r="I77" s="587">
        <v>270.18400000000099</v>
      </c>
      <c r="J77" s="588">
        <v>94.789704326364003</v>
      </c>
      <c r="K77" s="591">
        <v>0.25673963051999998</v>
      </c>
    </row>
    <row r="78" spans="1:11" ht="14.4" customHeight="1" thickBot="1" x14ac:dyDescent="0.35">
      <c r="A78" s="610" t="s">
        <v>373</v>
      </c>
      <c r="B78" s="592">
        <v>4507.4613607370802</v>
      </c>
      <c r="C78" s="592">
        <v>4701.5906400000003</v>
      </c>
      <c r="D78" s="593">
        <v>194.129279262918</v>
      </c>
      <c r="E78" s="599">
        <v>1.0430684289279999</v>
      </c>
      <c r="F78" s="592">
        <v>4493.1931166453596</v>
      </c>
      <c r="G78" s="593">
        <v>748.86551944089297</v>
      </c>
      <c r="H78" s="595">
        <v>198.13325</v>
      </c>
      <c r="I78" s="592">
        <v>533.93140000000199</v>
      </c>
      <c r="J78" s="593">
        <v>-214.93411944089101</v>
      </c>
      <c r="K78" s="600">
        <v>0.118831171093</v>
      </c>
    </row>
    <row r="79" spans="1:11" ht="14.4" customHeight="1" thickBot="1" x14ac:dyDescent="0.35">
      <c r="A79" s="607" t="s">
        <v>48</v>
      </c>
      <c r="B79" s="587">
        <v>1027.8290598620299</v>
      </c>
      <c r="C79" s="587">
        <v>1034.9311299999999</v>
      </c>
      <c r="D79" s="588">
        <v>7.1020701379700002</v>
      </c>
      <c r="E79" s="589">
        <v>1.006909777525</v>
      </c>
      <c r="F79" s="587">
        <v>960.95761996988006</v>
      </c>
      <c r="G79" s="588">
        <v>160.15960332831301</v>
      </c>
      <c r="H79" s="590">
        <v>76.395480000000006</v>
      </c>
      <c r="I79" s="587">
        <v>94.743440000000007</v>
      </c>
      <c r="J79" s="588">
        <v>-65.416163328313004</v>
      </c>
      <c r="K79" s="591">
        <v>9.8592735028999998E-2</v>
      </c>
    </row>
    <row r="80" spans="1:11" ht="14.4" customHeight="1" thickBot="1" x14ac:dyDescent="0.35">
      <c r="A80" s="611" t="s">
        <v>374</v>
      </c>
      <c r="B80" s="587">
        <v>1027.8290598620299</v>
      </c>
      <c r="C80" s="587">
        <v>1034.9311299999999</v>
      </c>
      <c r="D80" s="588">
        <v>7.1020701379700002</v>
      </c>
      <c r="E80" s="589">
        <v>1.006909777525</v>
      </c>
      <c r="F80" s="587">
        <v>960.95761996988006</v>
      </c>
      <c r="G80" s="588">
        <v>160.15960332831301</v>
      </c>
      <c r="H80" s="590">
        <v>76.395480000000006</v>
      </c>
      <c r="I80" s="587">
        <v>94.743440000000007</v>
      </c>
      <c r="J80" s="588">
        <v>-65.416163328313004</v>
      </c>
      <c r="K80" s="591">
        <v>9.8592735028999998E-2</v>
      </c>
    </row>
    <row r="81" spans="1:11" ht="14.4" customHeight="1" thickBot="1" x14ac:dyDescent="0.35">
      <c r="A81" s="609" t="s">
        <v>375</v>
      </c>
      <c r="B81" s="587">
        <v>793.03887906659202</v>
      </c>
      <c r="C81" s="587">
        <v>767.94422999999995</v>
      </c>
      <c r="D81" s="588">
        <v>-25.094649066591</v>
      </c>
      <c r="E81" s="589">
        <v>0.96835634452599995</v>
      </c>
      <c r="F81" s="587">
        <v>708.15198609408196</v>
      </c>
      <c r="G81" s="588">
        <v>118.02533101568</v>
      </c>
      <c r="H81" s="590">
        <v>58.073340000000002</v>
      </c>
      <c r="I81" s="587">
        <v>75.667230000000004</v>
      </c>
      <c r="J81" s="588">
        <v>-42.358101015679999</v>
      </c>
      <c r="K81" s="591">
        <v>0.10685168083300001</v>
      </c>
    </row>
    <row r="82" spans="1:11" ht="14.4" customHeight="1" thickBot="1" x14ac:dyDescent="0.35">
      <c r="A82" s="609" t="s">
        <v>376</v>
      </c>
      <c r="B82" s="587">
        <v>0</v>
      </c>
      <c r="C82" s="587">
        <v>3.1339999999999999</v>
      </c>
      <c r="D82" s="588">
        <v>3.1339999999999999</v>
      </c>
      <c r="E82" s="597" t="s">
        <v>299</v>
      </c>
      <c r="F82" s="587">
        <v>0</v>
      </c>
      <c r="G82" s="588">
        <v>0</v>
      </c>
      <c r="H82" s="590">
        <v>4.9406564584124654E-324</v>
      </c>
      <c r="I82" s="587">
        <v>9.8813129168249309E-324</v>
      </c>
      <c r="J82" s="588">
        <v>9.8813129168249309E-324</v>
      </c>
      <c r="K82" s="598" t="s">
        <v>299</v>
      </c>
    </row>
    <row r="83" spans="1:11" ht="14.4" customHeight="1" thickBot="1" x14ac:dyDescent="0.35">
      <c r="A83" s="609" t="s">
        <v>377</v>
      </c>
      <c r="B83" s="587">
        <v>43.805060231048003</v>
      </c>
      <c r="C83" s="587">
        <v>60.84525</v>
      </c>
      <c r="D83" s="588">
        <v>17.040189768950999</v>
      </c>
      <c r="E83" s="589">
        <v>1.3890004871370001</v>
      </c>
      <c r="F83" s="587">
        <v>75.930718334011004</v>
      </c>
      <c r="G83" s="588">
        <v>12.655119722335</v>
      </c>
      <c r="H83" s="590">
        <v>2.1471499999999999</v>
      </c>
      <c r="I83" s="587">
        <v>2.1471499999999999</v>
      </c>
      <c r="J83" s="588">
        <v>-10.507969722335</v>
      </c>
      <c r="K83" s="591">
        <v>2.8277751707E-2</v>
      </c>
    </row>
    <row r="84" spans="1:11" ht="14.4" customHeight="1" thickBot="1" x14ac:dyDescent="0.35">
      <c r="A84" s="609" t="s">
        <v>378</v>
      </c>
      <c r="B84" s="587">
        <v>114.99072629292201</v>
      </c>
      <c r="C84" s="587">
        <v>121.55132</v>
      </c>
      <c r="D84" s="588">
        <v>6.5605937070770004</v>
      </c>
      <c r="E84" s="589">
        <v>1.057053241757</v>
      </c>
      <c r="F84" s="587">
        <v>93.999841299476998</v>
      </c>
      <c r="G84" s="588">
        <v>15.666640216578999</v>
      </c>
      <c r="H84" s="590">
        <v>8.0645000000000007</v>
      </c>
      <c r="I84" s="587">
        <v>8.8185699999999994</v>
      </c>
      <c r="J84" s="588">
        <v>-6.8480702165789999</v>
      </c>
      <c r="K84" s="591">
        <v>9.3814732854999999E-2</v>
      </c>
    </row>
    <row r="85" spans="1:11" ht="14.4" customHeight="1" thickBot="1" x14ac:dyDescent="0.35">
      <c r="A85" s="609" t="s">
        <v>379</v>
      </c>
      <c r="B85" s="587">
        <v>75.994394271466007</v>
      </c>
      <c r="C85" s="587">
        <v>81.456329999999994</v>
      </c>
      <c r="D85" s="588">
        <v>5.4619357285329997</v>
      </c>
      <c r="E85" s="589">
        <v>1.071872876689</v>
      </c>
      <c r="F85" s="587">
        <v>82.875074242308003</v>
      </c>
      <c r="G85" s="588">
        <v>13.812512373718</v>
      </c>
      <c r="H85" s="590">
        <v>8.1104900000000004</v>
      </c>
      <c r="I85" s="587">
        <v>8.1104900000000004</v>
      </c>
      <c r="J85" s="588">
        <v>-5.702022373718</v>
      </c>
      <c r="K85" s="591">
        <v>9.7864045058999996E-2</v>
      </c>
    </row>
    <row r="86" spans="1:11" ht="14.4" customHeight="1" thickBot="1" x14ac:dyDescent="0.35">
      <c r="A86" s="612" t="s">
        <v>49</v>
      </c>
      <c r="B86" s="592">
        <v>0</v>
      </c>
      <c r="C86" s="592">
        <v>156.79408000000001</v>
      </c>
      <c r="D86" s="593">
        <v>156.79408000000001</v>
      </c>
      <c r="E86" s="594" t="s">
        <v>299</v>
      </c>
      <c r="F86" s="592">
        <v>0</v>
      </c>
      <c r="G86" s="593">
        <v>0</v>
      </c>
      <c r="H86" s="595">
        <v>3.08</v>
      </c>
      <c r="I86" s="592">
        <v>18.295000000000002</v>
      </c>
      <c r="J86" s="593">
        <v>18.295000000000002</v>
      </c>
      <c r="K86" s="596" t="s">
        <v>299</v>
      </c>
    </row>
    <row r="87" spans="1:11" ht="14.4" customHeight="1" thickBot="1" x14ac:dyDescent="0.35">
      <c r="A87" s="608" t="s">
        <v>380</v>
      </c>
      <c r="B87" s="592">
        <v>0</v>
      </c>
      <c r="C87" s="592">
        <v>113.17408</v>
      </c>
      <c r="D87" s="593">
        <v>113.17408</v>
      </c>
      <c r="E87" s="594" t="s">
        <v>299</v>
      </c>
      <c r="F87" s="592">
        <v>0</v>
      </c>
      <c r="G87" s="593">
        <v>0</v>
      </c>
      <c r="H87" s="595">
        <v>3.08</v>
      </c>
      <c r="I87" s="592">
        <v>18.295000000000002</v>
      </c>
      <c r="J87" s="593">
        <v>18.295000000000002</v>
      </c>
      <c r="K87" s="596" t="s">
        <v>299</v>
      </c>
    </row>
    <row r="88" spans="1:11" ht="14.4" customHeight="1" thickBot="1" x14ac:dyDescent="0.35">
      <c r="A88" s="609" t="s">
        <v>381</v>
      </c>
      <c r="B88" s="587">
        <v>0</v>
      </c>
      <c r="C88" s="587">
        <v>63.811999999999998</v>
      </c>
      <c r="D88" s="588">
        <v>63.811999999999998</v>
      </c>
      <c r="E88" s="597" t="s">
        <v>299</v>
      </c>
      <c r="F88" s="587">
        <v>0</v>
      </c>
      <c r="G88" s="588">
        <v>0</v>
      </c>
      <c r="H88" s="590">
        <v>4.9406564584124654E-324</v>
      </c>
      <c r="I88" s="587">
        <v>10.595000000000001</v>
      </c>
      <c r="J88" s="588">
        <v>10.595000000000001</v>
      </c>
      <c r="K88" s="598" t="s">
        <v>299</v>
      </c>
    </row>
    <row r="89" spans="1:11" ht="14.4" customHeight="1" thickBot="1" x14ac:dyDescent="0.35">
      <c r="A89" s="609" t="s">
        <v>382</v>
      </c>
      <c r="B89" s="587">
        <v>0</v>
      </c>
      <c r="C89" s="587">
        <v>49.362079999999999</v>
      </c>
      <c r="D89" s="588">
        <v>49.362079999999999</v>
      </c>
      <c r="E89" s="597" t="s">
        <v>299</v>
      </c>
      <c r="F89" s="587">
        <v>0</v>
      </c>
      <c r="G89" s="588">
        <v>0</v>
      </c>
      <c r="H89" s="590">
        <v>3.08</v>
      </c>
      <c r="I89" s="587">
        <v>7.7</v>
      </c>
      <c r="J89" s="588">
        <v>7.7</v>
      </c>
      <c r="K89" s="598" t="s">
        <v>299</v>
      </c>
    </row>
    <row r="90" spans="1:11" ht="14.4" customHeight="1" thickBot="1" x14ac:dyDescent="0.35">
      <c r="A90" s="608" t="s">
        <v>383</v>
      </c>
      <c r="B90" s="592">
        <v>0</v>
      </c>
      <c r="C90" s="592">
        <v>43.62</v>
      </c>
      <c r="D90" s="593">
        <v>43.62</v>
      </c>
      <c r="E90" s="594" t="s">
        <v>299</v>
      </c>
      <c r="F90" s="592">
        <v>0</v>
      </c>
      <c r="G90" s="593">
        <v>0</v>
      </c>
      <c r="H90" s="595">
        <v>4.9406564584124654E-324</v>
      </c>
      <c r="I90" s="592">
        <v>9.8813129168249309E-324</v>
      </c>
      <c r="J90" s="593">
        <v>9.8813129168249309E-324</v>
      </c>
      <c r="K90" s="596" t="s">
        <v>299</v>
      </c>
    </row>
    <row r="91" spans="1:11" ht="14.4" customHeight="1" thickBot="1" x14ac:dyDescent="0.35">
      <c r="A91" s="609" t="s">
        <v>384</v>
      </c>
      <c r="B91" s="587">
        <v>0</v>
      </c>
      <c r="C91" s="587">
        <v>43.62</v>
      </c>
      <c r="D91" s="588">
        <v>43.62</v>
      </c>
      <c r="E91" s="597" t="s">
        <v>299</v>
      </c>
      <c r="F91" s="587">
        <v>0</v>
      </c>
      <c r="G91" s="588">
        <v>0</v>
      </c>
      <c r="H91" s="590">
        <v>4.9406564584124654E-324</v>
      </c>
      <c r="I91" s="587">
        <v>9.8813129168249309E-324</v>
      </c>
      <c r="J91" s="588">
        <v>9.8813129168249309E-324</v>
      </c>
      <c r="K91" s="598" t="s">
        <v>299</v>
      </c>
    </row>
    <row r="92" spans="1:11" ht="14.4" customHeight="1" thickBot="1" x14ac:dyDescent="0.35">
      <c r="A92" s="607" t="s">
        <v>50</v>
      </c>
      <c r="B92" s="587">
        <v>3479.6323008750501</v>
      </c>
      <c r="C92" s="587">
        <v>3509.8654299999998</v>
      </c>
      <c r="D92" s="588">
        <v>30.233129124946998</v>
      </c>
      <c r="E92" s="589">
        <v>1.0086885988259999</v>
      </c>
      <c r="F92" s="587">
        <v>3532.2354966754801</v>
      </c>
      <c r="G92" s="588">
        <v>588.70591611257896</v>
      </c>
      <c r="H92" s="590">
        <v>118.65777</v>
      </c>
      <c r="I92" s="587">
        <v>420.89296000000098</v>
      </c>
      <c r="J92" s="588">
        <v>-167.81295611257801</v>
      </c>
      <c r="K92" s="591">
        <v>0.119157672356</v>
      </c>
    </row>
    <row r="93" spans="1:11" ht="14.4" customHeight="1" thickBot="1" x14ac:dyDescent="0.35">
      <c r="A93" s="608" t="s">
        <v>385</v>
      </c>
      <c r="B93" s="592">
        <v>12.271730137940001</v>
      </c>
      <c r="C93" s="592">
        <v>8.6930499999999995</v>
      </c>
      <c r="D93" s="593">
        <v>-3.5786801379400002</v>
      </c>
      <c r="E93" s="599">
        <v>0.70838014707600006</v>
      </c>
      <c r="F93" s="592">
        <v>3.474601526391</v>
      </c>
      <c r="G93" s="593">
        <v>0.57910025439799995</v>
      </c>
      <c r="H93" s="595">
        <v>0.41798999999999997</v>
      </c>
      <c r="I93" s="592">
        <v>0.95674000000000003</v>
      </c>
      <c r="J93" s="593">
        <v>0.377639745601</v>
      </c>
      <c r="K93" s="600">
        <v>0.275352437605</v>
      </c>
    </row>
    <row r="94" spans="1:11" ht="14.4" customHeight="1" thickBot="1" x14ac:dyDescent="0.35">
      <c r="A94" s="609" t="s">
        <v>386</v>
      </c>
      <c r="B94" s="587">
        <v>12.271730137940001</v>
      </c>
      <c r="C94" s="587">
        <v>8.6930499999999995</v>
      </c>
      <c r="D94" s="588">
        <v>-3.5786801379400002</v>
      </c>
      <c r="E94" s="589">
        <v>0.70838014707600006</v>
      </c>
      <c r="F94" s="587">
        <v>3.474601526391</v>
      </c>
      <c r="G94" s="588">
        <v>0.57910025439799995</v>
      </c>
      <c r="H94" s="590">
        <v>0.41798999999999997</v>
      </c>
      <c r="I94" s="587">
        <v>0.95674000000000003</v>
      </c>
      <c r="J94" s="588">
        <v>0.377639745601</v>
      </c>
      <c r="K94" s="591">
        <v>0.275352437605</v>
      </c>
    </row>
    <row r="95" spans="1:11" ht="14.4" customHeight="1" thickBot="1" x14ac:dyDescent="0.35">
      <c r="A95" s="608" t="s">
        <v>387</v>
      </c>
      <c r="B95" s="592">
        <v>27.582471724066</v>
      </c>
      <c r="C95" s="592">
        <v>33.558680000000003</v>
      </c>
      <c r="D95" s="593">
        <v>5.9762082759329997</v>
      </c>
      <c r="E95" s="599">
        <v>1.216666886699</v>
      </c>
      <c r="F95" s="592">
        <v>32.552276907215003</v>
      </c>
      <c r="G95" s="593">
        <v>5.4253794845350001</v>
      </c>
      <c r="H95" s="595">
        <v>2.28837</v>
      </c>
      <c r="I95" s="592">
        <v>4.7650699999999997</v>
      </c>
      <c r="J95" s="593">
        <v>-0.66030948453500005</v>
      </c>
      <c r="K95" s="600">
        <v>0.14638207992499999</v>
      </c>
    </row>
    <row r="96" spans="1:11" ht="14.4" customHeight="1" thickBot="1" x14ac:dyDescent="0.35">
      <c r="A96" s="609" t="s">
        <v>388</v>
      </c>
      <c r="B96" s="587">
        <v>7.9134212448539998</v>
      </c>
      <c r="C96" s="587">
        <v>12.342599999999999</v>
      </c>
      <c r="D96" s="588">
        <v>4.4291787551450001</v>
      </c>
      <c r="E96" s="589">
        <v>1.559704660992</v>
      </c>
      <c r="F96" s="587">
        <v>12.626309814516</v>
      </c>
      <c r="G96" s="588">
        <v>2.1043849690859999</v>
      </c>
      <c r="H96" s="590">
        <v>0.875</v>
      </c>
      <c r="I96" s="587">
        <v>1.7899</v>
      </c>
      <c r="J96" s="588">
        <v>-0.31448496908599999</v>
      </c>
      <c r="K96" s="591">
        <v>0.1417595502</v>
      </c>
    </row>
    <row r="97" spans="1:11" ht="14.4" customHeight="1" thickBot="1" x14ac:dyDescent="0.35">
      <c r="A97" s="609" t="s">
        <v>389</v>
      </c>
      <c r="B97" s="587">
        <v>19.669050479210998</v>
      </c>
      <c r="C97" s="587">
        <v>21.216080000000002</v>
      </c>
      <c r="D97" s="588">
        <v>1.547029520788</v>
      </c>
      <c r="E97" s="589">
        <v>1.078652984414</v>
      </c>
      <c r="F97" s="587">
        <v>19.925967092699</v>
      </c>
      <c r="G97" s="588">
        <v>3.3209945154490002</v>
      </c>
      <c r="H97" s="590">
        <v>1.41337</v>
      </c>
      <c r="I97" s="587">
        <v>2.9751699999999999</v>
      </c>
      <c r="J97" s="588">
        <v>-0.345824515449</v>
      </c>
      <c r="K97" s="591">
        <v>0.14931119709999999</v>
      </c>
    </row>
    <row r="98" spans="1:11" ht="14.4" customHeight="1" thickBot="1" x14ac:dyDescent="0.35">
      <c r="A98" s="608" t="s">
        <v>390</v>
      </c>
      <c r="B98" s="592">
        <v>84.353896711651004</v>
      </c>
      <c r="C98" s="592">
        <v>94.499219999999994</v>
      </c>
      <c r="D98" s="593">
        <v>10.145323288348999</v>
      </c>
      <c r="E98" s="599">
        <v>1.120270949936</v>
      </c>
      <c r="F98" s="592">
        <v>93.743327504522995</v>
      </c>
      <c r="G98" s="593">
        <v>15.623887917419999</v>
      </c>
      <c r="H98" s="595">
        <v>6.3950399999999998</v>
      </c>
      <c r="I98" s="592">
        <v>23.16376</v>
      </c>
      <c r="J98" s="593">
        <v>7.5398720825790004</v>
      </c>
      <c r="K98" s="600">
        <v>0.24709769342099999</v>
      </c>
    </row>
    <row r="99" spans="1:11" ht="14.4" customHeight="1" thickBot="1" x14ac:dyDescent="0.35">
      <c r="A99" s="609" t="s">
        <v>391</v>
      </c>
      <c r="B99" s="587">
        <v>45.389330413994003</v>
      </c>
      <c r="C99" s="587">
        <v>45.09</v>
      </c>
      <c r="D99" s="588">
        <v>-0.29933041399400001</v>
      </c>
      <c r="E99" s="589">
        <v>0.99340526922799999</v>
      </c>
      <c r="F99" s="587">
        <v>48.514100787582002</v>
      </c>
      <c r="G99" s="588">
        <v>8.0856834645970004</v>
      </c>
      <c r="H99" s="590">
        <v>4.9406564584124654E-324</v>
      </c>
      <c r="I99" s="587">
        <v>11.88</v>
      </c>
      <c r="J99" s="588">
        <v>3.7943165354019999</v>
      </c>
      <c r="K99" s="591">
        <v>0.24487725851100001</v>
      </c>
    </row>
    <row r="100" spans="1:11" ht="14.4" customHeight="1" thickBot="1" x14ac:dyDescent="0.35">
      <c r="A100" s="609" t="s">
        <v>392</v>
      </c>
      <c r="B100" s="587">
        <v>38.964566297655999</v>
      </c>
      <c r="C100" s="587">
        <v>49.409219999999998</v>
      </c>
      <c r="D100" s="588">
        <v>10.444653702343</v>
      </c>
      <c r="E100" s="589">
        <v>1.2680551766579999</v>
      </c>
      <c r="F100" s="587">
        <v>45.229226716941</v>
      </c>
      <c r="G100" s="588">
        <v>7.5382044528229999</v>
      </c>
      <c r="H100" s="590">
        <v>6.3950399999999998</v>
      </c>
      <c r="I100" s="587">
        <v>11.283759999999999</v>
      </c>
      <c r="J100" s="588">
        <v>3.745555547176</v>
      </c>
      <c r="K100" s="591">
        <v>0.24947939239799999</v>
      </c>
    </row>
    <row r="101" spans="1:11" ht="14.4" customHeight="1" thickBot="1" x14ac:dyDescent="0.35">
      <c r="A101" s="608" t="s">
        <v>393</v>
      </c>
      <c r="B101" s="592">
        <v>2223.7944276539401</v>
      </c>
      <c r="C101" s="592">
        <v>2303.3723199999999</v>
      </c>
      <c r="D101" s="593">
        <v>79.577892346057993</v>
      </c>
      <c r="E101" s="599">
        <v>1.035784734126</v>
      </c>
      <c r="F101" s="592">
        <v>2308.4294692030198</v>
      </c>
      <c r="G101" s="593">
        <v>384.73824486716899</v>
      </c>
      <c r="H101" s="595">
        <v>68.863590000000002</v>
      </c>
      <c r="I101" s="592">
        <v>264.17680000000098</v>
      </c>
      <c r="J101" s="593">
        <v>-120.561444867169</v>
      </c>
      <c r="K101" s="600">
        <v>0.114440056984</v>
      </c>
    </row>
    <row r="102" spans="1:11" ht="14.4" customHeight="1" thickBot="1" x14ac:dyDescent="0.35">
      <c r="A102" s="609" t="s">
        <v>394</v>
      </c>
      <c r="B102" s="587">
        <v>1378.0013992484801</v>
      </c>
      <c r="C102" s="587">
        <v>1436.74576</v>
      </c>
      <c r="D102" s="588">
        <v>58.744360751523999</v>
      </c>
      <c r="E102" s="589">
        <v>1.042630116909</v>
      </c>
      <c r="F102" s="587">
        <v>1433.3813727414899</v>
      </c>
      <c r="G102" s="588">
        <v>238.89689545691601</v>
      </c>
      <c r="H102" s="590">
        <v>4.9406564584124654E-324</v>
      </c>
      <c r="I102" s="587">
        <v>118.71991000000099</v>
      </c>
      <c r="J102" s="588">
        <v>-120.17698545691501</v>
      </c>
      <c r="K102" s="591">
        <v>8.2825068232000004E-2</v>
      </c>
    </row>
    <row r="103" spans="1:11" ht="14.4" customHeight="1" thickBot="1" x14ac:dyDescent="0.35">
      <c r="A103" s="609" t="s">
        <v>395</v>
      </c>
      <c r="B103" s="587">
        <v>1.0595010982199999</v>
      </c>
      <c r="C103" s="587">
        <v>1.089</v>
      </c>
      <c r="D103" s="588">
        <v>2.9498901779000001E-2</v>
      </c>
      <c r="E103" s="589">
        <v>1.027842256916</v>
      </c>
      <c r="F103" s="587">
        <v>0.93272939747200001</v>
      </c>
      <c r="G103" s="588">
        <v>0.15545489957799999</v>
      </c>
      <c r="H103" s="590">
        <v>4.9406564584124654E-324</v>
      </c>
      <c r="I103" s="587">
        <v>1.089</v>
      </c>
      <c r="J103" s="588">
        <v>0.93354510042100003</v>
      </c>
      <c r="K103" s="591">
        <v>1.1675412000000001</v>
      </c>
    </row>
    <row r="104" spans="1:11" ht="14.4" customHeight="1" thickBot="1" x14ac:dyDescent="0.35">
      <c r="A104" s="609" t="s">
        <v>396</v>
      </c>
      <c r="B104" s="587">
        <v>844.73352730724605</v>
      </c>
      <c r="C104" s="587">
        <v>865.53755999999998</v>
      </c>
      <c r="D104" s="588">
        <v>20.804032692753999</v>
      </c>
      <c r="E104" s="589">
        <v>1.024627923505</v>
      </c>
      <c r="F104" s="587">
        <v>874.11536706405104</v>
      </c>
      <c r="G104" s="588">
        <v>145.68589451067501</v>
      </c>
      <c r="H104" s="590">
        <v>68.863590000000002</v>
      </c>
      <c r="I104" s="587">
        <v>144.36788999999999</v>
      </c>
      <c r="J104" s="588">
        <v>-1.3180045106739999</v>
      </c>
      <c r="K104" s="591">
        <v>0.16515885138200001</v>
      </c>
    </row>
    <row r="105" spans="1:11" ht="14.4" customHeight="1" thickBot="1" x14ac:dyDescent="0.35">
      <c r="A105" s="608" t="s">
        <v>397</v>
      </c>
      <c r="B105" s="592">
        <v>1131.32881067365</v>
      </c>
      <c r="C105" s="592">
        <v>1068.9256700000001</v>
      </c>
      <c r="D105" s="593">
        <v>-62.403140673651997</v>
      </c>
      <c r="E105" s="599">
        <v>0.944840845486</v>
      </c>
      <c r="F105" s="592">
        <v>1094.0358215343299</v>
      </c>
      <c r="G105" s="593">
        <v>182.33930358905499</v>
      </c>
      <c r="H105" s="595">
        <v>40.692779999999999</v>
      </c>
      <c r="I105" s="592">
        <v>127.83059</v>
      </c>
      <c r="J105" s="593">
        <v>-54.508713589053997</v>
      </c>
      <c r="K105" s="600">
        <v>0.116843148536</v>
      </c>
    </row>
    <row r="106" spans="1:11" ht="14.4" customHeight="1" thickBot="1" x14ac:dyDescent="0.35">
      <c r="A106" s="609" t="s">
        <v>398</v>
      </c>
      <c r="B106" s="587">
        <v>45.058805072736</v>
      </c>
      <c r="C106" s="587">
        <v>32.173000000000002</v>
      </c>
      <c r="D106" s="588">
        <v>-12.885805072736</v>
      </c>
      <c r="E106" s="589">
        <v>0.71402248568399995</v>
      </c>
      <c r="F106" s="587">
        <v>33.019682143244999</v>
      </c>
      <c r="G106" s="588">
        <v>5.5032803572070002</v>
      </c>
      <c r="H106" s="590">
        <v>4.9406564584124654E-324</v>
      </c>
      <c r="I106" s="587">
        <v>9.8813129168249309E-324</v>
      </c>
      <c r="J106" s="588">
        <v>-5.5032803572070002</v>
      </c>
      <c r="K106" s="591">
        <v>0</v>
      </c>
    </row>
    <row r="107" spans="1:11" ht="14.4" customHeight="1" thickBot="1" x14ac:dyDescent="0.35">
      <c r="A107" s="609" t="s">
        <v>399</v>
      </c>
      <c r="B107" s="587">
        <v>736.35689333827895</v>
      </c>
      <c r="C107" s="587">
        <v>785.03179999999998</v>
      </c>
      <c r="D107" s="588">
        <v>48.674906661720001</v>
      </c>
      <c r="E107" s="589">
        <v>1.066102330408</v>
      </c>
      <c r="F107" s="587">
        <v>776.13233096052204</v>
      </c>
      <c r="G107" s="588">
        <v>129.35538849342001</v>
      </c>
      <c r="H107" s="590">
        <v>12.782500000000001</v>
      </c>
      <c r="I107" s="587">
        <v>99.920310000000001</v>
      </c>
      <c r="J107" s="588">
        <v>-29.435078493420001</v>
      </c>
      <c r="K107" s="591">
        <v>0.12874133187600001</v>
      </c>
    </row>
    <row r="108" spans="1:11" ht="14.4" customHeight="1" thickBot="1" x14ac:dyDescent="0.35">
      <c r="A108" s="609" t="s">
        <v>400</v>
      </c>
      <c r="B108" s="587">
        <v>4.997422284962</v>
      </c>
      <c r="C108" s="587">
        <v>2.4</v>
      </c>
      <c r="D108" s="588">
        <v>-2.5974222849620001</v>
      </c>
      <c r="E108" s="589">
        <v>0.480247588286</v>
      </c>
      <c r="F108" s="587">
        <v>7.0025509171840001</v>
      </c>
      <c r="G108" s="588">
        <v>1.16709181953</v>
      </c>
      <c r="H108" s="590">
        <v>1.663</v>
      </c>
      <c r="I108" s="587">
        <v>1.663</v>
      </c>
      <c r="J108" s="588">
        <v>0.49590818046899998</v>
      </c>
      <c r="K108" s="591">
        <v>0.237484885103</v>
      </c>
    </row>
    <row r="109" spans="1:11" ht="14.4" customHeight="1" thickBot="1" x14ac:dyDescent="0.35">
      <c r="A109" s="609" t="s">
        <v>401</v>
      </c>
      <c r="B109" s="587">
        <v>4.2977319948700003</v>
      </c>
      <c r="C109" s="587">
        <v>1.1615500000000001</v>
      </c>
      <c r="D109" s="588">
        <v>-3.1361819948699998</v>
      </c>
      <c r="E109" s="589">
        <v>0.27027045925299997</v>
      </c>
      <c r="F109" s="587">
        <v>1.097398444165</v>
      </c>
      <c r="G109" s="588">
        <v>0.182899740694</v>
      </c>
      <c r="H109" s="590">
        <v>0.78649999999999998</v>
      </c>
      <c r="I109" s="587">
        <v>0.78649999999999998</v>
      </c>
      <c r="J109" s="588">
        <v>0.60360025930500005</v>
      </c>
      <c r="K109" s="591">
        <v>0.71669502009999997</v>
      </c>
    </row>
    <row r="110" spans="1:11" ht="14.4" customHeight="1" thickBot="1" x14ac:dyDescent="0.35">
      <c r="A110" s="609" t="s">
        <v>402</v>
      </c>
      <c r="B110" s="587">
        <v>340.61795798280502</v>
      </c>
      <c r="C110" s="587">
        <v>248.15932000000001</v>
      </c>
      <c r="D110" s="588">
        <v>-92.458637982804007</v>
      </c>
      <c r="E110" s="589">
        <v>0.72855618496899999</v>
      </c>
      <c r="F110" s="587">
        <v>276.78385906921</v>
      </c>
      <c r="G110" s="588">
        <v>46.130643178200998</v>
      </c>
      <c r="H110" s="590">
        <v>25.46078</v>
      </c>
      <c r="I110" s="587">
        <v>25.46078</v>
      </c>
      <c r="J110" s="588">
        <v>-20.669863178200998</v>
      </c>
      <c r="K110" s="591">
        <v>9.1987950762000004E-2</v>
      </c>
    </row>
    <row r="111" spans="1:11" ht="14.4" customHeight="1" thickBot="1" x14ac:dyDescent="0.35">
      <c r="A111" s="608" t="s">
        <v>403</v>
      </c>
      <c r="B111" s="592">
        <v>4.9406564584124654E-324</v>
      </c>
      <c r="C111" s="592">
        <v>0.81649000000000005</v>
      </c>
      <c r="D111" s="593">
        <v>0.81649000000000005</v>
      </c>
      <c r="E111" s="594" t="s">
        <v>305</v>
      </c>
      <c r="F111" s="592">
        <v>0</v>
      </c>
      <c r="G111" s="593">
        <v>0</v>
      </c>
      <c r="H111" s="595">
        <v>4.9406564584124654E-324</v>
      </c>
      <c r="I111" s="592">
        <v>9.8813129168249309E-324</v>
      </c>
      <c r="J111" s="593">
        <v>9.8813129168249309E-324</v>
      </c>
      <c r="K111" s="596" t="s">
        <v>299</v>
      </c>
    </row>
    <row r="112" spans="1:11" ht="14.4" customHeight="1" thickBot="1" x14ac:dyDescent="0.35">
      <c r="A112" s="609" t="s">
        <v>404</v>
      </c>
      <c r="B112" s="587">
        <v>4.9406564584124654E-324</v>
      </c>
      <c r="C112" s="587">
        <v>0.81649000000000005</v>
      </c>
      <c r="D112" s="588">
        <v>0.81649000000000005</v>
      </c>
      <c r="E112" s="597" t="s">
        <v>305</v>
      </c>
      <c r="F112" s="587">
        <v>0</v>
      </c>
      <c r="G112" s="588">
        <v>0</v>
      </c>
      <c r="H112" s="590">
        <v>4.9406564584124654E-324</v>
      </c>
      <c r="I112" s="587">
        <v>9.8813129168249309E-324</v>
      </c>
      <c r="J112" s="588">
        <v>9.8813129168249309E-324</v>
      </c>
      <c r="K112" s="598" t="s">
        <v>299</v>
      </c>
    </row>
    <row r="113" spans="1:11" ht="14.4" customHeight="1" thickBot="1" x14ac:dyDescent="0.35">
      <c r="A113" s="606" t="s">
        <v>51</v>
      </c>
      <c r="B113" s="587">
        <v>60107.983750887601</v>
      </c>
      <c r="C113" s="587">
        <v>65413.357909999999</v>
      </c>
      <c r="D113" s="588">
        <v>5305.3741591124499</v>
      </c>
      <c r="E113" s="589">
        <v>1.088264051263</v>
      </c>
      <c r="F113" s="587">
        <v>66622</v>
      </c>
      <c r="G113" s="588">
        <v>11103.666666666701</v>
      </c>
      <c r="H113" s="590">
        <v>5084.4426400000002</v>
      </c>
      <c r="I113" s="587">
        <v>10542.07072</v>
      </c>
      <c r="J113" s="588">
        <v>-561.595946666641</v>
      </c>
      <c r="K113" s="591">
        <v>0.15823707964299999</v>
      </c>
    </row>
    <row r="114" spans="1:11" ht="14.4" customHeight="1" thickBot="1" x14ac:dyDescent="0.35">
      <c r="A114" s="612" t="s">
        <v>405</v>
      </c>
      <c r="B114" s="592">
        <v>44523.999999997599</v>
      </c>
      <c r="C114" s="592">
        <v>48848.237000000001</v>
      </c>
      <c r="D114" s="593">
        <v>4324.2370000024503</v>
      </c>
      <c r="E114" s="599">
        <v>1.097121485041</v>
      </c>
      <c r="F114" s="592">
        <v>49390</v>
      </c>
      <c r="G114" s="593">
        <v>8231.6666666666697</v>
      </c>
      <c r="H114" s="595">
        <v>3770.3249999999998</v>
      </c>
      <c r="I114" s="592">
        <v>7813.0160000000196</v>
      </c>
      <c r="J114" s="593">
        <v>-418.65066666664598</v>
      </c>
      <c r="K114" s="600">
        <v>0.158190240939</v>
      </c>
    </row>
    <row r="115" spans="1:11" ht="14.4" customHeight="1" thickBot="1" x14ac:dyDescent="0.35">
      <c r="A115" s="608" t="s">
        <v>406</v>
      </c>
      <c r="B115" s="592">
        <v>44523.999999997599</v>
      </c>
      <c r="C115" s="592">
        <v>48720.78</v>
      </c>
      <c r="D115" s="593">
        <v>4196.7800000024599</v>
      </c>
      <c r="E115" s="599">
        <v>1.0942588267</v>
      </c>
      <c r="F115" s="592">
        <v>49232</v>
      </c>
      <c r="G115" s="593">
        <v>8205.3333333333303</v>
      </c>
      <c r="H115" s="595">
        <v>3754.1750000000002</v>
      </c>
      <c r="I115" s="592">
        <v>7796.86600000002</v>
      </c>
      <c r="J115" s="593">
        <v>-408.467333333314</v>
      </c>
      <c r="K115" s="600">
        <v>0.158369881377</v>
      </c>
    </row>
    <row r="116" spans="1:11" ht="14.4" customHeight="1" thickBot="1" x14ac:dyDescent="0.35">
      <c r="A116" s="609" t="s">
        <v>407</v>
      </c>
      <c r="B116" s="587">
        <v>44523.999999997599</v>
      </c>
      <c r="C116" s="587">
        <v>48720.78</v>
      </c>
      <c r="D116" s="588">
        <v>4196.7800000024599</v>
      </c>
      <c r="E116" s="589">
        <v>1.0942588267</v>
      </c>
      <c r="F116" s="587">
        <v>49232</v>
      </c>
      <c r="G116" s="588">
        <v>8205.3333333333303</v>
      </c>
      <c r="H116" s="590">
        <v>3754.1750000000002</v>
      </c>
      <c r="I116" s="587">
        <v>7796.86600000002</v>
      </c>
      <c r="J116" s="588">
        <v>-408.467333333314</v>
      </c>
      <c r="K116" s="591">
        <v>0.158369881377</v>
      </c>
    </row>
    <row r="117" spans="1:11" ht="14.4" customHeight="1" thickBot="1" x14ac:dyDescent="0.35">
      <c r="A117" s="608" t="s">
        <v>408</v>
      </c>
      <c r="B117" s="592">
        <v>0</v>
      </c>
      <c r="C117" s="592">
        <v>127.45699999999999</v>
      </c>
      <c r="D117" s="593">
        <v>127.45699999999999</v>
      </c>
      <c r="E117" s="594" t="s">
        <v>299</v>
      </c>
      <c r="F117" s="592">
        <v>157.99999999999699</v>
      </c>
      <c r="G117" s="593">
        <v>26.333333333332</v>
      </c>
      <c r="H117" s="595">
        <v>16.149999999999999</v>
      </c>
      <c r="I117" s="592">
        <v>16.149999999999999</v>
      </c>
      <c r="J117" s="593">
        <v>-10.183333333332</v>
      </c>
      <c r="K117" s="600">
        <v>0.102215189873</v>
      </c>
    </row>
    <row r="118" spans="1:11" ht="14.4" customHeight="1" thickBot="1" x14ac:dyDescent="0.35">
      <c r="A118" s="609" t="s">
        <v>409</v>
      </c>
      <c r="B118" s="587">
        <v>0</v>
      </c>
      <c r="C118" s="587">
        <v>127.45699999999999</v>
      </c>
      <c r="D118" s="588">
        <v>127.45699999999999</v>
      </c>
      <c r="E118" s="597" t="s">
        <v>299</v>
      </c>
      <c r="F118" s="587">
        <v>157.99999999999699</v>
      </c>
      <c r="G118" s="588">
        <v>26.333333333332</v>
      </c>
      <c r="H118" s="590">
        <v>16.149999999999999</v>
      </c>
      <c r="I118" s="587">
        <v>16.149999999999999</v>
      </c>
      <c r="J118" s="588">
        <v>-10.183333333332</v>
      </c>
      <c r="K118" s="591">
        <v>0.102215189873</v>
      </c>
    </row>
    <row r="119" spans="1:11" ht="14.4" customHeight="1" thickBot="1" x14ac:dyDescent="0.35">
      <c r="A119" s="607" t="s">
        <v>410</v>
      </c>
      <c r="B119" s="587">
        <v>15138.98375089</v>
      </c>
      <c r="C119" s="587">
        <v>16076.63545</v>
      </c>
      <c r="D119" s="588">
        <v>937.65169910996201</v>
      </c>
      <c r="E119" s="589">
        <v>1.061936237896</v>
      </c>
      <c r="F119" s="587">
        <v>16740</v>
      </c>
      <c r="G119" s="588">
        <v>2790</v>
      </c>
      <c r="H119" s="590">
        <v>1276.4137499999999</v>
      </c>
      <c r="I119" s="587">
        <v>2650.9235000000099</v>
      </c>
      <c r="J119" s="588">
        <v>-139.07649999999299</v>
      </c>
      <c r="K119" s="591">
        <v>0.158358632019</v>
      </c>
    </row>
    <row r="120" spans="1:11" ht="14.4" customHeight="1" thickBot="1" x14ac:dyDescent="0.35">
      <c r="A120" s="608" t="s">
        <v>411</v>
      </c>
      <c r="B120" s="592">
        <v>4006.9999691584499</v>
      </c>
      <c r="C120" s="592">
        <v>4384.8842699999996</v>
      </c>
      <c r="D120" s="593">
        <v>377.884300841548</v>
      </c>
      <c r="E120" s="599">
        <v>1.0943060403660001</v>
      </c>
      <c r="F120" s="592">
        <v>4431</v>
      </c>
      <c r="G120" s="593">
        <v>738.5</v>
      </c>
      <c r="H120" s="595">
        <v>337.87</v>
      </c>
      <c r="I120" s="592">
        <v>701.70700000000204</v>
      </c>
      <c r="J120" s="593">
        <v>-36.792999999998003</v>
      </c>
      <c r="K120" s="600">
        <v>0.15836312344799999</v>
      </c>
    </row>
    <row r="121" spans="1:11" ht="14.4" customHeight="1" thickBot="1" x14ac:dyDescent="0.35">
      <c r="A121" s="609" t="s">
        <v>412</v>
      </c>
      <c r="B121" s="587">
        <v>4006.9999691584499</v>
      </c>
      <c r="C121" s="587">
        <v>4384.8842699999996</v>
      </c>
      <c r="D121" s="588">
        <v>377.884300841548</v>
      </c>
      <c r="E121" s="589">
        <v>1.0943060403660001</v>
      </c>
      <c r="F121" s="587">
        <v>4431</v>
      </c>
      <c r="G121" s="588">
        <v>738.5</v>
      </c>
      <c r="H121" s="590">
        <v>337.87</v>
      </c>
      <c r="I121" s="587">
        <v>701.70700000000204</v>
      </c>
      <c r="J121" s="588">
        <v>-36.792999999998003</v>
      </c>
      <c r="K121" s="591">
        <v>0.15836312344799999</v>
      </c>
    </row>
    <row r="122" spans="1:11" ht="14.4" customHeight="1" thickBot="1" x14ac:dyDescent="0.35">
      <c r="A122" s="608" t="s">
        <v>413</v>
      </c>
      <c r="B122" s="592">
        <v>11131.9837817316</v>
      </c>
      <c r="C122" s="592">
        <v>11691.751179999999</v>
      </c>
      <c r="D122" s="593">
        <v>559.76739826841197</v>
      </c>
      <c r="E122" s="599">
        <v>1.050284604185</v>
      </c>
      <c r="F122" s="592">
        <v>12309</v>
      </c>
      <c r="G122" s="593">
        <v>2051.5</v>
      </c>
      <c r="H122" s="595">
        <v>938.54375000000005</v>
      </c>
      <c r="I122" s="592">
        <v>1949.21650000001</v>
      </c>
      <c r="J122" s="593">
        <v>-102.283499999995</v>
      </c>
      <c r="K122" s="600">
        <v>0.15835701519199999</v>
      </c>
    </row>
    <row r="123" spans="1:11" ht="14.4" customHeight="1" thickBot="1" x14ac:dyDescent="0.35">
      <c r="A123" s="609" t="s">
        <v>414</v>
      </c>
      <c r="B123" s="587">
        <v>11131.9837817316</v>
      </c>
      <c r="C123" s="587">
        <v>11691.751179999999</v>
      </c>
      <c r="D123" s="588">
        <v>559.76739826841197</v>
      </c>
      <c r="E123" s="589">
        <v>1.050284604185</v>
      </c>
      <c r="F123" s="587">
        <v>12309</v>
      </c>
      <c r="G123" s="588">
        <v>2051.5</v>
      </c>
      <c r="H123" s="590">
        <v>938.54375000000005</v>
      </c>
      <c r="I123" s="587">
        <v>1949.21650000001</v>
      </c>
      <c r="J123" s="588">
        <v>-102.283499999995</v>
      </c>
      <c r="K123" s="591">
        <v>0.15835701519199999</v>
      </c>
    </row>
    <row r="124" spans="1:11" ht="14.4" customHeight="1" thickBot="1" x14ac:dyDescent="0.35">
      <c r="A124" s="607" t="s">
        <v>415</v>
      </c>
      <c r="B124" s="587">
        <v>444.99999999997601</v>
      </c>
      <c r="C124" s="587">
        <v>488.48545999999999</v>
      </c>
      <c r="D124" s="588">
        <v>43.485460000023998</v>
      </c>
      <c r="E124" s="589">
        <v>1.0977201348309999</v>
      </c>
      <c r="F124" s="587">
        <v>492</v>
      </c>
      <c r="G124" s="588">
        <v>82</v>
      </c>
      <c r="H124" s="590">
        <v>37.703890000000001</v>
      </c>
      <c r="I124" s="587">
        <v>78.131219999999999</v>
      </c>
      <c r="J124" s="588">
        <v>-3.868779999999</v>
      </c>
      <c r="K124" s="591">
        <v>0.158803292682</v>
      </c>
    </row>
    <row r="125" spans="1:11" ht="14.4" customHeight="1" thickBot="1" x14ac:dyDescent="0.35">
      <c r="A125" s="608" t="s">
        <v>416</v>
      </c>
      <c r="B125" s="592">
        <v>444.99999999997601</v>
      </c>
      <c r="C125" s="592">
        <v>488.48545999999999</v>
      </c>
      <c r="D125" s="593">
        <v>43.485460000023998</v>
      </c>
      <c r="E125" s="599">
        <v>1.0977201348309999</v>
      </c>
      <c r="F125" s="592">
        <v>492</v>
      </c>
      <c r="G125" s="593">
        <v>82</v>
      </c>
      <c r="H125" s="595">
        <v>37.703890000000001</v>
      </c>
      <c r="I125" s="592">
        <v>78.131219999999999</v>
      </c>
      <c r="J125" s="593">
        <v>-3.868779999999</v>
      </c>
      <c r="K125" s="600">
        <v>0.158803292682</v>
      </c>
    </row>
    <row r="126" spans="1:11" ht="14.4" customHeight="1" thickBot="1" x14ac:dyDescent="0.35">
      <c r="A126" s="609" t="s">
        <v>417</v>
      </c>
      <c r="B126" s="587">
        <v>444.99999999997601</v>
      </c>
      <c r="C126" s="587">
        <v>488.48545999999999</v>
      </c>
      <c r="D126" s="588">
        <v>43.485460000023998</v>
      </c>
      <c r="E126" s="589">
        <v>1.0977201348309999</v>
      </c>
      <c r="F126" s="587">
        <v>492</v>
      </c>
      <c r="G126" s="588">
        <v>82</v>
      </c>
      <c r="H126" s="590">
        <v>37.703890000000001</v>
      </c>
      <c r="I126" s="587">
        <v>78.131219999999999</v>
      </c>
      <c r="J126" s="588">
        <v>-3.868779999999</v>
      </c>
      <c r="K126" s="591">
        <v>0.158803292682</v>
      </c>
    </row>
    <row r="127" spans="1:11" ht="14.4" customHeight="1" thickBot="1" x14ac:dyDescent="0.35">
      <c r="A127" s="606" t="s">
        <v>418</v>
      </c>
      <c r="B127" s="587">
        <v>0</v>
      </c>
      <c r="C127" s="587">
        <v>136.10427999999999</v>
      </c>
      <c r="D127" s="588">
        <v>136.10427999999999</v>
      </c>
      <c r="E127" s="597" t="s">
        <v>299</v>
      </c>
      <c r="F127" s="587">
        <v>0</v>
      </c>
      <c r="G127" s="588">
        <v>0</v>
      </c>
      <c r="H127" s="590">
        <v>4.9406564584124654E-324</v>
      </c>
      <c r="I127" s="587">
        <v>33.106000000000002</v>
      </c>
      <c r="J127" s="588">
        <v>33.106000000000002</v>
      </c>
      <c r="K127" s="598" t="s">
        <v>299</v>
      </c>
    </row>
    <row r="128" spans="1:11" ht="14.4" customHeight="1" thickBot="1" x14ac:dyDescent="0.35">
      <c r="A128" s="607" t="s">
        <v>419</v>
      </c>
      <c r="B128" s="587">
        <v>4.9406564584124654E-324</v>
      </c>
      <c r="C128" s="587">
        <v>21.228999999999999</v>
      </c>
      <c r="D128" s="588">
        <v>21.228999999999999</v>
      </c>
      <c r="E128" s="597" t="s">
        <v>305</v>
      </c>
      <c r="F128" s="587">
        <v>0</v>
      </c>
      <c r="G128" s="588">
        <v>0</v>
      </c>
      <c r="H128" s="590">
        <v>4.9406564584124654E-324</v>
      </c>
      <c r="I128" s="587">
        <v>9.8813129168249309E-324</v>
      </c>
      <c r="J128" s="588">
        <v>9.8813129168249309E-324</v>
      </c>
      <c r="K128" s="598" t="s">
        <v>299</v>
      </c>
    </row>
    <row r="129" spans="1:11" ht="14.4" customHeight="1" thickBot="1" x14ac:dyDescent="0.35">
      <c r="A129" s="608" t="s">
        <v>420</v>
      </c>
      <c r="B129" s="592">
        <v>4.9406564584124654E-324</v>
      </c>
      <c r="C129" s="592">
        <v>21.228999999999999</v>
      </c>
      <c r="D129" s="593">
        <v>21.228999999999999</v>
      </c>
      <c r="E129" s="594" t="s">
        <v>305</v>
      </c>
      <c r="F129" s="592">
        <v>0</v>
      </c>
      <c r="G129" s="593">
        <v>0</v>
      </c>
      <c r="H129" s="595">
        <v>4.9406564584124654E-324</v>
      </c>
      <c r="I129" s="592">
        <v>9.8813129168249309E-324</v>
      </c>
      <c r="J129" s="593">
        <v>9.8813129168249309E-324</v>
      </c>
      <c r="K129" s="596" t="s">
        <v>299</v>
      </c>
    </row>
    <row r="130" spans="1:11" ht="14.4" customHeight="1" thickBot="1" x14ac:dyDescent="0.35">
      <c r="A130" s="609" t="s">
        <v>421</v>
      </c>
      <c r="B130" s="587">
        <v>4.9406564584124654E-324</v>
      </c>
      <c r="C130" s="587">
        <v>21.228999999999999</v>
      </c>
      <c r="D130" s="588">
        <v>21.228999999999999</v>
      </c>
      <c r="E130" s="597" t="s">
        <v>305</v>
      </c>
      <c r="F130" s="587">
        <v>0</v>
      </c>
      <c r="G130" s="588">
        <v>0</v>
      </c>
      <c r="H130" s="590">
        <v>4.9406564584124654E-324</v>
      </c>
      <c r="I130" s="587">
        <v>9.8813129168249309E-324</v>
      </c>
      <c r="J130" s="588">
        <v>9.8813129168249309E-324</v>
      </c>
      <c r="K130" s="598" t="s">
        <v>299</v>
      </c>
    </row>
    <row r="131" spans="1:11" ht="14.4" customHeight="1" thickBot="1" x14ac:dyDescent="0.35">
      <c r="A131" s="607" t="s">
        <v>422</v>
      </c>
      <c r="B131" s="587">
        <v>0</v>
      </c>
      <c r="C131" s="587">
        <v>114.87528</v>
      </c>
      <c r="D131" s="588">
        <v>114.87528</v>
      </c>
      <c r="E131" s="597" t="s">
        <v>299</v>
      </c>
      <c r="F131" s="587">
        <v>0</v>
      </c>
      <c r="G131" s="588">
        <v>0</v>
      </c>
      <c r="H131" s="590">
        <v>4.9406564584124654E-324</v>
      </c>
      <c r="I131" s="587">
        <v>33.106000000000002</v>
      </c>
      <c r="J131" s="588">
        <v>33.106000000000002</v>
      </c>
      <c r="K131" s="598" t="s">
        <v>299</v>
      </c>
    </row>
    <row r="132" spans="1:11" ht="14.4" customHeight="1" thickBot="1" x14ac:dyDescent="0.35">
      <c r="A132" s="608" t="s">
        <v>423</v>
      </c>
      <c r="B132" s="592">
        <v>0</v>
      </c>
      <c r="C132" s="592">
        <v>90.439279999999997</v>
      </c>
      <c r="D132" s="593">
        <v>90.439279999999997</v>
      </c>
      <c r="E132" s="594" t="s">
        <v>299</v>
      </c>
      <c r="F132" s="592">
        <v>0</v>
      </c>
      <c r="G132" s="593">
        <v>0</v>
      </c>
      <c r="H132" s="595">
        <v>4.9406564584124654E-324</v>
      </c>
      <c r="I132" s="592">
        <v>28.306000000000001</v>
      </c>
      <c r="J132" s="593">
        <v>28.306000000000001</v>
      </c>
      <c r="K132" s="596" t="s">
        <v>299</v>
      </c>
    </row>
    <row r="133" spans="1:11" ht="14.4" customHeight="1" thickBot="1" x14ac:dyDescent="0.35">
      <c r="A133" s="609" t="s">
        <v>424</v>
      </c>
      <c r="B133" s="587">
        <v>0</v>
      </c>
      <c r="C133" s="587">
        <v>3.6615000000000002</v>
      </c>
      <c r="D133" s="588">
        <v>3.6615000000000002</v>
      </c>
      <c r="E133" s="597" t="s">
        <v>299</v>
      </c>
      <c r="F133" s="587">
        <v>0</v>
      </c>
      <c r="G133" s="588">
        <v>0</v>
      </c>
      <c r="H133" s="590">
        <v>4.9406564584124654E-324</v>
      </c>
      <c r="I133" s="587">
        <v>9.8813129168249309E-324</v>
      </c>
      <c r="J133" s="588">
        <v>9.8813129168249309E-324</v>
      </c>
      <c r="K133" s="598" t="s">
        <v>299</v>
      </c>
    </row>
    <row r="134" spans="1:11" ht="14.4" customHeight="1" thickBot="1" x14ac:dyDescent="0.35">
      <c r="A134" s="609" t="s">
        <v>425</v>
      </c>
      <c r="B134" s="587">
        <v>4.9406564584124654E-324</v>
      </c>
      <c r="C134" s="587">
        <v>18.149999999999999</v>
      </c>
      <c r="D134" s="588">
        <v>18.149999999999999</v>
      </c>
      <c r="E134" s="597" t="s">
        <v>305</v>
      </c>
      <c r="F134" s="587">
        <v>0</v>
      </c>
      <c r="G134" s="588">
        <v>0</v>
      </c>
      <c r="H134" s="590">
        <v>4.9406564584124654E-324</v>
      </c>
      <c r="I134" s="587">
        <v>9.8813129168249309E-324</v>
      </c>
      <c r="J134" s="588">
        <v>9.8813129168249309E-324</v>
      </c>
      <c r="K134" s="598" t="s">
        <v>299</v>
      </c>
    </row>
    <row r="135" spans="1:11" ht="14.4" customHeight="1" thickBot="1" x14ac:dyDescent="0.35">
      <c r="A135" s="609" t="s">
        <v>426</v>
      </c>
      <c r="B135" s="587">
        <v>0</v>
      </c>
      <c r="C135" s="587">
        <v>68.527780000000007</v>
      </c>
      <c r="D135" s="588">
        <v>68.527780000000007</v>
      </c>
      <c r="E135" s="597" t="s">
        <v>299</v>
      </c>
      <c r="F135" s="587">
        <v>0</v>
      </c>
      <c r="G135" s="588">
        <v>0</v>
      </c>
      <c r="H135" s="590">
        <v>4.9406564584124654E-324</v>
      </c>
      <c r="I135" s="587">
        <v>28.306000000000001</v>
      </c>
      <c r="J135" s="588">
        <v>28.306000000000001</v>
      </c>
      <c r="K135" s="598" t="s">
        <v>299</v>
      </c>
    </row>
    <row r="136" spans="1:11" ht="14.4" customHeight="1" thickBot="1" x14ac:dyDescent="0.35">
      <c r="A136" s="609" t="s">
        <v>427</v>
      </c>
      <c r="B136" s="587">
        <v>4.9406564584124654E-324</v>
      </c>
      <c r="C136" s="587">
        <v>9.9999999999E-2</v>
      </c>
      <c r="D136" s="588">
        <v>9.9999999999E-2</v>
      </c>
      <c r="E136" s="597" t="s">
        <v>305</v>
      </c>
      <c r="F136" s="587">
        <v>0</v>
      </c>
      <c r="G136" s="588">
        <v>0</v>
      </c>
      <c r="H136" s="590">
        <v>4.9406564584124654E-324</v>
      </c>
      <c r="I136" s="587">
        <v>9.8813129168249309E-324</v>
      </c>
      <c r="J136" s="588">
        <v>9.8813129168249309E-324</v>
      </c>
      <c r="K136" s="598" t="s">
        <v>299</v>
      </c>
    </row>
    <row r="137" spans="1:11" ht="14.4" customHeight="1" thickBot="1" x14ac:dyDescent="0.35">
      <c r="A137" s="611" t="s">
        <v>428</v>
      </c>
      <c r="B137" s="587">
        <v>0</v>
      </c>
      <c r="C137" s="587">
        <v>17.600000000000001</v>
      </c>
      <c r="D137" s="588">
        <v>17.600000000000001</v>
      </c>
      <c r="E137" s="597" t="s">
        <v>299</v>
      </c>
      <c r="F137" s="587">
        <v>0</v>
      </c>
      <c r="G137" s="588">
        <v>0</v>
      </c>
      <c r="H137" s="590">
        <v>4.9406564584124654E-324</v>
      </c>
      <c r="I137" s="587">
        <v>2.4</v>
      </c>
      <c r="J137" s="588">
        <v>2.4</v>
      </c>
      <c r="K137" s="598" t="s">
        <v>299</v>
      </c>
    </row>
    <row r="138" spans="1:11" ht="14.4" customHeight="1" thickBot="1" x14ac:dyDescent="0.35">
      <c r="A138" s="609" t="s">
        <v>429</v>
      </c>
      <c r="B138" s="587">
        <v>0</v>
      </c>
      <c r="C138" s="587">
        <v>17.600000000000001</v>
      </c>
      <c r="D138" s="588">
        <v>17.600000000000001</v>
      </c>
      <c r="E138" s="597" t="s">
        <v>299</v>
      </c>
      <c r="F138" s="587">
        <v>0</v>
      </c>
      <c r="G138" s="588">
        <v>0</v>
      </c>
      <c r="H138" s="590">
        <v>4.9406564584124654E-324</v>
      </c>
      <c r="I138" s="587">
        <v>2.4</v>
      </c>
      <c r="J138" s="588">
        <v>2.4</v>
      </c>
      <c r="K138" s="598" t="s">
        <v>299</v>
      </c>
    </row>
    <row r="139" spans="1:11" ht="14.4" customHeight="1" thickBot="1" x14ac:dyDescent="0.35">
      <c r="A139" s="611" t="s">
        <v>430</v>
      </c>
      <c r="B139" s="587">
        <v>0</v>
      </c>
      <c r="C139" s="587">
        <v>6.05</v>
      </c>
      <c r="D139" s="588">
        <v>6.05</v>
      </c>
      <c r="E139" s="597" t="s">
        <v>299</v>
      </c>
      <c r="F139" s="587">
        <v>0</v>
      </c>
      <c r="G139" s="588">
        <v>0</v>
      </c>
      <c r="H139" s="590">
        <v>4.9406564584124654E-324</v>
      </c>
      <c r="I139" s="587">
        <v>2.4</v>
      </c>
      <c r="J139" s="588">
        <v>2.4</v>
      </c>
      <c r="K139" s="598" t="s">
        <v>299</v>
      </c>
    </row>
    <row r="140" spans="1:11" ht="14.4" customHeight="1" thickBot="1" x14ac:dyDescent="0.35">
      <c r="A140" s="609" t="s">
        <v>431</v>
      </c>
      <c r="B140" s="587">
        <v>0</v>
      </c>
      <c r="C140" s="587">
        <v>6.05</v>
      </c>
      <c r="D140" s="588">
        <v>6.05</v>
      </c>
      <c r="E140" s="597" t="s">
        <v>299</v>
      </c>
      <c r="F140" s="587">
        <v>0</v>
      </c>
      <c r="G140" s="588">
        <v>0</v>
      </c>
      <c r="H140" s="590">
        <v>4.9406564584124654E-324</v>
      </c>
      <c r="I140" s="587">
        <v>2.4</v>
      </c>
      <c r="J140" s="588">
        <v>2.4</v>
      </c>
      <c r="K140" s="598" t="s">
        <v>299</v>
      </c>
    </row>
    <row r="141" spans="1:11" ht="14.4" customHeight="1" thickBot="1" x14ac:dyDescent="0.35">
      <c r="A141" s="611" t="s">
        <v>432</v>
      </c>
      <c r="B141" s="587">
        <v>4.9406564584124654E-324</v>
      </c>
      <c r="C141" s="587">
        <v>0.78600000000000003</v>
      </c>
      <c r="D141" s="588">
        <v>0.78600000000000003</v>
      </c>
      <c r="E141" s="597" t="s">
        <v>305</v>
      </c>
      <c r="F141" s="587">
        <v>0</v>
      </c>
      <c r="G141" s="588">
        <v>0</v>
      </c>
      <c r="H141" s="590">
        <v>4.9406564584124654E-324</v>
      </c>
      <c r="I141" s="587">
        <v>9.8813129168249309E-324</v>
      </c>
      <c r="J141" s="588">
        <v>9.8813129168249309E-324</v>
      </c>
      <c r="K141" s="598" t="s">
        <v>299</v>
      </c>
    </row>
    <row r="142" spans="1:11" ht="14.4" customHeight="1" thickBot="1" x14ac:dyDescent="0.35">
      <c r="A142" s="609" t="s">
        <v>433</v>
      </c>
      <c r="B142" s="587">
        <v>4.9406564584124654E-324</v>
      </c>
      <c r="C142" s="587">
        <v>0.78600000000000003</v>
      </c>
      <c r="D142" s="588">
        <v>0.78600000000000003</v>
      </c>
      <c r="E142" s="597" t="s">
        <v>305</v>
      </c>
      <c r="F142" s="587">
        <v>0</v>
      </c>
      <c r="G142" s="588">
        <v>0</v>
      </c>
      <c r="H142" s="590">
        <v>4.9406564584124654E-324</v>
      </c>
      <c r="I142" s="587">
        <v>9.8813129168249309E-324</v>
      </c>
      <c r="J142" s="588">
        <v>9.8813129168249309E-324</v>
      </c>
      <c r="K142" s="598" t="s">
        <v>299</v>
      </c>
    </row>
    <row r="143" spans="1:11" ht="14.4" customHeight="1" thickBot="1" x14ac:dyDescent="0.35">
      <c r="A143" s="606" t="s">
        <v>434</v>
      </c>
      <c r="B143" s="587">
        <v>9907.9999999994598</v>
      </c>
      <c r="C143" s="587">
        <v>10344.591619999999</v>
      </c>
      <c r="D143" s="588">
        <v>436.59162000054903</v>
      </c>
      <c r="E143" s="589">
        <v>1.044064555914</v>
      </c>
      <c r="F143" s="587">
        <v>8264.1017727710096</v>
      </c>
      <c r="G143" s="588">
        <v>1377.35029546183</v>
      </c>
      <c r="H143" s="590">
        <v>800.56700000000001</v>
      </c>
      <c r="I143" s="587">
        <v>1601.1410000000001</v>
      </c>
      <c r="J143" s="588">
        <v>223.790704538169</v>
      </c>
      <c r="K143" s="591">
        <v>0.19374652491200001</v>
      </c>
    </row>
    <row r="144" spans="1:11" ht="14.4" customHeight="1" thickBot="1" x14ac:dyDescent="0.35">
      <c r="A144" s="607" t="s">
        <v>435</v>
      </c>
      <c r="B144" s="587">
        <v>9907.9999999994598</v>
      </c>
      <c r="C144" s="587">
        <v>9345.0540000000001</v>
      </c>
      <c r="D144" s="588">
        <v>-562.94599999945399</v>
      </c>
      <c r="E144" s="589">
        <v>0.94318268066199995</v>
      </c>
      <c r="F144" s="587">
        <v>8264.1017727710096</v>
      </c>
      <c r="G144" s="588">
        <v>1377.35029546183</v>
      </c>
      <c r="H144" s="590">
        <v>800.56700000000001</v>
      </c>
      <c r="I144" s="587">
        <v>1601.1410000000001</v>
      </c>
      <c r="J144" s="588">
        <v>223.790704538169</v>
      </c>
      <c r="K144" s="591">
        <v>0.19374652491200001</v>
      </c>
    </row>
    <row r="145" spans="1:11" ht="14.4" customHeight="1" thickBot="1" x14ac:dyDescent="0.35">
      <c r="A145" s="608" t="s">
        <v>436</v>
      </c>
      <c r="B145" s="592">
        <v>9907.9999999994598</v>
      </c>
      <c r="C145" s="592">
        <v>9096.7970000000005</v>
      </c>
      <c r="D145" s="593">
        <v>-811.20299999945405</v>
      </c>
      <c r="E145" s="599">
        <v>0.91812646346299998</v>
      </c>
      <c r="F145" s="592">
        <v>8264.1017727710096</v>
      </c>
      <c r="G145" s="593">
        <v>1377.35029546183</v>
      </c>
      <c r="H145" s="595">
        <v>800.56700000000001</v>
      </c>
      <c r="I145" s="592">
        <v>1601.1410000000001</v>
      </c>
      <c r="J145" s="593">
        <v>223.790704538169</v>
      </c>
      <c r="K145" s="600">
        <v>0.19374652491200001</v>
      </c>
    </row>
    <row r="146" spans="1:11" ht="14.4" customHeight="1" thickBot="1" x14ac:dyDescent="0.35">
      <c r="A146" s="609" t="s">
        <v>437</v>
      </c>
      <c r="B146" s="587">
        <v>224.99999999998801</v>
      </c>
      <c r="C146" s="587">
        <v>179.68899999999999</v>
      </c>
      <c r="D146" s="588">
        <v>-45.310999999986997</v>
      </c>
      <c r="E146" s="589">
        <v>0.79861777777700005</v>
      </c>
      <c r="F146" s="587">
        <v>168.993285667446</v>
      </c>
      <c r="G146" s="588">
        <v>28.165547611240001</v>
      </c>
      <c r="H146" s="590">
        <v>14.106</v>
      </c>
      <c r="I146" s="587">
        <v>28.212</v>
      </c>
      <c r="J146" s="588">
        <v>4.6452388758999999E-2</v>
      </c>
      <c r="K146" s="591">
        <v>0.166941543793</v>
      </c>
    </row>
    <row r="147" spans="1:11" ht="14.4" customHeight="1" thickBot="1" x14ac:dyDescent="0.35">
      <c r="A147" s="609" t="s">
        <v>438</v>
      </c>
      <c r="B147" s="587">
        <v>3585.9999999997999</v>
      </c>
      <c r="C147" s="587">
        <v>3236.855</v>
      </c>
      <c r="D147" s="588">
        <v>-349.14499999980302</v>
      </c>
      <c r="E147" s="589">
        <v>0.90263664249800002</v>
      </c>
      <c r="F147" s="587">
        <v>2068.99999999996</v>
      </c>
      <c r="G147" s="588">
        <v>344.833333333327</v>
      </c>
      <c r="H147" s="590">
        <v>268.46499999999997</v>
      </c>
      <c r="I147" s="587">
        <v>536.93300000000102</v>
      </c>
      <c r="J147" s="588">
        <v>192.09966666667401</v>
      </c>
      <c r="K147" s="591">
        <v>0.25951329144500002</v>
      </c>
    </row>
    <row r="148" spans="1:11" ht="14.4" customHeight="1" thickBot="1" x14ac:dyDescent="0.35">
      <c r="A148" s="609" t="s">
        <v>439</v>
      </c>
      <c r="B148" s="587">
        <v>4.9406564584124654E-324</v>
      </c>
      <c r="C148" s="587">
        <v>1.1399999999999999</v>
      </c>
      <c r="D148" s="588">
        <v>1.1399999999999999</v>
      </c>
      <c r="E148" s="597" t="s">
        <v>305</v>
      </c>
      <c r="F148" s="587">
        <v>3.1223446848490002</v>
      </c>
      <c r="G148" s="588">
        <v>0.52039078080800005</v>
      </c>
      <c r="H148" s="590">
        <v>0.38</v>
      </c>
      <c r="I148" s="587">
        <v>0.76</v>
      </c>
      <c r="J148" s="588">
        <v>0.23960921919100001</v>
      </c>
      <c r="K148" s="591">
        <v>0.24340682298300001</v>
      </c>
    </row>
    <row r="149" spans="1:11" ht="14.4" customHeight="1" thickBot="1" x14ac:dyDescent="0.35">
      <c r="A149" s="609" t="s">
        <v>440</v>
      </c>
      <c r="B149" s="587">
        <v>1330.99999999993</v>
      </c>
      <c r="C149" s="587">
        <v>1173.2940000000001</v>
      </c>
      <c r="D149" s="588">
        <v>-157.705999999927</v>
      </c>
      <c r="E149" s="589">
        <v>0.88151314800900005</v>
      </c>
      <c r="F149" s="587">
        <v>1124.98614241884</v>
      </c>
      <c r="G149" s="588">
        <v>187.49769040314001</v>
      </c>
      <c r="H149" s="590">
        <v>93.807000000000002</v>
      </c>
      <c r="I149" s="587">
        <v>187.614</v>
      </c>
      <c r="J149" s="588">
        <v>0.11630959686</v>
      </c>
      <c r="K149" s="591">
        <v>0.16677005424800001</v>
      </c>
    </row>
    <row r="150" spans="1:11" ht="14.4" customHeight="1" thickBot="1" x14ac:dyDescent="0.35">
      <c r="A150" s="609" t="s">
        <v>441</v>
      </c>
      <c r="B150" s="587">
        <v>4553.9999999997499</v>
      </c>
      <c r="C150" s="587">
        <v>4293.277</v>
      </c>
      <c r="D150" s="588">
        <v>-260.72299999974899</v>
      </c>
      <c r="E150" s="589">
        <v>0.94274857268300005</v>
      </c>
      <c r="F150" s="587">
        <v>4682.99999999992</v>
      </c>
      <c r="G150" s="588">
        <v>780.49999999998602</v>
      </c>
      <c r="H150" s="590">
        <v>405.89299999999997</v>
      </c>
      <c r="I150" s="587">
        <v>811.78600000000199</v>
      </c>
      <c r="J150" s="588">
        <v>31.286000000015999</v>
      </c>
      <c r="K150" s="591">
        <v>0.173347426863</v>
      </c>
    </row>
    <row r="151" spans="1:11" ht="14.4" customHeight="1" thickBot="1" x14ac:dyDescent="0.35">
      <c r="A151" s="609" t="s">
        <v>442</v>
      </c>
      <c r="B151" s="587">
        <v>211.99999999998801</v>
      </c>
      <c r="C151" s="587">
        <v>212.542</v>
      </c>
      <c r="D151" s="588">
        <v>0.54200000001100002</v>
      </c>
      <c r="E151" s="589">
        <v>1.002556603773</v>
      </c>
      <c r="F151" s="587">
        <v>214.99999999999599</v>
      </c>
      <c r="G151" s="588">
        <v>35.833333333332</v>
      </c>
      <c r="H151" s="590">
        <v>17.916</v>
      </c>
      <c r="I151" s="587">
        <v>35.835999999999999</v>
      </c>
      <c r="J151" s="588">
        <v>2.6666666670000002E-3</v>
      </c>
      <c r="K151" s="591">
        <v>0.166679069767</v>
      </c>
    </row>
    <row r="152" spans="1:11" ht="14.4" customHeight="1" thickBot="1" x14ac:dyDescent="0.35">
      <c r="A152" s="608" t="s">
        <v>443</v>
      </c>
      <c r="B152" s="592">
        <v>4.9406564584124654E-324</v>
      </c>
      <c r="C152" s="592">
        <v>248.25700000000001</v>
      </c>
      <c r="D152" s="593">
        <v>248.25700000000001</v>
      </c>
      <c r="E152" s="594" t="s">
        <v>305</v>
      </c>
      <c r="F152" s="592">
        <v>0</v>
      </c>
      <c r="G152" s="593">
        <v>0</v>
      </c>
      <c r="H152" s="595">
        <v>4.9406564584124654E-324</v>
      </c>
      <c r="I152" s="592">
        <v>9.8813129168249309E-324</v>
      </c>
      <c r="J152" s="593">
        <v>9.8813129168249309E-324</v>
      </c>
      <c r="K152" s="596" t="s">
        <v>299</v>
      </c>
    </row>
    <row r="153" spans="1:11" ht="14.4" customHeight="1" thickBot="1" x14ac:dyDescent="0.35">
      <c r="A153" s="609" t="s">
        <v>444</v>
      </c>
      <c r="B153" s="587">
        <v>4.9406564584124654E-324</v>
      </c>
      <c r="C153" s="587">
        <v>243.29900000000001</v>
      </c>
      <c r="D153" s="588">
        <v>243.29900000000001</v>
      </c>
      <c r="E153" s="597" t="s">
        <v>305</v>
      </c>
      <c r="F153" s="587">
        <v>0</v>
      </c>
      <c r="G153" s="588">
        <v>0</v>
      </c>
      <c r="H153" s="590">
        <v>4.9406564584124654E-324</v>
      </c>
      <c r="I153" s="587">
        <v>9.8813129168249309E-324</v>
      </c>
      <c r="J153" s="588">
        <v>9.8813129168249309E-324</v>
      </c>
      <c r="K153" s="598" t="s">
        <v>299</v>
      </c>
    </row>
    <row r="154" spans="1:11" ht="14.4" customHeight="1" thickBot="1" x14ac:dyDescent="0.35">
      <c r="A154" s="609" t="s">
        <v>445</v>
      </c>
      <c r="B154" s="587">
        <v>4.9406564584124654E-324</v>
      </c>
      <c r="C154" s="587">
        <v>3.4540000000000002</v>
      </c>
      <c r="D154" s="588">
        <v>3.4540000000000002</v>
      </c>
      <c r="E154" s="597" t="s">
        <v>305</v>
      </c>
      <c r="F154" s="587">
        <v>0</v>
      </c>
      <c r="G154" s="588">
        <v>0</v>
      </c>
      <c r="H154" s="590">
        <v>4.9406564584124654E-324</v>
      </c>
      <c r="I154" s="587">
        <v>9.8813129168249309E-324</v>
      </c>
      <c r="J154" s="588">
        <v>9.8813129168249309E-324</v>
      </c>
      <c r="K154" s="598" t="s">
        <v>299</v>
      </c>
    </row>
    <row r="155" spans="1:11" ht="14.4" customHeight="1" thickBot="1" x14ac:dyDescent="0.35">
      <c r="A155" s="609" t="s">
        <v>446</v>
      </c>
      <c r="B155" s="587">
        <v>4.9406564584124654E-324</v>
      </c>
      <c r="C155" s="587">
        <v>1.504</v>
      </c>
      <c r="D155" s="588">
        <v>1.504</v>
      </c>
      <c r="E155" s="597" t="s">
        <v>305</v>
      </c>
      <c r="F155" s="587">
        <v>0</v>
      </c>
      <c r="G155" s="588">
        <v>0</v>
      </c>
      <c r="H155" s="590">
        <v>4.9406564584124654E-324</v>
      </c>
      <c r="I155" s="587">
        <v>9.8813129168249309E-324</v>
      </c>
      <c r="J155" s="588">
        <v>9.8813129168249309E-324</v>
      </c>
      <c r="K155" s="598" t="s">
        <v>299</v>
      </c>
    </row>
    <row r="156" spans="1:11" ht="14.4" customHeight="1" thickBot="1" x14ac:dyDescent="0.35">
      <c r="A156" s="607" t="s">
        <v>447</v>
      </c>
      <c r="B156" s="587">
        <v>0</v>
      </c>
      <c r="C156" s="587">
        <v>999.53762000000302</v>
      </c>
      <c r="D156" s="588">
        <v>999.53762000000302</v>
      </c>
      <c r="E156" s="597" t="s">
        <v>299</v>
      </c>
      <c r="F156" s="587">
        <v>0</v>
      </c>
      <c r="G156" s="588">
        <v>0</v>
      </c>
      <c r="H156" s="590">
        <v>4.9406564584124654E-324</v>
      </c>
      <c r="I156" s="587">
        <v>9.8813129168249309E-324</v>
      </c>
      <c r="J156" s="588">
        <v>9.8813129168249309E-324</v>
      </c>
      <c r="K156" s="598" t="s">
        <v>299</v>
      </c>
    </row>
    <row r="157" spans="1:11" ht="14.4" customHeight="1" thickBot="1" x14ac:dyDescent="0.35">
      <c r="A157" s="608" t="s">
        <v>448</v>
      </c>
      <c r="B157" s="592">
        <v>0</v>
      </c>
      <c r="C157" s="592">
        <v>731.32517000000303</v>
      </c>
      <c r="D157" s="593">
        <v>731.32517000000303</v>
      </c>
      <c r="E157" s="594" t="s">
        <v>299</v>
      </c>
      <c r="F157" s="592">
        <v>0</v>
      </c>
      <c r="G157" s="593">
        <v>0</v>
      </c>
      <c r="H157" s="595">
        <v>4.9406564584124654E-324</v>
      </c>
      <c r="I157" s="592">
        <v>9.8813129168249309E-324</v>
      </c>
      <c r="J157" s="593">
        <v>9.8813129168249309E-324</v>
      </c>
      <c r="K157" s="596" t="s">
        <v>299</v>
      </c>
    </row>
    <row r="158" spans="1:11" ht="14.4" customHeight="1" thickBot="1" x14ac:dyDescent="0.35">
      <c r="A158" s="609" t="s">
        <v>449</v>
      </c>
      <c r="B158" s="587">
        <v>0</v>
      </c>
      <c r="C158" s="587">
        <v>521.34150000000295</v>
      </c>
      <c r="D158" s="588">
        <v>521.34150000000295</v>
      </c>
      <c r="E158" s="597" t="s">
        <v>299</v>
      </c>
      <c r="F158" s="587">
        <v>0</v>
      </c>
      <c r="G158" s="588">
        <v>0</v>
      </c>
      <c r="H158" s="590">
        <v>4.9406564584124654E-324</v>
      </c>
      <c r="I158" s="587">
        <v>9.8813129168249309E-324</v>
      </c>
      <c r="J158" s="588">
        <v>9.8813129168249309E-324</v>
      </c>
      <c r="K158" s="598" t="s">
        <v>299</v>
      </c>
    </row>
    <row r="159" spans="1:11" ht="14.4" customHeight="1" thickBot="1" x14ac:dyDescent="0.35">
      <c r="A159" s="609" t="s">
        <v>450</v>
      </c>
      <c r="B159" s="587">
        <v>0</v>
      </c>
      <c r="C159" s="587">
        <v>35.677669999999999</v>
      </c>
      <c r="D159" s="588">
        <v>35.677669999999999</v>
      </c>
      <c r="E159" s="597" t="s">
        <v>299</v>
      </c>
      <c r="F159" s="587">
        <v>0</v>
      </c>
      <c r="G159" s="588">
        <v>0</v>
      </c>
      <c r="H159" s="590">
        <v>4.9406564584124654E-324</v>
      </c>
      <c r="I159" s="587">
        <v>9.8813129168249309E-324</v>
      </c>
      <c r="J159" s="588">
        <v>9.8813129168249309E-324</v>
      </c>
      <c r="K159" s="598" t="s">
        <v>299</v>
      </c>
    </row>
    <row r="160" spans="1:11" ht="14.4" customHeight="1" thickBot="1" x14ac:dyDescent="0.35">
      <c r="A160" s="609" t="s">
        <v>451</v>
      </c>
      <c r="B160" s="587">
        <v>4.9406564584124654E-324</v>
      </c>
      <c r="C160" s="587">
        <v>174.30600000000001</v>
      </c>
      <c r="D160" s="588">
        <v>174.30600000000001</v>
      </c>
      <c r="E160" s="597" t="s">
        <v>305</v>
      </c>
      <c r="F160" s="587">
        <v>0</v>
      </c>
      <c r="G160" s="588">
        <v>0</v>
      </c>
      <c r="H160" s="590">
        <v>4.9406564584124654E-324</v>
      </c>
      <c r="I160" s="587">
        <v>9.8813129168249309E-324</v>
      </c>
      <c r="J160" s="588">
        <v>9.8813129168249309E-324</v>
      </c>
      <c r="K160" s="598" t="s">
        <v>299</v>
      </c>
    </row>
    <row r="161" spans="1:11" ht="14.4" customHeight="1" thickBot="1" x14ac:dyDescent="0.35">
      <c r="A161" s="608" t="s">
        <v>452</v>
      </c>
      <c r="B161" s="592">
        <v>0</v>
      </c>
      <c r="C161" s="592">
        <v>18.264500000000002</v>
      </c>
      <c r="D161" s="593">
        <v>18.264500000000002</v>
      </c>
      <c r="E161" s="594" t="s">
        <v>299</v>
      </c>
      <c r="F161" s="592">
        <v>0</v>
      </c>
      <c r="G161" s="593">
        <v>0</v>
      </c>
      <c r="H161" s="595">
        <v>4.9406564584124654E-324</v>
      </c>
      <c r="I161" s="592">
        <v>9.8813129168249309E-324</v>
      </c>
      <c r="J161" s="593">
        <v>9.8813129168249309E-324</v>
      </c>
      <c r="K161" s="596" t="s">
        <v>299</v>
      </c>
    </row>
    <row r="162" spans="1:11" ht="14.4" customHeight="1" thickBot="1" x14ac:dyDescent="0.35">
      <c r="A162" s="609" t="s">
        <v>453</v>
      </c>
      <c r="B162" s="587">
        <v>0</v>
      </c>
      <c r="C162" s="587">
        <v>12.064500000000001</v>
      </c>
      <c r="D162" s="588">
        <v>12.064500000000001</v>
      </c>
      <c r="E162" s="597" t="s">
        <v>299</v>
      </c>
      <c r="F162" s="587">
        <v>0</v>
      </c>
      <c r="G162" s="588">
        <v>0</v>
      </c>
      <c r="H162" s="590">
        <v>4.9406564584124654E-324</v>
      </c>
      <c r="I162" s="587">
        <v>9.8813129168249309E-324</v>
      </c>
      <c r="J162" s="588">
        <v>9.8813129168249309E-324</v>
      </c>
      <c r="K162" s="598" t="s">
        <v>299</v>
      </c>
    </row>
    <row r="163" spans="1:11" ht="14.4" customHeight="1" thickBot="1" x14ac:dyDescent="0.35">
      <c r="A163" s="609" t="s">
        <v>454</v>
      </c>
      <c r="B163" s="587">
        <v>4.9406564584124654E-324</v>
      </c>
      <c r="C163" s="587">
        <v>6.2</v>
      </c>
      <c r="D163" s="588">
        <v>6.2</v>
      </c>
      <c r="E163" s="597" t="s">
        <v>305</v>
      </c>
      <c r="F163" s="587">
        <v>0</v>
      </c>
      <c r="G163" s="588">
        <v>0</v>
      </c>
      <c r="H163" s="590">
        <v>4.9406564584124654E-324</v>
      </c>
      <c r="I163" s="587">
        <v>9.8813129168249309E-324</v>
      </c>
      <c r="J163" s="588">
        <v>9.8813129168249309E-324</v>
      </c>
      <c r="K163" s="598" t="s">
        <v>299</v>
      </c>
    </row>
    <row r="164" spans="1:11" ht="14.4" customHeight="1" thickBot="1" x14ac:dyDescent="0.35">
      <c r="A164" s="608" t="s">
        <v>455</v>
      </c>
      <c r="B164" s="592">
        <v>4.9406564584124654E-324</v>
      </c>
      <c r="C164" s="592">
        <v>12.129</v>
      </c>
      <c r="D164" s="593">
        <v>12.129</v>
      </c>
      <c r="E164" s="594" t="s">
        <v>305</v>
      </c>
      <c r="F164" s="592">
        <v>0</v>
      </c>
      <c r="G164" s="593">
        <v>0</v>
      </c>
      <c r="H164" s="595">
        <v>4.9406564584124654E-324</v>
      </c>
      <c r="I164" s="592">
        <v>9.8813129168249309E-324</v>
      </c>
      <c r="J164" s="593">
        <v>9.8813129168249309E-324</v>
      </c>
      <c r="K164" s="596" t="s">
        <v>299</v>
      </c>
    </row>
    <row r="165" spans="1:11" ht="14.4" customHeight="1" thickBot="1" x14ac:dyDescent="0.35">
      <c r="A165" s="609" t="s">
        <v>456</v>
      </c>
      <c r="B165" s="587">
        <v>4.9406564584124654E-324</v>
      </c>
      <c r="C165" s="587">
        <v>12.129</v>
      </c>
      <c r="D165" s="588">
        <v>12.129</v>
      </c>
      <c r="E165" s="597" t="s">
        <v>305</v>
      </c>
      <c r="F165" s="587">
        <v>0</v>
      </c>
      <c r="G165" s="588">
        <v>0</v>
      </c>
      <c r="H165" s="590">
        <v>4.9406564584124654E-324</v>
      </c>
      <c r="I165" s="587">
        <v>9.8813129168249309E-324</v>
      </c>
      <c r="J165" s="588">
        <v>9.8813129168249309E-324</v>
      </c>
      <c r="K165" s="598" t="s">
        <v>299</v>
      </c>
    </row>
    <row r="166" spans="1:11" ht="14.4" customHeight="1" thickBot="1" x14ac:dyDescent="0.35">
      <c r="A166" s="608" t="s">
        <v>457</v>
      </c>
      <c r="B166" s="592">
        <v>0</v>
      </c>
      <c r="C166" s="592">
        <v>26.7088</v>
      </c>
      <c r="D166" s="593">
        <v>26.7088</v>
      </c>
      <c r="E166" s="594" t="s">
        <v>299</v>
      </c>
      <c r="F166" s="592">
        <v>0</v>
      </c>
      <c r="G166" s="593">
        <v>0</v>
      </c>
      <c r="H166" s="595">
        <v>4.9406564584124654E-324</v>
      </c>
      <c r="I166" s="592">
        <v>9.8813129168249309E-324</v>
      </c>
      <c r="J166" s="593">
        <v>9.8813129168249309E-324</v>
      </c>
      <c r="K166" s="596" t="s">
        <v>299</v>
      </c>
    </row>
    <row r="167" spans="1:11" ht="14.4" customHeight="1" thickBot="1" x14ac:dyDescent="0.35">
      <c r="A167" s="609" t="s">
        <v>458</v>
      </c>
      <c r="B167" s="587">
        <v>0</v>
      </c>
      <c r="C167" s="587">
        <v>26.7088</v>
      </c>
      <c r="D167" s="588">
        <v>26.7088</v>
      </c>
      <c r="E167" s="597" t="s">
        <v>299</v>
      </c>
      <c r="F167" s="587">
        <v>0</v>
      </c>
      <c r="G167" s="588">
        <v>0</v>
      </c>
      <c r="H167" s="590">
        <v>4.9406564584124654E-324</v>
      </c>
      <c r="I167" s="587">
        <v>9.8813129168249309E-324</v>
      </c>
      <c r="J167" s="588">
        <v>9.8813129168249309E-324</v>
      </c>
      <c r="K167" s="598" t="s">
        <v>299</v>
      </c>
    </row>
    <row r="168" spans="1:11" ht="14.4" customHeight="1" thickBot="1" x14ac:dyDescent="0.35">
      <c r="A168" s="608" t="s">
        <v>459</v>
      </c>
      <c r="B168" s="592">
        <v>4.9406564584124654E-324</v>
      </c>
      <c r="C168" s="592">
        <v>211.11015</v>
      </c>
      <c r="D168" s="593">
        <v>211.11015</v>
      </c>
      <c r="E168" s="594" t="s">
        <v>305</v>
      </c>
      <c r="F168" s="592">
        <v>0</v>
      </c>
      <c r="G168" s="593">
        <v>0</v>
      </c>
      <c r="H168" s="595">
        <v>4.9406564584124654E-324</v>
      </c>
      <c r="I168" s="592">
        <v>9.8813129168249309E-324</v>
      </c>
      <c r="J168" s="593">
        <v>9.8813129168249309E-324</v>
      </c>
      <c r="K168" s="596" t="s">
        <v>299</v>
      </c>
    </row>
    <row r="169" spans="1:11" ht="14.4" customHeight="1" thickBot="1" x14ac:dyDescent="0.35">
      <c r="A169" s="609" t="s">
        <v>460</v>
      </c>
      <c r="B169" s="587">
        <v>4.9406564584124654E-324</v>
      </c>
      <c r="C169" s="587">
        <v>49.991149999999003</v>
      </c>
      <c r="D169" s="588">
        <v>49.991149999999003</v>
      </c>
      <c r="E169" s="597" t="s">
        <v>305</v>
      </c>
      <c r="F169" s="587">
        <v>0</v>
      </c>
      <c r="G169" s="588">
        <v>0</v>
      </c>
      <c r="H169" s="590">
        <v>4.9406564584124654E-324</v>
      </c>
      <c r="I169" s="587">
        <v>9.8813129168249309E-324</v>
      </c>
      <c r="J169" s="588">
        <v>9.8813129168249309E-324</v>
      </c>
      <c r="K169" s="598" t="s">
        <v>299</v>
      </c>
    </row>
    <row r="170" spans="1:11" ht="14.4" customHeight="1" thickBot="1" x14ac:dyDescent="0.35">
      <c r="A170" s="609" t="s">
        <v>461</v>
      </c>
      <c r="B170" s="587">
        <v>4.9406564584124654E-324</v>
      </c>
      <c r="C170" s="587">
        <v>37.880000000000003</v>
      </c>
      <c r="D170" s="588">
        <v>37.880000000000003</v>
      </c>
      <c r="E170" s="597" t="s">
        <v>305</v>
      </c>
      <c r="F170" s="587">
        <v>0</v>
      </c>
      <c r="G170" s="588">
        <v>0</v>
      </c>
      <c r="H170" s="590">
        <v>4.9406564584124654E-324</v>
      </c>
      <c r="I170" s="587">
        <v>9.8813129168249309E-324</v>
      </c>
      <c r="J170" s="588">
        <v>9.8813129168249309E-324</v>
      </c>
      <c r="K170" s="598" t="s">
        <v>299</v>
      </c>
    </row>
    <row r="171" spans="1:11" ht="14.4" customHeight="1" thickBot="1" x14ac:dyDescent="0.35">
      <c r="A171" s="609" t="s">
        <v>462</v>
      </c>
      <c r="B171" s="587">
        <v>4.9406564584124654E-324</v>
      </c>
      <c r="C171" s="587">
        <v>123.239000000001</v>
      </c>
      <c r="D171" s="588">
        <v>123.239000000001</v>
      </c>
      <c r="E171" s="597" t="s">
        <v>305</v>
      </c>
      <c r="F171" s="587">
        <v>0</v>
      </c>
      <c r="G171" s="588">
        <v>0</v>
      </c>
      <c r="H171" s="590">
        <v>4.9406564584124654E-324</v>
      </c>
      <c r="I171" s="587">
        <v>9.8813129168249309E-324</v>
      </c>
      <c r="J171" s="588">
        <v>9.8813129168249309E-324</v>
      </c>
      <c r="K171" s="598" t="s">
        <v>299</v>
      </c>
    </row>
    <row r="172" spans="1:11" ht="14.4" customHeight="1" thickBot="1" x14ac:dyDescent="0.35">
      <c r="A172" s="606" t="s">
        <v>463</v>
      </c>
      <c r="B172" s="587">
        <v>0</v>
      </c>
      <c r="C172" s="587">
        <v>0.54418999999999995</v>
      </c>
      <c r="D172" s="588">
        <v>0.54418999999999995</v>
      </c>
      <c r="E172" s="597" t="s">
        <v>299</v>
      </c>
      <c r="F172" s="587">
        <v>0</v>
      </c>
      <c r="G172" s="588">
        <v>0</v>
      </c>
      <c r="H172" s="590">
        <v>4.9406564584124654E-324</v>
      </c>
      <c r="I172" s="587">
        <v>9.8813129168249309E-324</v>
      </c>
      <c r="J172" s="588">
        <v>9.8813129168249309E-324</v>
      </c>
      <c r="K172" s="598" t="s">
        <v>299</v>
      </c>
    </row>
    <row r="173" spans="1:11" ht="14.4" customHeight="1" thickBot="1" x14ac:dyDescent="0.35">
      <c r="A173" s="607" t="s">
        <v>464</v>
      </c>
      <c r="B173" s="587">
        <v>0</v>
      </c>
      <c r="C173" s="587">
        <v>0.54418999999999995</v>
      </c>
      <c r="D173" s="588">
        <v>0.54418999999999995</v>
      </c>
      <c r="E173" s="597" t="s">
        <v>299</v>
      </c>
      <c r="F173" s="587">
        <v>0</v>
      </c>
      <c r="G173" s="588">
        <v>0</v>
      </c>
      <c r="H173" s="590">
        <v>4.9406564584124654E-324</v>
      </c>
      <c r="I173" s="587">
        <v>9.8813129168249309E-324</v>
      </c>
      <c r="J173" s="588">
        <v>9.8813129168249309E-324</v>
      </c>
      <c r="K173" s="598" t="s">
        <v>299</v>
      </c>
    </row>
    <row r="174" spans="1:11" ht="14.4" customHeight="1" thickBot="1" x14ac:dyDescent="0.35">
      <c r="A174" s="608" t="s">
        <v>465</v>
      </c>
      <c r="B174" s="592">
        <v>0</v>
      </c>
      <c r="C174" s="592">
        <v>0.54418999999999995</v>
      </c>
      <c r="D174" s="593">
        <v>0.54418999999999995</v>
      </c>
      <c r="E174" s="594" t="s">
        <v>299</v>
      </c>
      <c r="F174" s="592">
        <v>0</v>
      </c>
      <c r="G174" s="593">
        <v>0</v>
      </c>
      <c r="H174" s="595">
        <v>4.9406564584124654E-324</v>
      </c>
      <c r="I174" s="592">
        <v>9.8813129168249309E-324</v>
      </c>
      <c r="J174" s="593">
        <v>9.8813129168249309E-324</v>
      </c>
      <c r="K174" s="596" t="s">
        <v>299</v>
      </c>
    </row>
    <row r="175" spans="1:11" ht="14.4" customHeight="1" thickBot="1" x14ac:dyDescent="0.35">
      <c r="A175" s="609" t="s">
        <v>466</v>
      </c>
      <c r="B175" s="587">
        <v>0</v>
      </c>
      <c r="C175" s="587">
        <v>0.54418999999999995</v>
      </c>
      <c r="D175" s="588">
        <v>0.54418999999999995</v>
      </c>
      <c r="E175" s="597" t="s">
        <v>299</v>
      </c>
      <c r="F175" s="587">
        <v>0</v>
      </c>
      <c r="G175" s="588">
        <v>0</v>
      </c>
      <c r="H175" s="590">
        <v>4.9406564584124654E-324</v>
      </c>
      <c r="I175" s="587">
        <v>9.8813129168249309E-324</v>
      </c>
      <c r="J175" s="588">
        <v>9.8813129168249309E-324</v>
      </c>
      <c r="K175" s="598" t="s">
        <v>299</v>
      </c>
    </row>
    <row r="176" spans="1:11" ht="14.4" customHeight="1" thickBot="1" x14ac:dyDescent="0.35">
      <c r="A176" s="605" t="s">
        <v>467</v>
      </c>
      <c r="B176" s="587">
        <v>138136.13032957399</v>
      </c>
      <c r="C176" s="587">
        <v>136726.61983000001</v>
      </c>
      <c r="D176" s="588">
        <v>-1409.5104995742699</v>
      </c>
      <c r="E176" s="589">
        <v>0.98979622133400003</v>
      </c>
      <c r="F176" s="587">
        <v>157236.524919032</v>
      </c>
      <c r="G176" s="588">
        <v>26206.087486505301</v>
      </c>
      <c r="H176" s="590">
        <v>15038.04098</v>
      </c>
      <c r="I176" s="587">
        <v>20956.42812</v>
      </c>
      <c r="J176" s="588">
        <v>-5249.6593665053197</v>
      </c>
      <c r="K176" s="591">
        <v>0.133279644349</v>
      </c>
    </row>
    <row r="177" spans="1:11" ht="14.4" customHeight="1" thickBot="1" x14ac:dyDescent="0.35">
      <c r="A177" s="606" t="s">
        <v>468</v>
      </c>
      <c r="B177" s="587">
        <v>137105.40303539301</v>
      </c>
      <c r="C177" s="587">
        <v>135347.14851</v>
      </c>
      <c r="D177" s="588">
        <v>-1758.25452539345</v>
      </c>
      <c r="E177" s="589">
        <v>0.987175891784</v>
      </c>
      <c r="F177" s="587">
        <v>157152.951879484</v>
      </c>
      <c r="G177" s="588">
        <v>26192.158646580701</v>
      </c>
      <c r="H177" s="590">
        <v>15038.04098</v>
      </c>
      <c r="I177" s="587">
        <v>20956.42812</v>
      </c>
      <c r="J177" s="588">
        <v>-5235.7305265806699</v>
      </c>
      <c r="K177" s="591">
        <v>0.13335052170100001</v>
      </c>
    </row>
    <row r="178" spans="1:11" ht="14.4" customHeight="1" thickBot="1" x14ac:dyDescent="0.35">
      <c r="A178" s="607" t="s">
        <v>469</v>
      </c>
      <c r="B178" s="587">
        <v>137105.40303539301</v>
      </c>
      <c r="C178" s="587">
        <v>135347.14851</v>
      </c>
      <c r="D178" s="588">
        <v>-1758.25452539345</v>
      </c>
      <c r="E178" s="589">
        <v>0.987175891784</v>
      </c>
      <c r="F178" s="587">
        <v>157152.951879484</v>
      </c>
      <c r="G178" s="588">
        <v>26192.158646580701</v>
      </c>
      <c r="H178" s="590">
        <v>15038.04098</v>
      </c>
      <c r="I178" s="587">
        <v>20956.42812</v>
      </c>
      <c r="J178" s="588">
        <v>-5235.7305265806699</v>
      </c>
      <c r="K178" s="591">
        <v>0.13335052170100001</v>
      </c>
    </row>
    <row r="179" spans="1:11" ht="14.4" customHeight="1" thickBot="1" x14ac:dyDescent="0.35">
      <c r="A179" s="608" t="s">
        <v>470</v>
      </c>
      <c r="B179" s="592">
        <v>6.192424983635</v>
      </c>
      <c r="C179" s="592">
        <v>2.7214</v>
      </c>
      <c r="D179" s="593">
        <v>-3.471024983635</v>
      </c>
      <c r="E179" s="599">
        <v>0.439472421093</v>
      </c>
      <c r="F179" s="592">
        <v>2.95187948396</v>
      </c>
      <c r="G179" s="593">
        <v>0.49197991399300001</v>
      </c>
      <c r="H179" s="595">
        <v>4.9406564584124654E-324</v>
      </c>
      <c r="I179" s="592">
        <v>9.8813129168249309E-324</v>
      </c>
      <c r="J179" s="593">
        <v>-0.49197991399300001</v>
      </c>
      <c r="K179" s="600">
        <v>4.9406564584124654E-324</v>
      </c>
    </row>
    <row r="180" spans="1:11" ht="14.4" customHeight="1" thickBot="1" x14ac:dyDescent="0.35">
      <c r="A180" s="609" t="s">
        <v>471</v>
      </c>
      <c r="B180" s="587">
        <v>0.71476243684499996</v>
      </c>
      <c r="C180" s="587">
        <v>5.2900000000000003E-2</v>
      </c>
      <c r="D180" s="588">
        <v>-0.66186243684500001</v>
      </c>
      <c r="E180" s="589">
        <v>7.4010604465000004E-2</v>
      </c>
      <c r="F180" s="587">
        <v>6.0818915049999998E-2</v>
      </c>
      <c r="G180" s="588">
        <v>1.0136485840999999E-2</v>
      </c>
      <c r="H180" s="590">
        <v>4.9406564584124654E-324</v>
      </c>
      <c r="I180" s="587">
        <v>9.8813129168249309E-324</v>
      </c>
      <c r="J180" s="588">
        <v>-1.0136485840999999E-2</v>
      </c>
      <c r="K180" s="591">
        <v>1.6304166312761136E-322</v>
      </c>
    </row>
    <row r="181" spans="1:11" ht="14.4" customHeight="1" thickBot="1" x14ac:dyDescent="0.35">
      <c r="A181" s="609" t="s">
        <v>472</v>
      </c>
      <c r="B181" s="587">
        <v>0.36876708870000002</v>
      </c>
      <c r="C181" s="587">
        <v>0.23100000000000001</v>
      </c>
      <c r="D181" s="588">
        <v>-0.13776708870000001</v>
      </c>
      <c r="E181" s="589">
        <v>0.62641164864700005</v>
      </c>
      <c r="F181" s="587">
        <v>0.24549446168899999</v>
      </c>
      <c r="G181" s="588">
        <v>4.0915743614000001E-2</v>
      </c>
      <c r="H181" s="590">
        <v>4.9406564584124654E-324</v>
      </c>
      <c r="I181" s="587">
        <v>9.8813129168249309E-324</v>
      </c>
      <c r="J181" s="588">
        <v>-4.0915743614000001E-2</v>
      </c>
      <c r="K181" s="591">
        <v>3.9525251667299724E-323</v>
      </c>
    </row>
    <row r="182" spans="1:11" ht="14.4" customHeight="1" thickBot="1" x14ac:dyDescent="0.35">
      <c r="A182" s="609" t="s">
        <v>473</v>
      </c>
      <c r="B182" s="587">
        <v>5.108895458089</v>
      </c>
      <c r="C182" s="587">
        <v>2.4375</v>
      </c>
      <c r="D182" s="588">
        <v>-2.671395458089</v>
      </c>
      <c r="E182" s="589">
        <v>0.47710899939000001</v>
      </c>
      <c r="F182" s="587">
        <v>2.6455661072200001</v>
      </c>
      <c r="G182" s="588">
        <v>0.44092768453600001</v>
      </c>
      <c r="H182" s="590">
        <v>4.9406564584124654E-324</v>
      </c>
      <c r="I182" s="587">
        <v>9.8813129168249309E-324</v>
      </c>
      <c r="J182" s="588">
        <v>-0.44092768453600001</v>
      </c>
      <c r="K182" s="591">
        <v>4.9406564584124654E-324</v>
      </c>
    </row>
    <row r="183" spans="1:11" ht="14.4" customHeight="1" thickBot="1" x14ac:dyDescent="0.35">
      <c r="A183" s="608" t="s">
        <v>474</v>
      </c>
      <c r="B183" s="592">
        <v>208.00290120206199</v>
      </c>
      <c r="C183" s="592">
        <v>615.63971000000004</v>
      </c>
      <c r="D183" s="593">
        <v>407.63680879793799</v>
      </c>
      <c r="E183" s="599">
        <v>2.9597650150170001</v>
      </c>
      <c r="F183" s="592">
        <v>0</v>
      </c>
      <c r="G183" s="593">
        <v>0</v>
      </c>
      <c r="H183" s="595">
        <v>4.9406564584124654E-324</v>
      </c>
      <c r="I183" s="592">
        <v>9.8813129168249309E-324</v>
      </c>
      <c r="J183" s="593">
        <v>9.8813129168249309E-324</v>
      </c>
      <c r="K183" s="596" t="s">
        <v>299</v>
      </c>
    </row>
    <row r="184" spans="1:11" ht="14.4" customHeight="1" thickBot="1" x14ac:dyDescent="0.35">
      <c r="A184" s="609" t="s">
        <v>475</v>
      </c>
      <c r="B184" s="587">
        <v>208.00290120206199</v>
      </c>
      <c r="C184" s="587">
        <v>615.63971000000004</v>
      </c>
      <c r="D184" s="588">
        <v>407.63680879793799</v>
      </c>
      <c r="E184" s="589">
        <v>2.9597650150170001</v>
      </c>
      <c r="F184" s="587">
        <v>0</v>
      </c>
      <c r="G184" s="588">
        <v>0</v>
      </c>
      <c r="H184" s="590">
        <v>4.9406564584124654E-324</v>
      </c>
      <c r="I184" s="587">
        <v>9.8813129168249309E-324</v>
      </c>
      <c r="J184" s="588">
        <v>9.8813129168249309E-324</v>
      </c>
      <c r="K184" s="598" t="s">
        <v>299</v>
      </c>
    </row>
    <row r="185" spans="1:11" ht="14.4" customHeight="1" thickBot="1" x14ac:dyDescent="0.35">
      <c r="A185" s="608" t="s">
        <v>476</v>
      </c>
      <c r="B185" s="592">
        <v>4.9406564584124654E-324</v>
      </c>
      <c r="C185" s="592">
        <v>-3.6773199999999999</v>
      </c>
      <c r="D185" s="593">
        <v>-3.6773199999999999</v>
      </c>
      <c r="E185" s="594" t="s">
        <v>305</v>
      </c>
      <c r="F185" s="592">
        <v>0</v>
      </c>
      <c r="G185" s="593">
        <v>0</v>
      </c>
      <c r="H185" s="595">
        <v>4.9406564584124654E-324</v>
      </c>
      <c r="I185" s="592">
        <v>9.8813129168249309E-324</v>
      </c>
      <c r="J185" s="593">
        <v>9.8813129168249309E-324</v>
      </c>
      <c r="K185" s="596" t="s">
        <v>299</v>
      </c>
    </row>
    <row r="186" spans="1:11" ht="14.4" customHeight="1" thickBot="1" x14ac:dyDescent="0.35">
      <c r="A186" s="609" t="s">
        <v>477</v>
      </c>
      <c r="B186" s="587">
        <v>4.9406564584124654E-324</v>
      </c>
      <c r="C186" s="587">
        <v>-3.6209099999999999</v>
      </c>
      <c r="D186" s="588">
        <v>-3.6209099999999999</v>
      </c>
      <c r="E186" s="597" t="s">
        <v>305</v>
      </c>
      <c r="F186" s="587">
        <v>0</v>
      </c>
      <c r="G186" s="588">
        <v>0</v>
      </c>
      <c r="H186" s="590">
        <v>4.9406564584124654E-324</v>
      </c>
      <c r="I186" s="587">
        <v>9.8813129168249309E-324</v>
      </c>
      <c r="J186" s="588">
        <v>9.8813129168249309E-324</v>
      </c>
      <c r="K186" s="598" t="s">
        <v>299</v>
      </c>
    </row>
    <row r="187" spans="1:11" ht="14.4" customHeight="1" thickBot="1" x14ac:dyDescent="0.35">
      <c r="A187" s="609" t="s">
        <v>478</v>
      </c>
      <c r="B187" s="587">
        <v>4.9406564584124654E-324</v>
      </c>
      <c r="C187" s="587">
        <v>-5.6410000000000002E-2</v>
      </c>
      <c r="D187" s="588">
        <v>-5.6410000000000002E-2</v>
      </c>
      <c r="E187" s="597" t="s">
        <v>305</v>
      </c>
      <c r="F187" s="587">
        <v>0</v>
      </c>
      <c r="G187" s="588">
        <v>0</v>
      </c>
      <c r="H187" s="590">
        <v>4.9406564584124654E-324</v>
      </c>
      <c r="I187" s="587">
        <v>9.8813129168249309E-324</v>
      </c>
      <c r="J187" s="588">
        <v>9.8813129168249309E-324</v>
      </c>
      <c r="K187" s="598" t="s">
        <v>299</v>
      </c>
    </row>
    <row r="188" spans="1:11" ht="14.4" customHeight="1" thickBot="1" x14ac:dyDescent="0.35">
      <c r="A188" s="608" t="s">
        <v>479</v>
      </c>
      <c r="B188" s="592">
        <v>135831.999557498</v>
      </c>
      <c r="C188" s="592">
        <v>127921.40644000001</v>
      </c>
      <c r="D188" s="593">
        <v>-7910.5931174975703</v>
      </c>
      <c r="E188" s="599">
        <v>0.941761932804</v>
      </c>
      <c r="F188" s="592">
        <v>157150</v>
      </c>
      <c r="G188" s="593">
        <v>26191.666666666701</v>
      </c>
      <c r="H188" s="595">
        <v>14868.113300000001</v>
      </c>
      <c r="I188" s="592">
        <v>20376.701349999999</v>
      </c>
      <c r="J188" s="593">
        <v>-5814.9653166666703</v>
      </c>
      <c r="K188" s="600">
        <v>0.12966402386199999</v>
      </c>
    </row>
    <row r="189" spans="1:11" ht="14.4" customHeight="1" thickBot="1" x14ac:dyDescent="0.35">
      <c r="A189" s="609" t="s">
        <v>480</v>
      </c>
      <c r="B189" s="587">
        <v>81560.9997541138</v>
      </c>
      <c r="C189" s="587">
        <v>75123.510079999993</v>
      </c>
      <c r="D189" s="588">
        <v>-6437.48967411376</v>
      </c>
      <c r="E189" s="589">
        <v>0.92107147173799997</v>
      </c>
      <c r="F189" s="587">
        <v>99945.000000000102</v>
      </c>
      <c r="G189" s="588">
        <v>16657.5</v>
      </c>
      <c r="H189" s="590">
        <v>10185.369360000001</v>
      </c>
      <c r="I189" s="587">
        <v>12858.31777</v>
      </c>
      <c r="J189" s="588">
        <v>-3799.1822300000099</v>
      </c>
      <c r="K189" s="591">
        <v>0.128653937365</v>
      </c>
    </row>
    <row r="190" spans="1:11" ht="14.4" customHeight="1" thickBot="1" x14ac:dyDescent="0.35">
      <c r="A190" s="609" t="s">
        <v>481</v>
      </c>
      <c r="B190" s="587">
        <v>54270.999803383798</v>
      </c>
      <c r="C190" s="587">
        <v>52797.896359999999</v>
      </c>
      <c r="D190" s="588">
        <v>-1473.1034433838199</v>
      </c>
      <c r="E190" s="589">
        <v>0.97285652652900001</v>
      </c>
      <c r="F190" s="587">
        <v>57205</v>
      </c>
      <c r="G190" s="588">
        <v>9534.1666666666697</v>
      </c>
      <c r="H190" s="590">
        <v>4682.7439400000003</v>
      </c>
      <c r="I190" s="587">
        <v>7518.3835799999997</v>
      </c>
      <c r="J190" s="588">
        <v>-2015.78308666667</v>
      </c>
      <c r="K190" s="591">
        <v>0.13142878384699999</v>
      </c>
    </row>
    <row r="191" spans="1:11" ht="14.4" customHeight="1" thickBot="1" x14ac:dyDescent="0.35">
      <c r="A191" s="608" t="s">
        <v>482</v>
      </c>
      <c r="B191" s="592">
        <v>0</v>
      </c>
      <c r="C191" s="592">
        <v>6811.0582800000002</v>
      </c>
      <c r="D191" s="593">
        <v>6811.0582800000002</v>
      </c>
      <c r="E191" s="594" t="s">
        <v>299</v>
      </c>
      <c r="F191" s="592">
        <v>0</v>
      </c>
      <c r="G191" s="593">
        <v>0</v>
      </c>
      <c r="H191" s="595">
        <v>169.92768000000001</v>
      </c>
      <c r="I191" s="592">
        <v>579.72676999999999</v>
      </c>
      <c r="J191" s="593">
        <v>579.72676999999999</v>
      </c>
      <c r="K191" s="596" t="s">
        <v>299</v>
      </c>
    </row>
    <row r="192" spans="1:11" ht="14.4" customHeight="1" thickBot="1" x14ac:dyDescent="0.35">
      <c r="A192" s="609" t="s">
        <v>483</v>
      </c>
      <c r="B192" s="587">
        <v>4.9406564584124654E-324</v>
      </c>
      <c r="C192" s="587">
        <v>5164.3747100000001</v>
      </c>
      <c r="D192" s="588">
        <v>5164.3747100000001</v>
      </c>
      <c r="E192" s="597" t="s">
        <v>305</v>
      </c>
      <c r="F192" s="587">
        <v>0</v>
      </c>
      <c r="G192" s="588">
        <v>0</v>
      </c>
      <c r="H192" s="590">
        <v>4.9406564584124654E-324</v>
      </c>
      <c r="I192" s="587">
        <v>409.79908999999998</v>
      </c>
      <c r="J192" s="588">
        <v>409.79908999999998</v>
      </c>
      <c r="K192" s="598" t="s">
        <v>299</v>
      </c>
    </row>
    <row r="193" spans="1:11" ht="14.4" customHeight="1" thickBot="1" x14ac:dyDescent="0.35">
      <c r="A193" s="609" t="s">
        <v>484</v>
      </c>
      <c r="B193" s="587">
        <v>0</v>
      </c>
      <c r="C193" s="587">
        <v>1646.6835699999999</v>
      </c>
      <c r="D193" s="588">
        <v>1646.6835699999999</v>
      </c>
      <c r="E193" s="597" t="s">
        <v>299</v>
      </c>
      <c r="F193" s="587">
        <v>0</v>
      </c>
      <c r="G193" s="588">
        <v>0</v>
      </c>
      <c r="H193" s="590">
        <v>169.92768000000001</v>
      </c>
      <c r="I193" s="587">
        <v>169.92768000000001</v>
      </c>
      <c r="J193" s="588">
        <v>169.92768000000001</v>
      </c>
      <c r="K193" s="598" t="s">
        <v>299</v>
      </c>
    </row>
    <row r="194" spans="1:11" ht="14.4" customHeight="1" thickBot="1" x14ac:dyDescent="0.35">
      <c r="A194" s="606" t="s">
        <v>485</v>
      </c>
      <c r="B194" s="587">
        <v>1030.7272941808201</v>
      </c>
      <c r="C194" s="587">
        <v>1366.07132</v>
      </c>
      <c r="D194" s="588">
        <v>335.34402581917999</v>
      </c>
      <c r="E194" s="589">
        <v>1.3253469930520001</v>
      </c>
      <c r="F194" s="587">
        <v>2.5730395478869998</v>
      </c>
      <c r="G194" s="588">
        <v>0.42883992464699999</v>
      </c>
      <c r="H194" s="590">
        <v>4.9406564584124654E-324</v>
      </c>
      <c r="I194" s="587">
        <v>9.8813129168249309E-324</v>
      </c>
      <c r="J194" s="588">
        <v>-0.42883992464699999</v>
      </c>
      <c r="K194" s="591">
        <v>4.9406564584124654E-324</v>
      </c>
    </row>
    <row r="195" spans="1:11" ht="14.4" customHeight="1" thickBot="1" x14ac:dyDescent="0.35">
      <c r="A195" s="607" t="s">
        <v>486</v>
      </c>
      <c r="B195" s="587">
        <v>4.9406564584124654E-324</v>
      </c>
      <c r="C195" s="587">
        <v>86.720299999999995</v>
      </c>
      <c r="D195" s="588">
        <v>86.720299999999995</v>
      </c>
      <c r="E195" s="597" t="s">
        <v>305</v>
      </c>
      <c r="F195" s="587">
        <v>0</v>
      </c>
      <c r="G195" s="588">
        <v>0</v>
      </c>
      <c r="H195" s="590">
        <v>4.9406564584124654E-324</v>
      </c>
      <c r="I195" s="587">
        <v>9.8813129168249309E-324</v>
      </c>
      <c r="J195" s="588">
        <v>9.8813129168249309E-324</v>
      </c>
      <c r="K195" s="598" t="s">
        <v>299</v>
      </c>
    </row>
    <row r="196" spans="1:11" ht="14.4" customHeight="1" thickBot="1" x14ac:dyDescent="0.35">
      <c r="A196" s="608" t="s">
        <v>487</v>
      </c>
      <c r="B196" s="592">
        <v>4.9406564584124654E-324</v>
      </c>
      <c r="C196" s="592">
        <v>86.720299999999995</v>
      </c>
      <c r="D196" s="593">
        <v>86.720299999999995</v>
      </c>
      <c r="E196" s="594" t="s">
        <v>305</v>
      </c>
      <c r="F196" s="592">
        <v>0</v>
      </c>
      <c r="G196" s="593">
        <v>0</v>
      </c>
      <c r="H196" s="595">
        <v>4.9406564584124654E-324</v>
      </c>
      <c r="I196" s="592">
        <v>9.8813129168249309E-324</v>
      </c>
      <c r="J196" s="593">
        <v>9.8813129168249309E-324</v>
      </c>
      <c r="K196" s="596" t="s">
        <v>299</v>
      </c>
    </row>
    <row r="197" spans="1:11" ht="14.4" customHeight="1" thickBot="1" x14ac:dyDescent="0.35">
      <c r="A197" s="609" t="s">
        <v>488</v>
      </c>
      <c r="B197" s="587">
        <v>4.9406564584124654E-324</v>
      </c>
      <c r="C197" s="587">
        <v>86.720299999999995</v>
      </c>
      <c r="D197" s="588">
        <v>86.720299999999995</v>
      </c>
      <c r="E197" s="597" t="s">
        <v>305</v>
      </c>
      <c r="F197" s="587">
        <v>0</v>
      </c>
      <c r="G197" s="588">
        <v>0</v>
      </c>
      <c r="H197" s="590">
        <v>4.9406564584124654E-324</v>
      </c>
      <c r="I197" s="587">
        <v>9.8813129168249309E-324</v>
      </c>
      <c r="J197" s="588">
        <v>9.8813129168249309E-324</v>
      </c>
      <c r="K197" s="598" t="s">
        <v>299</v>
      </c>
    </row>
    <row r="198" spans="1:11" ht="14.4" customHeight="1" thickBot="1" x14ac:dyDescent="0.35">
      <c r="A198" s="607" t="s">
        <v>489</v>
      </c>
      <c r="B198" s="587">
        <v>1028.1542546329299</v>
      </c>
      <c r="C198" s="587">
        <v>1036.9439600000001</v>
      </c>
      <c r="D198" s="588">
        <v>8.7897053670660004</v>
      </c>
      <c r="E198" s="589">
        <v>1.008549014243</v>
      </c>
      <c r="F198" s="587">
        <v>0</v>
      </c>
      <c r="G198" s="588">
        <v>0</v>
      </c>
      <c r="H198" s="590">
        <v>4.9406564584124654E-324</v>
      </c>
      <c r="I198" s="587">
        <v>9.8813129168249309E-324</v>
      </c>
      <c r="J198" s="588">
        <v>9.8813129168249309E-324</v>
      </c>
      <c r="K198" s="598" t="s">
        <v>299</v>
      </c>
    </row>
    <row r="199" spans="1:11" ht="14.4" customHeight="1" thickBot="1" x14ac:dyDescent="0.35">
      <c r="A199" s="608" t="s">
        <v>490</v>
      </c>
      <c r="B199" s="592">
        <v>0</v>
      </c>
      <c r="C199" s="592">
        <v>138.57549</v>
      </c>
      <c r="D199" s="593">
        <v>138.57549</v>
      </c>
      <c r="E199" s="594" t="s">
        <v>299</v>
      </c>
      <c r="F199" s="592">
        <v>0</v>
      </c>
      <c r="G199" s="593">
        <v>0</v>
      </c>
      <c r="H199" s="595">
        <v>4.9406564584124654E-324</v>
      </c>
      <c r="I199" s="592">
        <v>9.8813129168249309E-324</v>
      </c>
      <c r="J199" s="593">
        <v>9.8813129168249309E-324</v>
      </c>
      <c r="K199" s="596" t="s">
        <v>299</v>
      </c>
    </row>
    <row r="200" spans="1:11" ht="14.4" customHeight="1" thickBot="1" x14ac:dyDescent="0.35">
      <c r="A200" s="609" t="s">
        <v>491</v>
      </c>
      <c r="B200" s="587">
        <v>0</v>
      </c>
      <c r="C200" s="587">
        <v>138.57549</v>
      </c>
      <c r="D200" s="588">
        <v>138.57549</v>
      </c>
      <c r="E200" s="597" t="s">
        <v>299</v>
      </c>
      <c r="F200" s="587">
        <v>0</v>
      </c>
      <c r="G200" s="588">
        <v>0</v>
      </c>
      <c r="H200" s="590">
        <v>4.9406564584124654E-324</v>
      </c>
      <c r="I200" s="587">
        <v>9.8813129168249309E-324</v>
      </c>
      <c r="J200" s="588">
        <v>9.8813129168249309E-324</v>
      </c>
      <c r="K200" s="598" t="s">
        <v>299</v>
      </c>
    </row>
    <row r="201" spans="1:11" ht="14.4" customHeight="1" thickBot="1" x14ac:dyDescent="0.35">
      <c r="A201" s="608" t="s">
        <v>492</v>
      </c>
      <c r="B201" s="592">
        <v>1028.1542546329299</v>
      </c>
      <c r="C201" s="592">
        <v>898.36847</v>
      </c>
      <c r="D201" s="593">
        <v>-129.785784632933</v>
      </c>
      <c r="E201" s="599">
        <v>0.87376817821999997</v>
      </c>
      <c r="F201" s="592">
        <v>0</v>
      </c>
      <c r="G201" s="593">
        <v>0</v>
      </c>
      <c r="H201" s="595">
        <v>4.9406564584124654E-324</v>
      </c>
      <c r="I201" s="592">
        <v>9.8813129168249309E-324</v>
      </c>
      <c r="J201" s="593">
        <v>9.8813129168249309E-324</v>
      </c>
      <c r="K201" s="596" t="s">
        <v>299</v>
      </c>
    </row>
    <row r="202" spans="1:11" ht="14.4" customHeight="1" thickBot="1" x14ac:dyDescent="0.35">
      <c r="A202" s="609" t="s">
        <v>493</v>
      </c>
      <c r="B202" s="587">
        <v>0</v>
      </c>
      <c r="C202" s="587">
        <v>657.92657999999994</v>
      </c>
      <c r="D202" s="588">
        <v>657.92657999999994</v>
      </c>
      <c r="E202" s="597" t="s">
        <v>299</v>
      </c>
      <c r="F202" s="587">
        <v>0</v>
      </c>
      <c r="G202" s="588">
        <v>0</v>
      </c>
      <c r="H202" s="590">
        <v>4.9406564584124654E-324</v>
      </c>
      <c r="I202" s="587">
        <v>9.8813129168249309E-324</v>
      </c>
      <c r="J202" s="588">
        <v>9.8813129168249309E-324</v>
      </c>
      <c r="K202" s="598" t="s">
        <v>299</v>
      </c>
    </row>
    <row r="203" spans="1:11" ht="14.4" customHeight="1" thickBot="1" x14ac:dyDescent="0.35">
      <c r="A203" s="609" t="s">
        <v>494</v>
      </c>
      <c r="B203" s="587">
        <v>0</v>
      </c>
      <c r="C203" s="587">
        <v>3.1339999999999999</v>
      </c>
      <c r="D203" s="588">
        <v>3.1339999999999999</v>
      </c>
      <c r="E203" s="597" t="s">
        <v>299</v>
      </c>
      <c r="F203" s="587">
        <v>0</v>
      </c>
      <c r="G203" s="588">
        <v>0</v>
      </c>
      <c r="H203" s="590">
        <v>4.9406564584124654E-324</v>
      </c>
      <c r="I203" s="587">
        <v>9.8813129168249309E-324</v>
      </c>
      <c r="J203" s="588">
        <v>9.8813129168249309E-324</v>
      </c>
      <c r="K203" s="598" t="s">
        <v>299</v>
      </c>
    </row>
    <row r="204" spans="1:11" ht="14.4" customHeight="1" thickBot="1" x14ac:dyDescent="0.35">
      <c r="A204" s="609" t="s">
        <v>495</v>
      </c>
      <c r="B204" s="587">
        <v>0</v>
      </c>
      <c r="C204" s="587">
        <v>53.624580000000002</v>
      </c>
      <c r="D204" s="588">
        <v>53.624580000000002</v>
      </c>
      <c r="E204" s="597" t="s">
        <v>299</v>
      </c>
      <c r="F204" s="587">
        <v>0</v>
      </c>
      <c r="G204" s="588">
        <v>0</v>
      </c>
      <c r="H204" s="590">
        <v>4.9406564584124654E-324</v>
      </c>
      <c r="I204" s="587">
        <v>9.8813129168249309E-324</v>
      </c>
      <c r="J204" s="588">
        <v>9.8813129168249309E-324</v>
      </c>
      <c r="K204" s="598" t="s">
        <v>299</v>
      </c>
    </row>
    <row r="205" spans="1:11" ht="14.4" customHeight="1" thickBot="1" x14ac:dyDescent="0.35">
      <c r="A205" s="609" t="s">
        <v>496</v>
      </c>
      <c r="B205" s="587">
        <v>0</v>
      </c>
      <c r="C205" s="587">
        <v>111.75474</v>
      </c>
      <c r="D205" s="588">
        <v>111.75474</v>
      </c>
      <c r="E205" s="597" t="s">
        <v>299</v>
      </c>
      <c r="F205" s="587">
        <v>0</v>
      </c>
      <c r="G205" s="588">
        <v>0</v>
      </c>
      <c r="H205" s="590">
        <v>4.9406564584124654E-324</v>
      </c>
      <c r="I205" s="587">
        <v>9.8813129168249309E-324</v>
      </c>
      <c r="J205" s="588">
        <v>9.8813129168249309E-324</v>
      </c>
      <c r="K205" s="598" t="s">
        <v>299</v>
      </c>
    </row>
    <row r="206" spans="1:11" ht="14.4" customHeight="1" thickBot="1" x14ac:dyDescent="0.35">
      <c r="A206" s="609" t="s">
        <v>497</v>
      </c>
      <c r="B206" s="587">
        <v>0</v>
      </c>
      <c r="C206" s="587">
        <v>71.928569999999993</v>
      </c>
      <c r="D206" s="588">
        <v>71.928569999999993</v>
      </c>
      <c r="E206" s="597" t="s">
        <v>299</v>
      </c>
      <c r="F206" s="587">
        <v>0</v>
      </c>
      <c r="G206" s="588">
        <v>0</v>
      </c>
      <c r="H206" s="590">
        <v>4.9406564584124654E-324</v>
      </c>
      <c r="I206" s="587">
        <v>9.8813129168249309E-324</v>
      </c>
      <c r="J206" s="588">
        <v>9.8813129168249309E-324</v>
      </c>
      <c r="K206" s="598" t="s">
        <v>299</v>
      </c>
    </row>
    <row r="207" spans="1:11" ht="14.4" customHeight="1" thickBot="1" x14ac:dyDescent="0.35">
      <c r="A207" s="612" t="s">
        <v>498</v>
      </c>
      <c r="B207" s="592">
        <v>2.5730395478869998</v>
      </c>
      <c r="C207" s="592">
        <v>242.40706</v>
      </c>
      <c r="D207" s="593">
        <v>239.83402045211301</v>
      </c>
      <c r="E207" s="599">
        <v>94.210390275210003</v>
      </c>
      <c r="F207" s="592">
        <v>2.5730395478869998</v>
      </c>
      <c r="G207" s="593">
        <v>0.42883992464699999</v>
      </c>
      <c r="H207" s="595">
        <v>4.9406564584124654E-324</v>
      </c>
      <c r="I207" s="592">
        <v>9.8813129168249309E-324</v>
      </c>
      <c r="J207" s="593">
        <v>-0.42883992464699999</v>
      </c>
      <c r="K207" s="600">
        <v>4.9406564584124654E-324</v>
      </c>
    </row>
    <row r="208" spans="1:11" ht="14.4" customHeight="1" thickBot="1" x14ac:dyDescent="0.35">
      <c r="A208" s="608" t="s">
        <v>499</v>
      </c>
      <c r="B208" s="592">
        <v>0</v>
      </c>
      <c r="C208" s="592">
        <v>1.226E-2</v>
      </c>
      <c r="D208" s="593">
        <v>1.226E-2</v>
      </c>
      <c r="E208" s="594" t="s">
        <v>299</v>
      </c>
      <c r="F208" s="592">
        <v>0</v>
      </c>
      <c r="G208" s="593">
        <v>0</v>
      </c>
      <c r="H208" s="595">
        <v>4.9406564584124654E-324</v>
      </c>
      <c r="I208" s="592">
        <v>9.8813129168249309E-324</v>
      </c>
      <c r="J208" s="593">
        <v>9.8813129168249309E-324</v>
      </c>
      <c r="K208" s="596" t="s">
        <v>299</v>
      </c>
    </row>
    <row r="209" spans="1:11" ht="14.4" customHeight="1" thickBot="1" x14ac:dyDescent="0.35">
      <c r="A209" s="609" t="s">
        <v>500</v>
      </c>
      <c r="B209" s="587">
        <v>0</v>
      </c>
      <c r="C209" s="587">
        <v>1.6000000000000001E-4</v>
      </c>
      <c r="D209" s="588">
        <v>1.6000000000000001E-4</v>
      </c>
      <c r="E209" s="597" t="s">
        <v>299</v>
      </c>
      <c r="F209" s="587">
        <v>0</v>
      </c>
      <c r="G209" s="588">
        <v>0</v>
      </c>
      <c r="H209" s="590">
        <v>4.9406564584124654E-324</v>
      </c>
      <c r="I209" s="587">
        <v>9.8813129168249309E-324</v>
      </c>
      <c r="J209" s="588">
        <v>9.8813129168249309E-324</v>
      </c>
      <c r="K209" s="598" t="s">
        <v>299</v>
      </c>
    </row>
    <row r="210" spans="1:11" ht="14.4" customHeight="1" thickBot="1" x14ac:dyDescent="0.35">
      <c r="A210" s="609" t="s">
        <v>501</v>
      </c>
      <c r="B210" s="587">
        <v>4.9406564584124654E-324</v>
      </c>
      <c r="C210" s="587">
        <v>1.21E-2</v>
      </c>
      <c r="D210" s="588">
        <v>1.21E-2</v>
      </c>
      <c r="E210" s="597" t="s">
        <v>305</v>
      </c>
      <c r="F210" s="587">
        <v>0</v>
      </c>
      <c r="G210" s="588">
        <v>0</v>
      </c>
      <c r="H210" s="590">
        <v>4.9406564584124654E-324</v>
      </c>
      <c r="I210" s="587">
        <v>9.8813129168249309E-324</v>
      </c>
      <c r="J210" s="588">
        <v>9.8813129168249309E-324</v>
      </c>
      <c r="K210" s="598" t="s">
        <v>299</v>
      </c>
    </row>
    <row r="211" spans="1:11" ht="14.4" customHeight="1" thickBot="1" x14ac:dyDescent="0.35">
      <c r="A211" s="608" t="s">
        <v>502</v>
      </c>
      <c r="B211" s="592">
        <v>2.5730395478869998</v>
      </c>
      <c r="C211" s="592">
        <v>5.3587999999999996</v>
      </c>
      <c r="D211" s="593">
        <v>2.7857604521120001</v>
      </c>
      <c r="E211" s="599">
        <v>2.0826730022079998</v>
      </c>
      <c r="F211" s="592">
        <v>2.5730395478869998</v>
      </c>
      <c r="G211" s="593">
        <v>0.42883992464699999</v>
      </c>
      <c r="H211" s="595">
        <v>4.9406564584124654E-324</v>
      </c>
      <c r="I211" s="592">
        <v>9.8813129168249309E-324</v>
      </c>
      <c r="J211" s="593">
        <v>-0.42883992464699999</v>
      </c>
      <c r="K211" s="600">
        <v>4.9406564584124654E-324</v>
      </c>
    </row>
    <row r="212" spans="1:11" ht="14.4" customHeight="1" thickBot="1" x14ac:dyDescent="0.35">
      <c r="A212" s="609" t="s">
        <v>503</v>
      </c>
      <c r="B212" s="587">
        <v>0</v>
      </c>
      <c r="C212" s="587">
        <v>0.89600000000000002</v>
      </c>
      <c r="D212" s="588">
        <v>0.89600000000000002</v>
      </c>
      <c r="E212" s="597" t="s">
        <v>299</v>
      </c>
      <c r="F212" s="587">
        <v>0</v>
      </c>
      <c r="G212" s="588">
        <v>0</v>
      </c>
      <c r="H212" s="590">
        <v>4.9406564584124654E-324</v>
      </c>
      <c r="I212" s="587">
        <v>9.8813129168249309E-324</v>
      </c>
      <c r="J212" s="588">
        <v>9.8813129168249309E-324</v>
      </c>
      <c r="K212" s="598" t="s">
        <v>299</v>
      </c>
    </row>
    <row r="213" spans="1:11" ht="14.4" customHeight="1" thickBot="1" x14ac:dyDescent="0.35">
      <c r="A213" s="609" t="s">
        <v>504</v>
      </c>
      <c r="B213" s="587">
        <v>2.5730395478869998</v>
      </c>
      <c r="C213" s="587">
        <v>4.4627999999999997</v>
      </c>
      <c r="D213" s="588">
        <v>1.8897604521119999</v>
      </c>
      <c r="E213" s="589">
        <v>1.7344467183429999</v>
      </c>
      <c r="F213" s="587">
        <v>2.5730395478869998</v>
      </c>
      <c r="G213" s="588">
        <v>0.42883992464699999</v>
      </c>
      <c r="H213" s="590">
        <v>4.9406564584124654E-324</v>
      </c>
      <c r="I213" s="587">
        <v>9.8813129168249309E-324</v>
      </c>
      <c r="J213" s="588">
        <v>-0.42883992464699999</v>
      </c>
      <c r="K213" s="591">
        <v>4.9406564584124654E-324</v>
      </c>
    </row>
    <row r="214" spans="1:11" ht="14.4" customHeight="1" thickBot="1" x14ac:dyDescent="0.35">
      <c r="A214" s="608" t="s">
        <v>505</v>
      </c>
      <c r="B214" s="592">
        <v>0</v>
      </c>
      <c r="C214" s="592">
        <v>237.036</v>
      </c>
      <c r="D214" s="593">
        <v>237.036</v>
      </c>
      <c r="E214" s="594" t="s">
        <v>299</v>
      </c>
      <c r="F214" s="592">
        <v>0</v>
      </c>
      <c r="G214" s="593">
        <v>0</v>
      </c>
      <c r="H214" s="595">
        <v>4.9406564584124654E-324</v>
      </c>
      <c r="I214" s="592">
        <v>9.8813129168249309E-324</v>
      </c>
      <c r="J214" s="593">
        <v>9.8813129168249309E-324</v>
      </c>
      <c r="K214" s="596" t="s">
        <v>299</v>
      </c>
    </row>
    <row r="215" spans="1:11" ht="14.4" customHeight="1" thickBot="1" x14ac:dyDescent="0.35">
      <c r="A215" s="609" t="s">
        <v>506</v>
      </c>
      <c r="B215" s="587">
        <v>0</v>
      </c>
      <c r="C215" s="587">
        <v>237.036</v>
      </c>
      <c r="D215" s="588">
        <v>237.036</v>
      </c>
      <c r="E215" s="597" t="s">
        <v>299</v>
      </c>
      <c r="F215" s="587">
        <v>0</v>
      </c>
      <c r="G215" s="588">
        <v>0</v>
      </c>
      <c r="H215" s="590">
        <v>4.9406564584124654E-324</v>
      </c>
      <c r="I215" s="587">
        <v>9.8813129168249309E-324</v>
      </c>
      <c r="J215" s="588">
        <v>9.8813129168249309E-324</v>
      </c>
      <c r="K215" s="598" t="s">
        <v>299</v>
      </c>
    </row>
    <row r="216" spans="1:11" ht="14.4" customHeight="1" thickBot="1" x14ac:dyDescent="0.35">
      <c r="A216" s="606" t="s">
        <v>507</v>
      </c>
      <c r="B216" s="587">
        <v>4.9406564584124654E-324</v>
      </c>
      <c r="C216" s="587">
        <v>13.4</v>
      </c>
      <c r="D216" s="588">
        <v>13.4</v>
      </c>
      <c r="E216" s="597" t="s">
        <v>305</v>
      </c>
      <c r="F216" s="587">
        <v>81</v>
      </c>
      <c r="G216" s="588">
        <v>13.5</v>
      </c>
      <c r="H216" s="590">
        <v>4.9406564584124654E-324</v>
      </c>
      <c r="I216" s="587">
        <v>9.8813129168249309E-324</v>
      </c>
      <c r="J216" s="588">
        <v>-13.5</v>
      </c>
      <c r="K216" s="591">
        <v>0</v>
      </c>
    </row>
    <row r="217" spans="1:11" ht="14.4" customHeight="1" thickBot="1" x14ac:dyDescent="0.35">
      <c r="A217" s="612" t="s">
        <v>508</v>
      </c>
      <c r="B217" s="592">
        <v>4.9406564584124654E-324</v>
      </c>
      <c r="C217" s="592">
        <v>13.4</v>
      </c>
      <c r="D217" s="593">
        <v>13.4</v>
      </c>
      <c r="E217" s="594" t="s">
        <v>305</v>
      </c>
      <c r="F217" s="592">
        <v>81</v>
      </c>
      <c r="G217" s="593">
        <v>13.5</v>
      </c>
      <c r="H217" s="595">
        <v>4.9406564584124654E-324</v>
      </c>
      <c r="I217" s="592">
        <v>9.8813129168249309E-324</v>
      </c>
      <c r="J217" s="593">
        <v>-13.5</v>
      </c>
      <c r="K217" s="600">
        <v>0</v>
      </c>
    </row>
    <row r="218" spans="1:11" ht="14.4" customHeight="1" thickBot="1" x14ac:dyDescent="0.35">
      <c r="A218" s="608" t="s">
        <v>509</v>
      </c>
      <c r="B218" s="592">
        <v>4.9406564584124654E-324</v>
      </c>
      <c r="C218" s="592">
        <v>13.4</v>
      </c>
      <c r="D218" s="593">
        <v>13.4</v>
      </c>
      <c r="E218" s="594" t="s">
        <v>305</v>
      </c>
      <c r="F218" s="592">
        <v>81</v>
      </c>
      <c r="G218" s="593">
        <v>13.5</v>
      </c>
      <c r="H218" s="595">
        <v>4.9406564584124654E-324</v>
      </c>
      <c r="I218" s="592">
        <v>9.8813129168249309E-324</v>
      </c>
      <c r="J218" s="593">
        <v>-13.5</v>
      </c>
      <c r="K218" s="600">
        <v>0</v>
      </c>
    </row>
    <row r="219" spans="1:11" ht="14.4" customHeight="1" thickBot="1" x14ac:dyDescent="0.35">
      <c r="A219" s="609" t="s">
        <v>510</v>
      </c>
      <c r="B219" s="587">
        <v>4.9406564584124654E-324</v>
      </c>
      <c r="C219" s="587">
        <v>13.4</v>
      </c>
      <c r="D219" s="588">
        <v>13.4</v>
      </c>
      <c r="E219" s="597" t="s">
        <v>305</v>
      </c>
      <c r="F219" s="587">
        <v>81</v>
      </c>
      <c r="G219" s="588">
        <v>13.5</v>
      </c>
      <c r="H219" s="590">
        <v>4.9406564584124654E-324</v>
      </c>
      <c r="I219" s="587">
        <v>9.8813129168249309E-324</v>
      </c>
      <c r="J219" s="588">
        <v>-13.5</v>
      </c>
      <c r="K219" s="591">
        <v>0</v>
      </c>
    </row>
    <row r="220" spans="1:11" ht="14.4" customHeight="1" thickBot="1" x14ac:dyDescent="0.35">
      <c r="A220" s="605" t="s">
        <v>511</v>
      </c>
      <c r="B220" s="587">
        <v>10752.6530194631</v>
      </c>
      <c r="C220" s="587">
        <v>10286.773090000001</v>
      </c>
      <c r="D220" s="588">
        <v>-465.87992946315001</v>
      </c>
      <c r="E220" s="589">
        <v>0.95667302491499995</v>
      </c>
      <c r="F220" s="587">
        <v>10284.010632265399</v>
      </c>
      <c r="G220" s="588">
        <v>1714.0017720442299</v>
      </c>
      <c r="H220" s="590">
        <v>865.20513000000005</v>
      </c>
      <c r="I220" s="587">
        <v>1799.1781800000001</v>
      </c>
      <c r="J220" s="588">
        <v>85.176407955768994</v>
      </c>
      <c r="K220" s="591">
        <v>0.17494907816899999</v>
      </c>
    </row>
    <row r="221" spans="1:11" ht="14.4" customHeight="1" thickBot="1" x14ac:dyDescent="0.35">
      <c r="A221" s="610" t="s">
        <v>512</v>
      </c>
      <c r="B221" s="592">
        <v>10752.6530194631</v>
      </c>
      <c r="C221" s="592">
        <v>10286.773090000001</v>
      </c>
      <c r="D221" s="593">
        <v>-465.87992946315001</v>
      </c>
      <c r="E221" s="599">
        <v>0.95667302491499995</v>
      </c>
      <c r="F221" s="592">
        <v>10284.010632265399</v>
      </c>
      <c r="G221" s="593">
        <v>1714.0017720442299</v>
      </c>
      <c r="H221" s="595">
        <v>865.20513000000005</v>
      </c>
      <c r="I221" s="592">
        <v>1799.1781800000001</v>
      </c>
      <c r="J221" s="593">
        <v>85.176407955768994</v>
      </c>
      <c r="K221" s="600">
        <v>0.17494907816899999</v>
      </c>
    </row>
    <row r="222" spans="1:11" ht="14.4" customHeight="1" thickBot="1" x14ac:dyDescent="0.35">
      <c r="A222" s="612" t="s">
        <v>57</v>
      </c>
      <c r="B222" s="592">
        <v>10752.6530194631</v>
      </c>
      <c r="C222" s="592">
        <v>10286.773090000001</v>
      </c>
      <c r="D222" s="593">
        <v>-465.87992946315001</v>
      </c>
      <c r="E222" s="599">
        <v>0.95667302491499995</v>
      </c>
      <c r="F222" s="592">
        <v>10284.010632265399</v>
      </c>
      <c r="G222" s="593">
        <v>1714.0017720442299</v>
      </c>
      <c r="H222" s="595">
        <v>865.20513000000005</v>
      </c>
      <c r="I222" s="592">
        <v>1799.1781800000001</v>
      </c>
      <c r="J222" s="593">
        <v>85.176407955768994</v>
      </c>
      <c r="K222" s="600">
        <v>0.17494907816899999</v>
      </c>
    </row>
    <row r="223" spans="1:11" ht="14.4" customHeight="1" thickBot="1" x14ac:dyDescent="0.35">
      <c r="A223" s="608" t="s">
        <v>513</v>
      </c>
      <c r="B223" s="592">
        <v>70.999999999999005</v>
      </c>
      <c r="C223" s="592">
        <v>85.2453</v>
      </c>
      <c r="D223" s="593">
        <v>14.2453</v>
      </c>
      <c r="E223" s="599">
        <v>1.2006380281689999</v>
      </c>
      <c r="F223" s="592">
        <v>37</v>
      </c>
      <c r="G223" s="593">
        <v>6.1666666666659999</v>
      </c>
      <c r="H223" s="595">
        <v>6.7693500000000002</v>
      </c>
      <c r="I223" s="592">
        <v>13.5387</v>
      </c>
      <c r="J223" s="593">
        <v>7.3720333333330004</v>
      </c>
      <c r="K223" s="600">
        <v>0.36591081080999999</v>
      </c>
    </row>
    <row r="224" spans="1:11" ht="14.4" customHeight="1" thickBot="1" x14ac:dyDescent="0.35">
      <c r="A224" s="609" t="s">
        <v>514</v>
      </c>
      <c r="B224" s="587">
        <v>70.999999999999005</v>
      </c>
      <c r="C224" s="587">
        <v>85.2453</v>
      </c>
      <c r="D224" s="588">
        <v>14.2453</v>
      </c>
      <c r="E224" s="589">
        <v>1.2006380281689999</v>
      </c>
      <c r="F224" s="587">
        <v>37</v>
      </c>
      <c r="G224" s="588">
        <v>6.1666666666659999</v>
      </c>
      <c r="H224" s="590">
        <v>6.7693500000000002</v>
      </c>
      <c r="I224" s="587">
        <v>13.5387</v>
      </c>
      <c r="J224" s="588">
        <v>7.3720333333330004</v>
      </c>
      <c r="K224" s="591">
        <v>0.36591081080999999</v>
      </c>
    </row>
    <row r="225" spans="1:11" ht="14.4" customHeight="1" thickBot="1" x14ac:dyDescent="0.35">
      <c r="A225" s="608" t="s">
        <v>515</v>
      </c>
      <c r="B225" s="592">
        <v>167.19667146743299</v>
      </c>
      <c r="C225" s="592">
        <v>64.483000000000004</v>
      </c>
      <c r="D225" s="593">
        <v>-102.713671467433</v>
      </c>
      <c r="E225" s="599">
        <v>0.38567155335100001</v>
      </c>
      <c r="F225" s="592">
        <v>75.010632265381005</v>
      </c>
      <c r="G225" s="593">
        <v>12.50177204423</v>
      </c>
      <c r="H225" s="595">
        <v>10.856</v>
      </c>
      <c r="I225" s="592">
        <v>25.274999999999999</v>
      </c>
      <c r="J225" s="593">
        <v>12.773227955769</v>
      </c>
      <c r="K225" s="600">
        <v>0.33695223245900002</v>
      </c>
    </row>
    <row r="226" spans="1:11" ht="14.4" customHeight="1" thickBot="1" x14ac:dyDescent="0.35">
      <c r="A226" s="609" t="s">
        <v>516</v>
      </c>
      <c r="B226" s="587">
        <v>167.19667146743299</v>
      </c>
      <c r="C226" s="587">
        <v>64.483000000000004</v>
      </c>
      <c r="D226" s="588">
        <v>-102.713671467433</v>
      </c>
      <c r="E226" s="589">
        <v>0.38567155335100001</v>
      </c>
      <c r="F226" s="587">
        <v>75.010632265381005</v>
      </c>
      <c r="G226" s="588">
        <v>12.50177204423</v>
      </c>
      <c r="H226" s="590">
        <v>10.856</v>
      </c>
      <c r="I226" s="587">
        <v>25.274999999999999</v>
      </c>
      <c r="J226" s="588">
        <v>12.773227955769</v>
      </c>
      <c r="K226" s="591">
        <v>0.33695223245900002</v>
      </c>
    </row>
    <row r="227" spans="1:11" ht="14.4" customHeight="1" thickBot="1" x14ac:dyDescent="0.35">
      <c r="A227" s="608" t="s">
        <v>517</v>
      </c>
      <c r="B227" s="592">
        <v>1231.4563479958299</v>
      </c>
      <c r="C227" s="592">
        <v>1190.5940000000001</v>
      </c>
      <c r="D227" s="593">
        <v>-40.862347995834</v>
      </c>
      <c r="E227" s="599">
        <v>0.96681786726499996</v>
      </c>
      <c r="F227" s="592">
        <v>1297</v>
      </c>
      <c r="G227" s="593">
        <v>216.166666666667</v>
      </c>
      <c r="H227" s="595">
        <v>98.618300000000005</v>
      </c>
      <c r="I227" s="592">
        <v>193.27019999999999</v>
      </c>
      <c r="J227" s="593">
        <v>-22.896466666666001</v>
      </c>
      <c r="K227" s="600">
        <v>0.14901326137199999</v>
      </c>
    </row>
    <row r="228" spans="1:11" ht="14.4" customHeight="1" thickBot="1" x14ac:dyDescent="0.35">
      <c r="A228" s="609" t="s">
        <v>518</v>
      </c>
      <c r="B228" s="587">
        <v>1231.4563479958299</v>
      </c>
      <c r="C228" s="587">
        <v>1190.5940000000001</v>
      </c>
      <c r="D228" s="588">
        <v>-40.862347995834</v>
      </c>
      <c r="E228" s="589">
        <v>0.96681786726499996</v>
      </c>
      <c r="F228" s="587">
        <v>1297</v>
      </c>
      <c r="G228" s="588">
        <v>216.166666666667</v>
      </c>
      <c r="H228" s="590">
        <v>98.618300000000005</v>
      </c>
      <c r="I228" s="587">
        <v>193.27019999999999</v>
      </c>
      <c r="J228" s="588">
        <v>-22.896466666666001</v>
      </c>
      <c r="K228" s="591">
        <v>0.14901326137199999</v>
      </c>
    </row>
    <row r="229" spans="1:11" ht="14.4" customHeight="1" thickBot="1" x14ac:dyDescent="0.35">
      <c r="A229" s="608" t="s">
        <v>519</v>
      </c>
      <c r="B229" s="592">
        <v>0</v>
      </c>
      <c r="C229" s="592">
        <v>4.9029999999999996</v>
      </c>
      <c r="D229" s="593">
        <v>4.9029999999999996</v>
      </c>
      <c r="E229" s="594" t="s">
        <v>299</v>
      </c>
      <c r="F229" s="592">
        <v>4.9406564584124654E-324</v>
      </c>
      <c r="G229" s="593">
        <v>0</v>
      </c>
      <c r="H229" s="595">
        <v>0.33</v>
      </c>
      <c r="I229" s="592">
        <v>0.67700000000000005</v>
      </c>
      <c r="J229" s="593">
        <v>0.67700000000000005</v>
      </c>
      <c r="K229" s="596" t="s">
        <v>305</v>
      </c>
    </row>
    <row r="230" spans="1:11" ht="14.4" customHeight="1" thickBot="1" x14ac:dyDescent="0.35">
      <c r="A230" s="609" t="s">
        <v>520</v>
      </c>
      <c r="B230" s="587">
        <v>0</v>
      </c>
      <c r="C230" s="587">
        <v>4.9029999999999996</v>
      </c>
      <c r="D230" s="588">
        <v>4.9029999999999996</v>
      </c>
      <c r="E230" s="597" t="s">
        <v>299</v>
      </c>
      <c r="F230" s="587">
        <v>4.9406564584124654E-324</v>
      </c>
      <c r="G230" s="588">
        <v>0</v>
      </c>
      <c r="H230" s="590">
        <v>0.33</v>
      </c>
      <c r="I230" s="587">
        <v>0.67700000000000005</v>
      </c>
      <c r="J230" s="588">
        <v>0.67700000000000005</v>
      </c>
      <c r="K230" s="598" t="s">
        <v>305</v>
      </c>
    </row>
    <row r="231" spans="1:11" ht="14.4" customHeight="1" thickBot="1" x14ac:dyDescent="0.35">
      <c r="A231" s="608" t="s">
        <v>521</v>
      </c>
      <c r="B231" s="592">
        <v>1108.99999999999</v>
      </c>
      <c r="C231" s="592">
        <v>982.77534000000003</v>
      </c>
      <c r="D231" s="593">
        <v>-126.224659999986</v>
      </c>
      <c r="E231" s="599">
        <v>0.88618155094600004</v>
      </c>
      <c r="F231" s="592">
        <v>1384</v>
      </c>
      <c r="G231" s="593">
        <v>230.666666666667</v>
      </c>
      <c r="H231" s="595">
        <v>61.332599999999999</v>
      </c>
      <c r="I231" s="592">
        <v>141.81135</v>
      </c>
      <c r="J231" s="593">
        <v>-88.855316666665999</v>
      </c>
      <c r="K231" s="600">
        <v>0.10246484826500001</v>
      </c>
    </row>
    <row r="232" spans="1:11" ht="14.4" customHeight="1" thickBot="1" x14ac:dyDescent="0.35">
      <c r="A232" s="609" t="s">
        <v>522</v>
      </c>
      <c r="B232" s="587">
        <v>1107.99999999999</v>
      </c>
      <c r="C232" s="587">
        <v>982.43514000000005</v>
      </c>
      <c r="D232" s="588">
        <v>-125.564859999986</v>
      </c>
      <c r="E232" s="589">
        <v>0.88667431407899999</v>
      </c>
      <c r="F232" s="587">
        <v>1366</v>
      </c>
      <c r="G232" s="588">
        <v>227.666666666667</v>
      </c>
      <c r="H232" s="590">
        <v>59.78069</v>
      </c>
      <c r="I232" s="587">
        <v>138.70752999999999</v>
      </c>
      <c r="J232" s="588">
        <v>-88.959136666665998</v>
      </c>
      <c r="K232" s="591">
        <v>0.10154284773</v>
      </c>
    </row>
    <row r="233" spans="1:11" ht="14.4" customHeight="1" thickBot="1" x14ac:dyDescent="0.35">
      <c r="A233" s="609" t="s">
        <v>523</v>
      </c>
      <c r="B233" s="587">
        <v>0.99999999999900002</v>
      </c>
      <c r="C233" s="587">
        <v>0.3402</v>
      </c>
      <c r="D233" s="588">
        <v>-0.65979999999899996</v>
      </c>
      <c r="E233" s="589">
        <v>0.3402</v>
      </c>
      <c r="F233" s="587">
        <v>18</v>
      </c>
      <c r="G233" s="588">
        <v>3</v>
      </c>
      <c r="H233" s="590">
        <v>1.5519099999999999</v>
      </c>
      <c r="I233" s="587">
        <v>3.1038199999999998</v>
      </c>
      <c r="J233" s="588">
        <v>0.10382</v>
      </c>
      <c r="K233" s="591">
        <v>0.172434444444</v>
      </c>
    </row>
    <row r="234" spans="1:11" ht="14.4" customHeight="1" thickBot="1" x14ac:dyDescent="0.35">
      <c r="A234" s="608" t="s">
        <v>524</v>
      </c>
      <c r="B234" s="592">
        <v>0</v>
      </c>
      <c r="C234" s="592">
        <v>1108.7452499999999</v>
      </c>
      <c r="D234" s="593">
        <v>1108.7452499999999</v>
      </c>
      <c r="E234" s="594" t="s">
        <v>299</v>
      </c>
      <c r="F234" s="592">
        <v>4.9406564584124654E-324</v>
      </c>
      <c r="G234" s="593">
        <v>0</v>
      </c>
      <c r="H234" s="595">
        <v>94.284829999999999</v>
      </c>
      <c r="I234" s="592">
        <v>180.90107</v>
      </c>
      <c r="J234" s="593">
        <v>180.90107</v>
      </c>
      <c r="K234" s="596" t="s">
        <v>305</v>
      </c>
    </row>
    <row r="235" spans="1:11" ht="14.4" customHeight="1" thickBot="1" x14ac:dyDescent="0.35">
      <c r="A235" s="609" t="s">
        <v>525</v>
      </c>
      <c r="B235" s="587">
        <v>0</v>
      </c>
      <c r="C235" s="587">
        <v>1108.7452499999999</v>
      </c>
      <c r="D235" s="588">
        <v>1108.7452499999999</v>
      </c>
      <c r="E235" s="597" t="s">
        <v>299</v>
      </c>
      <c r="F235" s="587">
        <v>4.9406564584124654E-324</v>
      </c>
      <c r="G235" s="588">
        <v>0</v>
      </c>
      <c r="H235" s="590">
        <v>94.284829999999999</v>
      </c>
      <c r="I235" s="587">
        <v>180.90107</v>
      </c>
      <c r="J235" s="588">
        <v>180.90107</v>
      </c>
      <c r="K235" s="598" t="s">
        <v>305</v>
      </c>
    </row>
    <row r="236" spans="1:11" ht="14.4" customHeight="1" thickBot="1" x14ac:dyDescent="0.35">
      <c r="A236" s="608" t="s">
        <v>526</v>
      </c>
      <c r="B236" s="592">
        <v>8173.9999999999</v>
      </c>
      <c r="C236" s="592">
        <v>6850.0272000000004</v>
      </c>
      <c r="D236" s="593">
        <v>-1323.9727999999</v>
      </c>
      <c r="E236" s="599">
        <v>0.83802632737899996</v>
      </c>
      <c r="F236" s="592">
        <v>7491</v>
      </c>
      <c r="G236" s="593">
        <v>1248.5</v>
      </c>
      <c r="H236" s="595">
        <v>593.01405</v>
      </c>
      <c r="I236" s="592">
        <v>1243.7048600000001</v>
      </c>
      <c r="J236" s="593">
        <v>-4.79514</v>
      </c>
      <c r="K236" s="600">
        <v>0.166026546522</v>
      </c>
    </row>
    <row r="237" spans="1:11" ht="14.4" customHeight="1" thickBot="1" x14ac:dyDescent="0.35">
      <c r="A237" s="609" t="s">
        <v>527</v>
      </c>
      <c r="B237" s="587">
        <v>8173.9999999999</v>
      </c>
      <c r="C237" s="587">
        <v>6850.0272000000004</v>
      </c>
      <c r="D237" s="588">
        <v>-1323.9727999999</v>
      </c>
      <c r="E237" s="589">
        <v>0.83802632737899996</v>
      </c>
      <c r="F237" s="587">
        <v>7491</v>
      </c>
      <c r="G237" s="588">
        <v>1248.5</v>
      </c>
      <c r="H237" s="590">
        <v>593.01405</v>
      </c>
      <c r="I237" s="587">
        <v>1243.7048600000001</v>
      </c>
      <c r="J237" s="588">
        <v>-4.79514</v>
      </c>
      <c r="K237" s="591">
        <v>0.166026546522</v>
      </c>
    </row>
    <row r="238" spans="1:11" ht="14.4" customHeight="1" thickBot="1" x14ac:dyDescent="0.35">
      <c r="A238" s="613" t="s">
        <v>528</v>
      </c>
      <c r="B238" s="592">
        <v>0</v>
      </c>
      <c r="C238" s="592">
        <v>18.684159999999999</v>
      </c>
      <c r="D238" s="593">
        <v>18.684159999999999</v>
      </c>
      <c r="E238" s="594" t="s">
        <v>299</v>
      </c>
      <c r="F238" s="592">
        <v>4.9406564584124654E-324</v>
      </c>
      <c r="G238" s="593">
        <v>0</v>
      </c>
      <c r="H238" s="595">
        <v>0.67057999999999995</v>
      </c>
      <c r="I238" s="592">
        <v>0.67057999999999995</v>
      </c>
      <c r="J238" s="593">
        <v>0.67057999999999995</v>
      </c>
      <c r="K238" s="596" t="s">
        <v>305</v>
      </c>
    </row>
    <row r="239" spans="1:11" ht="14.4" customHeight="1" thickBot="1" x14ac:dyDescent="0.35">
      <c r="A239" s="610" t="s">
        <v>529</v>
      </c>
      <c r="B239" s="592">
        <v>0</v>
      </c>
      <c r="C239" s="592">
        <v>18.684159999999999</v>
      </c>
      <c r="D239" s="593">
        <v>18.684159999999999</v>
      </c>
      <c r="E239" s="594" t="s">
        <v>299</v>
      </c>
      <c r="F239" s="592">
        <v>4.9406564584124654E-324</v>
      </c>
      <c r="G239" s="593">
        <v>0</v>
      </c>
      <c r="H239" s="595">
        <v>0.67057999999999995</v>
      </c>
      <c r="I239" s="592">
        <v>0.67057999999999995</v>
      </c>
      <c r="J239" s="593">
        <v>0.67057999999999995</v>
      </c>
      <c r="K239" s="596" t="s">
        <v>305</v>
      </c>
    </row>
    <row r="240" spans="1:11" ht="14.4" customHeight="1" thickBot="1" x14ac:dyDescent="0.35">
      <c r="A240" s="612" t="s">
        <v>530</v>
      </c>
      <c r="B240" s="592">
        <v>0</v>
      </c>
      <c r="C240" s="592">
        <v>18.684159999999999</v>
      </c>
      <c r="D240" s="593">
        <v>18.684159999999999</v>
      </c>
      <c r="E240" s="594" t="s">
        <v>299</v>
      </c>
      <c r="F240" s="592">
        <v>4.9406564584124654E-324</v>
      </c>
      <c r="G240" s="593">
        <v>0</v>
      </c>
      <c r="H240" s="595">
        <v>0.67057999999999995</v>
      </c>
      <c r="I240" s="592">
        <v>0.67057999999999995</v>
      </c>
      <c r="J240" s="593">
        <v>0.67057999999999995</v>
      </c>
      <c r="K240" s="596" t="s">
        <v>305</v>
      </c>
    </row>
    <row r="241" spans="1:11" ht="14.4" customHeight="1" thickBot="1" x14ac:dyDescent="0.35">
      <c r="A241" s="608" t="s">
        <v>531</v>
      </c>
      <c r="B241" s="592">
        <v>0</v>
      </c>
      <c r="C241" s="592">
        <v>18.684159999999999</v>
      </c>
      <c r="D241" s="593">
        <v>18.684159999999999</v>
      </c>
      <c r="E241" s="594" t="s">
        <v>299</v>
      </c>
      <c r="F241" s="592">
        <v>4.9406564584124654E-324</v>
      </c>
      <c r="G241" s="593">
        <v>0</v>
      </c>
      <c r="H241" s="595">
        <v>0.67057999999999995</v>
      </c>
      <c r="I241" s="592">
        <v>0.67057999999999995</v>
      </c>
      <c r="J241" s="593">
        <v>0.67057999999999995</v>
      </c>
      <c r="K241" s="596" t="s">
        <v>305</v>
      </c>
    </row>
    <row r="242" spans="1:11" ht="14.4" customHeight="1" thickBot="1" x14ac:dyDescent="0.35">
      <c r="A242" s="609" t="s">
        <v>532</v>
      </c>
      <c r="B242" s="587">
        <v>0</v>
      </c>
      <c r="C242" s="587">
        <v>15.584160000000001</v>
      </c>
      <c r="D242" s="588">
        <v>15.584160000000001</v>
      </c>
      <c r="E242" s="597" t="s">
        <v>299</v>
      </c>
      <c r="F242" s="587">
        <v>4.9406564584124654E-324</v>
      </c>
      <c r="G242" s="588">
        <v>0</v>
      </c>
      <c r="H242" s="590">
        <v>0.67057999999999995</v>
      </c>
      <c r="I242" s="587">
        <v>0.67057999999999995</v>
      </c>
      <c r="J242" s="588">
        <v>0.67057999999999995</v>
      </c>
      <c r="K242" s="598" t="s">
        <v>305</v>
      </c>
    </row>
    <row r="243" spans="1:11" ht="14.4" customHeight="1" thickBot="1" x14ac:dyDescent="0.35">
      <c r="A243" s="609" t="s">
        <v>533</v>
      </c>
      <c r="B243" s="587">
        <v>0</v>
      </c>
      <c r="C243" s="587">
        <v>3.1</v>
      </c>
      <c r="D243" s="588">
        <v>3.1</v>
      </c>
      <c r="E243" s="597" t="s">
        <v>299</v>
      </c>
      <c r="F243" s="587">
        <v>4.9406564584124654E-324</v>
      </c>
      <c r="G243" s="588">
        <v>0</v>
      </c>
      <c r="H243" s="590">
        <v>4.9406564584124654E-324</v>
      </c>
      <c r="I243" s="587">
        <v>9.8813129168249309E-324</v>
      </c>
      <c r="J243" s="588">
        <v>9.8813129168249309E-324</v>
      </c>
      <c r="K243" s="591">
        <v>0</v>
      </c>
    </row>
    <row r="244" spans="1:11" ht="14.4" customHeight="1" thickBot="1" x14ac:dyDescent="0.35">
      <c r="A244" s="614"/>
      <c r="B244" s="587">
        <v>-3895.7193538455499</v>
      </c>
      <c r="C244" s="587">
        <v>-8576.1742000000995</v>
      </c>
      <c r="D244" s="588">
        <v>-4680.4548461545501</v>
      </c>
      <c r="E244" s="589">
        <v>2.201435324527</v>
      </c>
      <c r="F244" s="587">
        <v>10461.722829264099</v>
      </c>
      <c r="G244" s="588">
        <v>1743.6204715440099</v>
      </c>
      <c r="H244" s="590">
        <v>3294.3355999999999</v>
      </c>
      <c r="I244" s="587">
        <v>-3219.1686100000602</v>
      </c>
      <c r="J244" s="588">
        <v>-4962.7890815440696</v>
      </c>
      <c r="K244" s="591">
        <v>-0.30770922366499998</v>
      </c>
    </row>
    <row r="245" spans="1:11" ht="14.4" customHeight="1" thickBot="1" x14ac:dyDescent="0.35">
      <c r="A245" s="615" t="s">
        <v>69</v>
      </c>
      <c r="B245" s="601">
        <v>-3895.7193538454599</v>
      </c>
      <c r="C245" s="601">
        <v>-8576.1742000000995</v>
      </c>
      <c r="D245" s="602">
        <v>-4680.4548461546401</v>
      </c>
      <c r="E245" s="603" t="s">
        <v>299</v>
      </c>
      <c r="F245" s="601">
        <v>10461.722829264099</v>
      </c>
      <c r="G245" s="602">
        <v>1743.6204715440099</v>
      </c>
      <c r="H245" s="601">
        <v>3294.3355999999999</v>
      </c>
      <c r="I245" s="601">
        <v>-3219.1686100000502</v>
      </c>
      <c r="J245" s="602">
        <v>-4962.7890815440596</v>
      </c>
      <c r="K245" s="604">
        <v>-0.30770922366499998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H32"/>
  <sheetViews>
    <sheetView showGridLines="0" showRowColHeaders="0" workbookViewId="0">
      <pane ySplit="3" topLeftCell="A4" activePane="bottomLeft" state="frozen"/>
      <selection activeCell="A2" sqref="A2:I2"/>
      <selection pane="bottomLeft" sqref="A1:G1"/>
    </sheetView>
  </sheetViews>
  <sheetFormatPr defaultRowHeight="14.4" customHeight="1" x14ac:dyDescent="0.3"/>
  <cols>
    <col min="1" max="1" width="5.33203125" style="344" bestFit="1" customWidth="1"/>
    <col min="2" max="2" width="9.33203125" style="344" customWidth="1"/>
    <col min="3" max="3" width="28.88671875" style="260" bestFit="1" customWidth="1"/>
    <col min="4" max="4" width="12.77734375" style="345" bestFit="1" customWidth="1"/>
    <col min="5" max="5" width="11.109375" style="345" customWidth="1"/>
    <col min="6" max="6" width="6.6640625" style="346" customWidth="1"/>
    <col min="7" max="7" width="12.21875" style="343" bestFit="1" customWidth="1"/>
    <col min="8" max="8" width="0" style="260" hidden="1" customWidth="1"/>
    <col min="9" max="16384" width="8.88671875" style="260"/>
  </cols>
  <sheetData>
    <row r="1" spans="1:8" ht="18.600000000000001" customHeight="1" thickBot="1" x14ac:dyDescent="0.4">
      <c r="A1" s="486" t="s">
        <v>180</v>
      </c>
      <c r="B1" s="487"/>
      <c r="C1" s="487"/>
      <c r="D1" s="487"/>
      <c r="E1" s="487"/>
      <c r="F1" s="487"/>
      <c r="G1" s="463"/>
    </row>
    <row r="2" spans="1:8" ht="14.4" customHeight="1" thickBot="1" x14ac:dyDescent="0.35">
      <c r="A2" s="389" t="s">
        <v>298</v>
      </c>
      <c r="B2" s="342"/>
      <c r="C2" s="342"/>
      <c r="D2" s="342"/>
      <c r="E2" s="342"/>
      <c r="F2" s="342"/>
    </row>
    <row r="3" spans="1:8" ht="14.4" customHeight="1" thickBot="1" x14ac:dyDescent="0.35">
      <c r="A3" s="106" t="s">
        <v>0</v>
      </c>
      <c r="B3" s="107" t="s">
        <v>1</v>
      </c>
      <c r="C3" s="210" t="s">
        <v>2</v>
      </c>
      <c r="D3" s="211" t="s">
        <v>213</v>
      </c>
      <c r="E3" s="211" t="s">
        <v>4</v>
      </c>
      <c r="F3" s="211" t="s">
        <v>5</v>
      </c>
      <c r="G3" s="212" t="s">
        <v>188</v>
      </c>
    </row>
    <row r="4" spans="1:8" ht="14.4" customHeight="1" x14ac:dyDescent="0.3">
      <c r="A4" s="616" t="s">
        <v>534</v>
      </c>
      <c r="B4" s="617" t="s">
        <v>535</v>
      </c>
      <c r="C4" s="618" t="s">
        <v>536</v>
      </c>
      <c r="D4" s="618" t="s">
        <v>535</v>
      </c>
      <c r="E4" s="618" t="s">
        <v>535</v>
      </c>
      <c r="F4" s="619" t="s">
        <v>535</v>
      </c>
      <c r="G4" s="618" t="s">
        <v>535</v>
      </c>
      <c r="H4" s="618" t="s">
        <v>77</v>
      </c>
    </row>
    <row r="5" spans="1:8" ht="14.4" customHeight="1" x14ac:dyDescent="0.3">
      <c r="A5" s="616" t="s">
        <v>534</v>
      </c>
      <c r="B5" s="617" t="s">
        <v>537</v>
      </c>
      <c r="C5" s="618" t="s">
        <v>538</v>
      </c>
      <c r="D5" s="618">
        <v>946312.73123252194</v>
      </c>
      <c r="E5" s="618">
        <v>971910.55372426636</v>
      </c>
      <c r="F5" s="619">
        <v>1.0270500666924396</v>
      </c>
      <c r="G5" s="618">
        <v>25597.822491744417</v>
      </c>
      <c r="H5" s="618" t="s">
        <v>2</v>
      </c>
    </row>
    <row r="6" spans="1:8" ht="14.4" customHeight="1" x14ac:dyDescent="0.3">
      <c r="A6" s="616" t="s">
        <v>534</v>
      </c>
      <c r="B6" s="617" t="s">
        <v>539</v>
      </c>
      <c r="C6" s="618" t="s">
        <v>540</v>
      </c>
      <c r="D6" s="618">
        <v>113709.64524408961</v>
      </c>
      <c r="E6" s="618">
        <v>87184.06421079654</v>
      </c>
      <c r="F6" s="619">
        <v>0.7667253206502127</v>
      </c>
      <c r="G6" s="618">
        <v>-26525.581033293071</v>
      </c>
      <c r="H6" s="618" t="s">
        <v>2</v>
      </c>
    </row>
    <row r="7" spans="1:8" ht="14.4" customHeight="1" x14ac:dyDescent="0.3">
      <c r="A7" s="616" t="s">
        <v>534</v>
      </c>
      <c r="B7" s="617" t="s">
        <v>541</v>
      </c>
      <c r="C7" s="618" t="s">
        <v>542</v>
      </c>
      <c r="D7" s="618">
        <v>93334.152862383824</v>
      </c>
      <c r="E7" s="618">
        <v>67889.240000000005</v>
      </c>
      <c r="F7" s="619">
        <v>0.72737832741782127</v>
      </c>
      <c r="G7" s="618">
        <v>-25444.912862383819</v>
      </c>
      <c r="H7" s="618" t="s">
        <v>2</v>
      </c>
    </row>
    <row r="8" spans="1:8" ht="14.4" customHeight="1" x14ac:dyDescent="0.3">
      <c r="A8" s="616" t="s">
        <v>534</v>
      </c>
      <c r="B8" s="617" t="s">
        <v>543</v>
      </c>
      <c r="C8" s="618" t="s">
        <v>544</v>
      </c>
      <c r="D8" s="618">
        <v>84446.260367478841</v>
      </c>
      <c r="E8" s="618">
        <v>84983.133660000094</v>
      </c>
      <c r="F8" s="619">
        <v>1.0063575733275218</v>
      </c>
      <c r="G8" s="618">
        <v>536.87329252125346</v>
      </c>
      <c r="H8" s="618" t="s">
        <v>2</v>
      </c>
    </row>
    <row r="9" spans="1:8" ht="14.4" customHeight="1" x14ac:dyDescent="0.3">
      <c r="A9" s="616" t="s">
        <v>534</v>
      </c>
      <c r="B9" s="617" t="s">
        <v>545</v>
      </c>
      <c r="C9" s="618" t="s">
        <v>546</v>
      </c>
      <c r="D9" s="618">
        <v>34835.695140602962</v>
      </c>
      <c r="E9" s="618">
        <v>7874.1675311717208</v>
      </c>
      <c r="F9" s="619">
        <v>0.22603733037019078</v>
      </c>
      <c r="G9" s="618">
        <v>-26961.527609431243</v>
      </c>
      <c r="H9" s="618" t="s">
        <v>2</v>
      </c>
    </row>
    <row r="10" spans="1:8" ht="14.4" customHeight="1" x14ac:dyDescent="0.3">
      <c r="A10" s="616" t="s">
        <v>534</v>
      </c>
      <c r="B10" s="617" t="s">
        <v>6</v>
      </c>
      <c r="C10" s="618" t="s">
        <v>536</v>
      </c>
      <c r="D10" s="618">
        <v>1272638.4848470772</v>
      </c>
      <c r="E10" s="618">
        <v>1219841.1591262347</v>
      </c>
      <c r="F10" s="619">
        <v>0.95851349275581066</v>
      </c>
      <c r="G10" s="618">
        <v>-52797.325720842462</v>
      </c>
      <c r="H10" s="618" t="s">
        <v>547</v>
      </c>
    </row>
    <row r="12" spans="1:8" ht="14.4" customHeight="1" x14ac:dyDescent="0.3">
      <c r="A12" s="616" t="s">
        <v>534</v>
      </c>
      <c r="B12" s="617" t="s">
        <v>535</v>
      </c>
      <c r="C12" s="618" t="s">
        <v>536</v>
      </c>
      <c r="D12" s="618" t="s">
        <v>535</v>
      </c>
      <c r="E12" s="618" t="s">
        <v>535</v>
      </c>
      <c r="F12" s="619" t="s">
        <v>535</v>
      </c>
      <c r="G12" s="618" t="s">
        <v>535</v>
      </c>
      <c r="H12" s="618" t="s">
        <v>77</v>
      </c>
    </row>
    <row r="13" spans="1:8" ht="14.4" customHeight="1" x14ac:dyDescent="0.3">
      <c r="A13" s="616" t="s">
        <v>548</v>
      </c>
      <c r="B13" s="617" t="s">
        <v>537</v>
      </c>
      <c r="C13" s="618" t="s">
        <v>538</v>
      </c>
      <c r="D13" s="618">
        <v>168656.94817518833</v>
      </c>
      <c r="E13" s="618">
        <v>160423.71914191393</v>
      </c>
      <c r="F13" s="619">
        <v>0.95118357635214446</v>
      </c>
      <c r="G13" s="618">
        <v>-8233.2290332744014</v>
      </c>
      <c r="H13" s="618" t="s">
        <v>2</v>
      </c>
    </row>
    <row r="14" spans="1:8" ht="14.4" customHeight="1" x14ac:dyDescent="0.3">
      <c r="A14" s="616" t="s">
        <v>548</v>
      </c>
      <c r="B14" s="617" t="s">
        <v>539</v>
      </c>
      <c r="C14" s="618" t="s">
        <v>540</v>
      </c>
      <c r="D14" s="618">
        <v>10766.334202700884</v>
      </c>
      <c r="E14" s="618">
        <v>10524.516488422218</v>
      </c>
      <c r="F14" s="619">
        <v>0.97753945681734433</v>
      </c>
      <c r="G14" s="618">
        <v>-241.81771427866624</v>
      </c>
      <c r="H14" s="618" t="s">
        <v>2</v>
      </c>
    </row>
    <row r="15" spans="1:8" ht="14.4" customHeight="1" x14ac:dyDescent="0.3">
      <c r="A15" s="616" t="s">
        <v>548</v>
      </c>
      <c r="B15" s="617" t="s">
        <v>543</v>
      </c>
      <c r="C15" s="618" t="s">
        <v>544</v>
      </c>
      <c r="D15" s="618">
        <v>35663.238067860002</v>
      </c>
      <c r="E15" s="618">
        <v>29934.561660417447</v>
      </c>
      <c r="F15" s="619">
        <v>0.83936746302895904</v>
      </c>
      <c r="G15" s="618">
        <v>-5728.6764074425555</v>
      </c>
      <c r="H15" s="618" t="s">
        <v>2</v>
      </c>
    </row>
    <row r="16" spans="1:8" ht="14.4" customHeight="1" x14ac:dyDescent="0.3">
      <c r="A16" s="616" t="s">
        <v>548</v>
      </c>
      <c r="B16" s="617" t="s">
        <v>545</v>
      </c>
      <c r="C16" s="618" t="s">
        <v>546</v>
      </c>
      <c r="D16" s="618">
        <v>486.93201807512668</v>
      </c>
      <c r="E16" s="618">
        <v>493.95900484994223</v>
      </c>
      <c r="F16" s="619">
        <v>1.0144311454452999</v>
      </c>
      <c r="G16" s="618">
        <v>7.0269867748155548</v>
      </c>
      <c r="H16" s="618" t="s">
        <v>2</v>
      </c>
    </row>
    <row r="17" spans="1:8" ht="14.4" customHeight="1" x14ac:dyDescent="0.3">
      <c r="A17" s="616" t="s">
        <v>548</v>
      </c>
      <c r="B17" s="617" t="s">
        <v>6</v>
      </c>
      <c r="C17" s="618" t="s">
        <v>549</v>
      </c>
      <c r="D17" s="618">
        <v>215573.45246382439</v>
      </c>
      <c r="E17" s="618">
        <v>201376.75629560355</v>
      </c>
      <c r="F17" s="619">
        <v>0.93414450617195921</v>
      </c>
      <c r="G17" s="618">
        <v>-14196.696168220835</v>
      </c>
      <c r="H17" s="618" t="s">
        <v>550</v>
      </c>
    </row>
    <row r="18" spans="1:8" ht="14.4" customHeight="1" x14ac:dyDescent="0.3">
      <c r="A18" s="616" t="s">
        <v>535</v>
      </c>
      <c r="B18" s="617" t="s">
        <v>535</v>
      </c>
      <c r="C18" s="618" t="s">
        <v>535</v>
      </c>
      <c r="D18" s="618" t="s">
        <v>535</v>
      </c>
      <c r="E18" s="618" t="s">
        <v>535</v>
      </c>
      <c r="F18" s="619" t="s">
        <v>535</v>
      </c>
      <c r="G18" s="618" t="s">
        <v>535</v>
      </c>
      <c r="H18" s="618" t="s">
        <v>551</v>
      </c>
    </row>
    <row r="19" spans="1:8" ht="14.4" customHeight="1" x14ac:dyDescent="0.3">
      <c r="A19" s="616" t="s">
        <v>552</v>
      </c>
      <c r="B19" s="617" t="s">
        <v>537</v>
      </c>
      <c r="C19" s="618" t="s">
        <v>538</v>
      </c>
      <c r="D19" s="618">
        <v>1114.3968395802667</v>
      </c>
      <c r="E19" s="618">
        <v>1437.8989901266518</v>
      </c>
      <c r="F19" s="619">
        <v>1.2902934924584235</v>
      </c>
      <c r="G19" s="618">
        <v>323.50215054638511</v>
      </c>
      <c r="H19" s="618" t="s">
        <v>2</v>
      </c>
    </row>
    <row r="20" spans="1:8" ht="14.4" customHeight="1" x14ac:dyDescent="0.3">
      <c r="A20" s="616" t="s">
        <v>552</v>
      </c>
      <c r="B20" s="617" t="s">
        <v>6</v>
      </c>
      <c r="C20" s="618" t="s">
        <v>553</v>
      </c>
      <c r="D20" s="618">
        <v>1114.3968395802667</v>
      </c>
      <c r="E20" s="618">
        <v>1437.8989901266518</v>
      </c>
      <c r="F20" s="619">
        <v>1.2902934924584235</v>
      </c>
      <c r="G20" s="618">
        <v>323.50215054638511</v>
      </c>
      <c r="H20" s="618" t="s">
        <v>550</v>
      </c>
    </row>
    <row r="21" spans="1:8" ht="14.4" customHeight="1" x14ac:dyDescent="0.3">
      <c r="A21" s="616" t="s">
        <v>535</v>
      </c>
      <c r="B21" s="617" t="s">
        <v>535</v>
      </c>
      <c r="C21" s="618" t="s">
        <v>535</v>
      </c>
      <c r="D21" s="618" t="s">
        <v>535</v>
      </c>
      <c r="E21" s="618" t="s">
        <v>535</v>
      </c>
      <c r="F21" s="619" t="s">
        <v>535</v>
      </c>
      <c r="G21" s="618" t="s">
        <v>535</v>
      </c>
      <c r="H21" s="618" t="s">
        <v>551</v>
      </c>
    </row>
    <row r="22" spans="1:8" ht="14.4" customHeight="1" x14ac:dyDescent="0.3">
      <c r="A22" s="616" t="s">
        <v>554</v>
      </c>
      <c r="B22" s="617" t="s">
        <v>537</v>
      </c>
      <c r="C22" s="618" t="s">
        <v>538</v>
      </c>
      <c r="D22" s="618">
        <v>518470.12428162998</v>
      </c>
      <c r="E22" s="618">
        <v>518971.10056597448</v>
      </c>
      <c r="F22" s="619">
        <v>1.0009662587309898</v>
      </c>
      <c r="G22" s="618">
        <v>500.97628434450598</v>
      </c>
      <c r="H22" s="618" t="s">
        <v>2</v>
      </c>
    </row>
    <row r="23" spans="1:8" ht="14.4" customHeight="1" x14ac:dyDescent="0.3">
      <c r="A23" s="616" t="s">
        <v>554</v>
      </c>
      <c r="B23" s="617" t="s">
        <v>539</v>
      </c>
      <c r="C23" s="618" t="s">
        <v>540</v>
      </c>
      <c r="D23" s="618">
        <v>99980.743783496335</v>
      </c>
      <c r="E23" s="618">
        <v>76659.547722374322</v>
      </c>
      <c r="F23" s="619">
        <v>0.7667431229395234</v>
      </c>
      <c r="G23" s="618">
        <v>-23321.196061122013</v>
      </c>
      <c r="H23" s="618" t="s">
        <v>2</v>
      </c>
    </row>
    <row r="24" spans="1:8" ht="14.4" customHeight="1" x14ac:dyDescent="0.3">
      <c r="A24" s="616" t="s">
        <v>554</v>
      </c>
      <c r="B24" s="617" t="s">
        <v>541</v>
      </c>
      <c r="C24" s="618" t="s">
        <v>542</v>
      </c>
      <c r="D24" s="618">
        <v>93334.152862383824</v>
      </c>
      <c r="E24" s="618">
        <v>67889.240000000005</v>
      </c>
      <c r="F24" s="619">
        <v>0.72737832741782127</v>
      </c>
      <c r="G24" s="618">
        <v>-25444.912862383819</v>
      </c>
      <c r="H24" s="618" t="s">
        <v>2</v>
      </c>
    </row>
    <row r="25" spans="1:8" ht="14.4" customHeight="1" x14ac:dyDescent="0.3">
      <c r="A25" s="616" t="s">
        <v>554</v>
      </c>
      <c r="B25" s="617" t="s">
        <v>543</v>
      </c>
      <c r="C25" s="618" t="s">
        <v>544</v>
      </c>
      <c r="D25" s="618">
        <v>48661.988391659506</v>
      </c>
      <c r="E25" s="618">
        <v>55048.571999582644</v>
      </c>
      <c r="F25" s="619">
        <v>1.1312437863516851</v>
      </c>
      <c r="G25" s="618">
        <v>6386.5836079231376</v>
      </c>
      <c r="H25" s="618" t="s">
        <v>2</v>
      </c>
    </row>
    <row r="26" spans="1:8" ht="14.4" customHeight="1" x14ac:dyDescent="0.3">
      <c r="A26" s="616" t="s">
        <v>554</v>
      </c>
      <c r="B26" s="617" t="s">
        <v>545</v>
      </c>
      <c r="C26" s="618" t="s">
        <v>546</v>
      </c>
      <c r="D26" s="618">
        <v>34348.763122527831</v>
      </c>
      <c r="E26" s="618">
        <v>7380.2085263217787</v>
      </c>
      <c r="F26" s="619">
        <v>0.21486096893781387</v>
      </c>
      <c r="G26" s="618">
        <v>-26968.554596206053</v>
      </c>
      <c r="H26" s="618" t="s">
        <v>2</v>
      </c>
    </row>
    <row r="27" spans="1:8" ht="14.4" customHeight="1" x14ac:dyDescent="0.3">
      <c r="A27" s="616" t="s">
        <v>554</v>
      </c>
      <c r="B27" s="617" t="s">
        <v>6</v>
      </c>
      <c r="C27" s="618" t="s">
        <v>555</v>
      </c>
      <c r="D27" s="618">
        <v>794795.77244169766</v>
      </c>
      <c r="E27" s="618">
        <v>725948.66881425329</v>
      </c>
      <c r="F27" s="619">
        <v>0.91337761722619804</v>
      </c>
      <c r="G27" s="618">
        <v>-68847.103627444361</v>
      </c>
      <c r="H27" s="618" t="s">
        <v>550</v>
      </c>
    </row>
    <row r="28" spans="1:8" ht="14.4" customHeight="1" x14ac:dyDescent="0.3">
      <c r="A28" s="616" t="s">
        <v>535</v>
      </c>
      <c r="B28" s="617" t="s">
        <v>535</v>
      </c>
      <c r="C28" s="618" t="s">
        <v>535</v>
      </c>
      <c r="D28" s="618" t="s">
        <v>535</v>
      </c>
      <c r="E28" s="618" t="s">
        <v>535</v>
      </c>
      <c r="F28" s="619" t="s">
        <v>535</v>
      </c>
      <c r="G28" s="618" t="s">
        <v>535</v>
      </c>
      <c r="H28" s="618" t="s">
        <v>551</v>
      </c>
    </row>
    <row r="29" spans="1:8" ht="14.4" customHeight="1" x14ac:dyDescent="0.3">
      <c r="A29" s="616" t="s">
        <v>556</v>
      </c>
      <c r="B29" s="617" t="s">
        <v>537</v>
      </c>
      <c r="C29" s="618" t="s">
        <v>538</v>
      </c>
      <c r="D29" s="618">
        <v>258071.26193612334</v>
      </c>
      <c r="E29" s="618">
        <v>291077.8350262515</v>
      </c>
      <c r="F29" s="619">
        <v>1.127897127493017</v>
      </c>
      <c r="G29" s="618">
        <v>33006.573090128164</v>
      </c>
      <c r="H29" s="618" t="s">
        <v>2</v>
      </c>
    </row>
    <row r="30" spans="1:8" ht="14.4" customHeight="1" x14ac:dyDescent="0.3">
      <c r="A30" s="616" t="s">
        <v>556</v>
      </c>
      <c r="B30" s="617" t="s">
        <v>6</v>
      </c>
      <c r="C30" s="618" t="s">
        <v>557</v>
      </c>
      <c r="D30" s="618">
        <v>261154.86310197506</v>
      </c>
      <c r="E30" s="618">
        <v>291077.8350262515</v>
      </c>
      <c r="F30" s="619">
        <v>1.1145794168596133</v>
      </c>
      <c r="G30" s="618">
        <v>29922.97192427644</v>
      </c>
      <c r="H30" s="618" t="s">
        <v>550</v>
      </c>
    </row>
    <row r="31" spans="1:8" ht="14.4" customHeight="1" x14ac:dyDescent="0.3">
      <c r="A31" s="616" t="s">
        <v>535</v>
      </c>
      <c r="B31" s="617" t="s">
        <v>535</v>
      </c>
      <c r="C31" s="618" t="s">
        <v>535</v>
      </c>
      <c r="D31" s="618" t="s">
        <v>535</v>
      </c>
      <c r="E31" s="618" t="s">
        <v>535</v>
      </c>
      <c r="F31" s="619" t="s">
        <v>535</v>
      </c>
      <c r="G31" s="618" t="s">
        <v>535</v>
      </c>
      <c r="H31" s="618" t="s">
        <v>551</v>
      </c>
    </row>
    <row r="32" spans="1:8" ht="14.4" customHeight="1" x14ac:dyDescent="0.3">
      <c r="A32" s="616" t="s">
        <v>534</v>
      </c>
      <c r="B32" s="617" t="s">
        <v>6</v>
      </c>
      <c r="C32" s="618" t="s">
        <v>536</v>
      </c>
      <c r="D32" s="618">
        <v>1272638.4848470772</v>
      </c>
      <c r="E32" s="618">
        <v>1219841.1591262349</v>
      </c>
      <c r="F32" s="619">
        <v>0.95851349275581077</v>
      </c>
      <c r="G32" s="618">
        <v>-52797.325720842229</v>
      </c>
      <c r="H32" s="618" t="s">
        <v>547</v>
      </c>
    </row>
  </sheetData>
  <autoFilter ref="A3:G3"/>
  <mergeCells count="1">
    <mergeCell ref="A1:G1"/>
  </mergeCells>
  <conditionalFormatting sqref="F11 F33:F65536">
    <cfRule type="cellIs" dxfId="65" priority="15" stopIfTrue="1" operator="greaterThan">
      <formula>1</formula>
    </cfRule>
  </conditionalFormatting>
  <conditionalFormatting sqref="B4:B10">
    <cfRule type="expression" dxfId="64" priority="12">
      <formula>AND(LEFT(H4,6)&lt;&gt;"mezera",H4&lt;&gt;"")</formula>
    </cfRule>
  </conditionalFormatting>
  <conditionalFormatting sqref="A4:A10">
    <cfRule type="expression" dxfId="63" priority="10">
      <formula>AND(H4&lt;&gt;"",H4&lt;&gt;"mezeraKL")</formula>
    </cfRule>
  </conditionalFormatting>
  <conditionalFormatting sqref="G4:G10">
    <cfRule type="cellIs" dxfId="62" priority="9" operator="greaterThan">
      <formula>0</formula>
    </cfRule>
  </conditionalFormatting>
  <conditionalFormatting sqref="F4:F10">
    <cfRule type="cellIs" dxfId="61" priority="8" operator="greaterThan">
      <formula>1</formula>
    </cfRule>
  </conditionalFormatting>
  <conditionalFormatting sqref="B4:G10">
    <cfRule type="expression" dxfId="60" priority="11">
      <formula>OR($H4="KL",$H4="SumaKL")</formula>
    </cfRule>
    <cfRule type="expression" dxfId="59" priority="13">
      <formula>$H4="SumaNS"</formula>
    </cfRule>
  </conditionalFormatting>
  <conditionalFormatting sqref="A4:G10">
    <cfRule type="expression" dxfId="58" priority="14">
      <formula>$H4&lt;&gt;""</formula>
    </cfRule>
  </conditionalFormatting>
  <conditionalFormatting sqref="F12:F32">
    <cfRule type="cellIs" dxfId="57" priority="3" operator="greaterThan">
      <formula>1</formula>
    </cfRule>
  </conditionalFormatting>
  <conditionalFormatting sqref="B12:B32">
    <cfRule type="expression" dxfId="56" priority="6">
      <formula>AND(LEFT(H12,6)&lt;&gt;"mezera",H12&lt;&gt;"")</formula>
    </cfRule>
  </conditionalFormatting>
  <conditionalFormatting sqref="A12:A32">
    <cfRule type="expression" dxfId="55" priority="4">
      <formula>AND(H12&lt;&gt;"",H12&lt;&gt;"mezeraKL")</formula>
    </cfRule>
  </conditionalFormatting>
  <conditionalFormatting sqref="G12:G32">
    <cfRule type="cellIs" dxfId="54" priority="2" operator="greaterThan">
      <formula>0</formula>
    </cfRule>
  </conditionalFormatting>
  <conditionalFormatting sqref="B12:G32">
    <cfRule type="expression" dxfId="53" priority="5">
      <formula>OR($H12="KL",$H12="SumaKL")</formula>
    </cfRule>
    <cfRule type="expression" dxfId="52" priority="7">
      <formula>$H12="SumaNS"</formula>
    </cfRule>
  </conditionalFormatting>
  <conditionalFormatting sqref="A12:G32">
    <cfRule type="expression" dxfId="51" priority="1">
      <formula>$H12&lt;&gt;""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46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260" hidden="1" customWidth="1" outlineLevel="1"/>
    <col min="2" max="2" width="28.33203125" style="260" hidden="1" customWidth="1" outlineLevel="1"/>
    <col min="3" max="3" width="5.33203125" style="345" bestFit="1" customWidth="1" collapsed="1"/>
    <col min="4" max="4" width="18.77734375" style="349" customWidth="1"/>
    <col min="5" max="5" width="9" style="345" bestFit="1" customWidth="1"/>
    <col min="6" max="6" width="18.77734375" style="349" customWidth="1"/>
    <col min="7" max="7" width="5" style="345" customWidth="1"/>
    <col min="8" max="8" width="12.44140625" style="345" hidden="1" customWidth="1" outlineLevel="1"/>
    <col min="9" max="9" width="8.5546875" style="345" hidden="1" customWidth="1" outlineLevel="1"/>
    <col min="10" max="10" width="25.77734375" style="345" customWidth="1" collapsed="1"/>
    <col min="11" max="11" width="8.77734375" style="345" customWidth="1"/>
    <col min="12" max="13" width="7.77734375" style="343" customWidth="1"/>
    <col min="14" max="14" width="11.109375" style="343" customWidth="1"/>
    <col min="15" max="16384" width="8.88671875" style="260"/>
  </cols>
  <sheetData>
    <row r="1" spans="1:14" ht="18.600000000000001" customHeight="1" thickBot="1" x14ac:dyDescent="0.4">
      <c r="A1" s="492" t="s">
        <v>212</v>
      </c>
      <c r="B1" s="463"/>
      <c r="C1" s="463"/>
      <c r="D1" s="463"/>
      <c r="E1" s="463"/>
      <c r="F1" s="463"/>
      <c r="G1" s="463"/>
      <c r="H1" s="463"/>
      <c r="I1" s="463"/>
      <c r="J1" s="463"/>
      <c r="K1" s="463"/>
      <c r="L1" s="463"/>
      <c r="M1" s="463"/>
      <c r="N1" s="463"/>
    </row>
    <row r="2" spans="1:14" ht="14.4" customHeight="1" thickBot="1" x14ac:dyDescent="0.35">
      <c r="A2" s="389" t="s">
        <v>298</v>
      </c>
      <c r="B2" s="66"/>
      <c r="C2" s="347"/>
      <c r="D2" s="347"/>
      <c r="E2" s="347"/>
      <c r="F2" s="347"/>
      <c r="G2" s="347"/>
      <c r="H2" s="347"/>
      <c r="I2" s="347"/>
      <c r="J2" s="347"/>
      <c r="K2" s="347"/>
      <c r="L2" s="348"/>
      <c r="M2" s="348"/>
      <c r="N2" s="348"/>
    </row>
    <row r="3" spans="1:14" ht="14.4" customHeight="1" thickBot="1" x14ac:dyDescent="0.35">
      <c r="A3" s="66"/>
      <c r="B3" s="66"/>
      <c r="C3" s="488"/>
      <c r="D3" s="489"/>
      <c r="E3" s="489"/>
      <c r="F3" s="489"/>
      <c r="G3" s="489"/>
      <c r="H3" s="489"/>
      <c r="I3" s="489"/>
      <c r="J3" s="490" t="s">
        <v>163</v>
      </c>
      <c r="K3" s="491"/>
      <c r="L3" s="213">
        <f>IF(M3&lt;&gt;0,N3/M3,0)</f>
        <v>167.82455360783578</v>
      </c>
      <c r="M3" s="213">
        <f>SUBTOTAL(9,M5:M1048576)</f>
        <v>7268.5500000000011</v>
      </c>
      <c r="N3" s="214">
        <f>SUBTOTAL(9,N5:N1048576)</f>
        <v>1219841.1591262349</v>
      </c>
    </row>
    <row r="4" spans="1:14" s="344" customFormat="1" ht="14.4" customHeight="1" thickBot="1" x14ac:dyDescent="0.35">
      <c r="A4" s="620" t="s">
        <v>7</v>
      </c>
      <c r="B4" s="621" t="s">
        <v>8</v>
      </c>
      <c r="C4" s="621" t="s">
        <v>0</v>
      </c>
      <c r="D4" s="621" t="s">
        <v>9</v>
      </c>
      <c r="E4" s="621" t="s">
        <v>10</v>
      </c>
      <c r="F4" s="621" t="s">
        <v>2</v>
      </c>
      <c r="G4" s="621" t="s">
        <v>11</v>
      </c>
      <c r="H4" s="621" t="s">
        <v>12</v>
      </c>
      <c r="I4" s="621" t="s">
        <v>13</v>
      </c>
      <c r="J4" s="622" t="s">
        <v>14</v>
      </c>
      <c r="K4" s="622" t="s">
        <v>15</v>
      </c>
      <c r="L4" s="623" t="s">
        <v>189</v>
      </c>
      <c r="M4" s="623" t="s">
        <v>16</v>
      </c>
      <c r="N4" s="624" t="s">
        <v>206</v>
      </c>
    </row>
    <row r="5" spans="1:14" ht="14.4" customHeight="1" x14ac:dyDescent="0.3">
      <c r="A5" s="625" t="s">
        <v>534</v>
      </c>
      <c r="B5" s="626" t="s">
        <v>536</v>
      </c>
      <c r="C5" s="627" t="s">
        <v>548</v>
      </c>
      <c r="D5" s="628" t="s">
        <v>549</v>
      </c>
      <c r="E5" s="627" t="s">
        <v>537</v>
      </c>
      <c r="F5" s="628" t="s">
        <v>538</v>
      </c>
      <c r="G5" s="627"/>
      <c r="H5" s="627" t="s">
        <v>558</v>
      </c>
      <c r="I5" s="627" t="s">
        <v>559</v>
      </c>
      <c r="J5" s="627" t="s">
        <v>560</v>
      </c>
      <c r="K5" s="627" t="s">
        <v>561</v>
      </c>
      <c r="L5" s="629">
        <v>99.96</v>
      </c>
      <c r="M5" s="629">
        <v>1</v>
      </c>
      <c r="N5" s="630">
        <v>99.96</v>
      </c>
    </row>
    <row r="6" spans="1:14" ht="14.4" customHeight="1" x14ac:dyDescent="0.3">
      <c r="A6" s="631" t="s">
        <v>534</v>
      </c>
      <c r="B6" s="632" t="s">
        <v>536</v>
      </c>
      <c r="C6" s="633" t="s">
        <v>548</v>
      </c>
      <c r="D6" s="634" t="s">
        <v>549</v>
      </c>
      <c r="E6" s="633" t="s">
        <v>537</v>
      </c>
      <c r="F6" s="634" t="s">
        <v>538</v>
      </c>
      <c r="G6" s="633" t="s">
        <v>562</v>
      </c>
      <c r="H6" s="633" t="s">
        <v>563</v>
      </c>
      <c r="I6" s="633" t="s">
        <v>563</v>
      </c>
      <c r="J6" s="633" t="s">
        <v>564</v>
      </c>
      <c r="K6" s="633" t="s">
        <v>565</v>
      </c>
      <c r="L6" s="635">
        <v>179.4</v>
      </c>
      <c r="M6" s="635">
        <v>3</v>
      </c>
      <c r="N6" s="636">
        <v>538.20000000000005</v>
      </c>
    </row>
    <row r="7" spans="1:14" ht="14.4" customHeight="1" x14ac:dyDescent="0.3">
      <c r="A7" s="631" t="s">
        <v>534</v>
      </c>
      <c r="B7" s="632" t="s">
        <v>536</v>
      </c>
      <c r="C7" s="633" t="s">
        <v>548</v>
      </c>
      <c r="D7" s="634" t="s">
        <v>549</v>
      </c>
      <c r="E7" s="633" t="s">
        <v>537</v>
      </c>
      <c r="F7" s="634" t="s">
        <v>538</v>
      </c>
      <c r="G7" s="633" t="s">
        <v>562</v>
      </c>
      <c r="H7" s="633" t="s">
        <v>566</v>
      </c>
      <c r="I7" s="633" t="s">
        <v>566</v>
      </c>
      <c r="J7" s="633" t="s">
        <v>567</v>
      </c>
      <c r="K7" s="633" t="s">
        <v>568</v>
      </c>
      <c r="L7" s="635">
        <v>181.59</v>
      </c>
      <c r="M7" s="635">
        <v>1</v>
      </c>
      <c r="N7" s="636">
        <v>181.59</v>
      </c>
    </row>
    <row r="8" spans="1:14" ht="14.4" customHeight="1" x14ac:dyDescent="0.3">
      <c r="A8" s="631" t="s">
        <v>534</v>
      </c>
      <c r="B8" s="632" t="s">
        <v>536</v>
      </c>
      <c r="C8" s="633" t="s">
        <v>548</v>
      </c>
      <c r="D8" s="634" t="s">
        <v>549</v>
      </c>
      <c r="E8" s="633" t="s">
        <v>537</v>
      </c>
      <c r="F8" s="634" t="s">
        <v>538</v>
      </c>
      <c r="G8" s="633" t="s">
        <v>562</v>
      </c>
      <c r="H8" s="633" t="s">
        <v>569</v>
      </c>
      <c r="I8" s="633" t="s">
        <v>569</v>
      </c>
      <c r="J8" s="633" t="s">
        <v>570</v>
      </c>
      <c r="K8" s="633" t="s">
        <v>571</v>
      </c>
      <c r="L8" s="635">
        <v>232.30000000000007</v>
      </c>
      <c r="M8" s="635">
        <v>1</v>
      </c>
      <c r="N8" s="636">
        <v>232.30000000000007</v>
      </c>
    </row>
    <row r="9" spans="1:14" ht="14.4" customHeight="1" x14ac:dyDescent="0.3">
      <c r="A9" s="631" t="s">
        <v>534</v>
      </c>
      <c r="B9" s="632" t="s">
        <v>536</v>
      </c>
      <c r="C9" s="633" t="s">
        <v>548</v>
      </c>
      <c r="D9" s="634" t="s">
        <v>549</v>
      </c>
      <c r="E9" s="633" t="s">
        <v>537</v>
      </c>
      <c r="F9" s="634" t="s">
        <v>538</v>
      </c>
      <c r="G9" s="633" t="s">
        <v>562</v>
      </c>
      <c r="H9" s="633" t="s">
        <v>572</v>
      </c>
      <c r="I9" s="633" t="s">
        <v>572</v>
      </c>
      <c r="J9" s="633" t="s">
        <v>564</v>
      </c>
      <c r="K9" s="633" t="s">
        <v>573</v>
      </c>
      <c r="L9" s="635">
        <v>97.179999999999993</v>
      </c>
      <c r="M9" s="635">
        <v>17</v>
      </c>
      <c r="N9" s="636">
        <v>1652.06</v>
      </c>
    </row>
    <row r="10" spans="1:14" ht="14.4" customHeight="1" x14ac:dyDescent="0.3">
      <c r="A10" s="631" t="s">
        <v>534</v>
      </c>
      <c r="B10" s="632" t="s">
        <v>536</v>
      </c>
      <c r="C10" s="633" t="s">
        <v>548</v>
      </c>
      <c r="D10" s="634" t="s">
        <v>549</v>
      </c>
      <c r="E10" s="633" t="s">
        <v>537</v>
      </c>
      <c r="F10" s="634" t="s">
        <v>538</v>
      </c>
      <c r="G10" s="633" t="s">
        <v>562</v>
      </c>
      <c r="H10" s="633" t="s">
        <v>574</v>
      </c>
      <c r="I10" s="633" t="s">
        <v>574</v>
      </c>
      <c r="J10" s="633" t="s">
        <v>564</v>
      </c>
      <c r="K10" s="633" t="s">
        <v>575</v>
      </c>
      <c r="L10" s="635">
        <v>97.75</v>
      </c>
      <c r="M10" s="635">
        <v>1</v>
      </c>
      <c r="N10" s="636">
        <v>97.75</v>
      </c>
    </row>
    <row r="11" spans="1:14" ht="14.4" customHeight="1" x14ac:dyDescent="0.3">
      <c r="A11" s="631" t="s">
        <v>534</v>
      </c>
      <c r="B11" s="632" t="s">
        <v>536</v>
      </c>
      <c r="C11" s="633" t="s">
        <v>548</v>
      </c>
      <c r="D11" s="634" t="s">
        <v>549</v>
      </c>
      <c r="E11" s="633" t="s">
        <v>537</v>
      </c>
      <c r="F11" s="634" t="s">
        <v>538</v>
      </c>
      <c r="G11" s="633" t="s">
        <v>562</v>
      </c>
      <c r="H11" s="633" t="s">
        <v>576</v>
      </c>
      <c r="I11" s="633" t="s">
        <v>577</v>
      </c>
      <c r="J11" s="633" t="s">
        <v>578</v>
      </c>
      <c r="K11" s="633" t="s">
        <v>579</v>
      </c>
      <c r="L11" s="635">
        <v>84.57</v>
      </c>
      <c r="M11" s="635">
        <v>4</v>
      </c>
      <c r="N11" s="636">
        <v>338.28</v>
      </c>
    </row>
    <row r="12" spans="1:14" ht="14.4" customHeight="1" x14ac:dyDescent="0.3">
      <c r="A12" s="631" t="s">
        <v>534</v>
      </c>
      <c r="B12" s="632" t="s">
        <v>536</v>
      </c>
      <c r="C12" s="633" t="s">
        <v>548</v>
      </c>
      <c r="D12" s="634" t="s">
        <v>549</v>
      </c>
      <c r="E12" s="633" t="s">
        <v>537</v>
      </c>
      <c r="F12" s="634" t="s">
        <v>538</v>
      </c>
      <c r="G12" s="633" t="s">
        <v>562</v>
      </c>
      <c r="H12" s="633" t="s">
        <v>580</v>
      </c>
      <c r="I12" s="633" t="s">
        <v>581</v>
      </c>
      <c r="J12" s="633" t="s">
        <v>582</v>
      </c>
      <c r="K12" s="633" t="s">
        <v>583</v>
      </c>
      <c r="L12" s="635">
        <v>100.59230401049956</v>
      </c>
      <c r="M12" s="635">
        <v>24</v>
      </c>
      <c r="N12" s="636">
        <v>2414.2152962519895</v>
      </c>
    </row>
    <row r="13" spans="1:14" ht="14.4" customHeight="1" x14ac:dyDescent="0.3">
      <c r="A13" s="631" t="s">
        <v>534</v>
      </c>
      <c r="B13" s="632" t="s">
        <v>536</v>
      </c>
      <c r="C13" s="633" t="s">
        <v>548</v>
      </c>
      <c r="D13" s="634" t="s">
        <v>549</v>
      </c>
      <c r="E13" s="633" t="s">
        <v>537</v>
      </c>
      <c r="F13" s="634" t="s">
        <v>538</v>
      </c>
      <c r="G13" s="633" t="s">
        <v>562</v>
      </c>
      <c r="H13" s="633" t="s">
        <v>584</v>
      </c>
      <c r="I13" s="633" t="s">
        <v>585</v>
      </c>
      <c r="J13" s="633" t="s">
        <v>586</v>
      </c>
      <c r="K13" s="633" t="s">
        <v>587</v>
      </c>
      <c r="L13" s="635">
        <v>170.12</v>
      </c>
      <c r="M13" s="635">
        <v>2</v>
      </c>
      <c r="N13" s="636">
        <v>340.24</v>
      </c>
    </row>
    <row r="14" spans="1:14" ht="14.4" customHeight="1" x14ac:dyDescent="0.3">
      <c r="A14" s="631" t="s">
        <v>534</v>
      </c>
      <c r="B14" s="632" t="s">
        <v>536</v>
      </c>
      <c r="C14" s="633" t="s">
        <v>548</v>
      </c>
      <c r="D14" s="634" t="s">
        <v>549</v>
      </c>
      <c r="E14" s="633" t="s">
        <v>537</v>
      </c>
      <c r="F14" s="634" t="s">
        <v>538</v>
      </c>
      <c r="G14" s="633" t="s">
        <v>562</v>
      </c>
      <c r="H14" s="633" t="s">
        <v>588</v>
      </c>
      <c r="I14" s="633" t="s">
        <v>589</v>
      </c>
      <c r="J14" s="633" t="s">
        <v>590</v>
      </c>
      <c r="K14" s="633" t="s">
        <v>591</v>
      </c>
      <c r="L14" s="635">
        <v>63.38</v>
      </c>
      <c r="M14" s="635">
        <v>2</v>
      </c>
      <c r="N14" s="636">
        <v>126.76</v>
      </c>
    </row>
    <row r="15" spans="1:14" ht="14.4" customHeight="1" x14ac:dyDescent="0.3">
      <c r="A15" s="631" t="s">
        <v>534</v>
      </c>
      <c r="B15" s="632" t="s">
        <v>536</v>
      </c>
      <c r="C15" s="633" t="s">
        <v>548</v>
      </c>
      <c r="D15" s="634" t="s">
        <v>549</v>
      </c>
      <c r="E15" s="633" t="s">
        <v>537</v>
      </c>
      <c r="F15" s="634" t="s">
        <v>538</v>
      </c>
      <c r="G15" s="633" t="s">
        <v>562</v>
      </c>
      <c r="H15" s="633" t="s">
        <v>592</v>
      </c>
      <c r="I15" s="633" t="s">
        <v>593</v>
      </c>
      <c r="J15" s="633" t="s">
        <v>594</v>
      </c>
      <c r="K15" s="633" t="s">
        <v>595</v>
      </c>
      <c r="L15" s="635">
        <v>58.97</v>
      </c>
      <c r="M15" s="635">
        <v>3</v>
      </c>
      <c r="N15" s="636">
        <v>176.91</v>
      </c>
    </row>
    <row r="16" spans="1:14" ht="14.4" customHeight="1" x14ac:dyDescent="0.3">
      <c r="A16" s="631" t="s">
        <v>534</v>
      </c>
      <c r="B16" s="632" t="s">
        <v>536</v>
      </c>
      <c r="C16" s="633" t="s">
        <v>548</v>
      </c>
      <c r="D16" s="634" t="s">
        <v>549</v>
      </c>
      <c r="E16" s="633" t="s">
        <v>537</v>
      </c>
      <c r="F16" s="634" t="s">
        <v>538</v>
      </c>
      <c r="G16" s="633" t="s">
        <v>562</v>
      </c>
      <c r="H16" s="633" t="s">
        <v>596</v>
      </c>
      <c r="I16" s="633" t="s">
        <v>597</v>
      </c>
      <c r="J16" s="633" t="s">
        <v>598</v>
      </c>
      <c r="K16" s="633" t="s">
        <v>599</v>
      </c>
      <c r="L16" s="635">
        <v>56.43</v>
      </c>
      <c r="M16" s="635">
        <v>4</v>
      </c>
      <c r="N16" s="636">
        <v>225.72</v>
      </c>
    </row>
    <row r="17" spans="1:14" ht="14.4" customHeight="1" x14ac:dyDescent="0.3">
      <c r="A17" s="631" t="s">
        <v>534</v>
      </c>
      <c r="B17" s="632" t="s">
        <v>536</v>
      </c>
      <c r="C17" s="633" t="s">
        <v>548</v>
      </c>
      <c r="D17" s="634" t="s">
        <v>549</v>
      </c>
      <c r="E17" s="633" t="s">
        <v>537</v>
      </c>
      <c r="F17" s="634" t="s">
        <v>538</v>
      </c>
      <c r="G17" s="633" t="s">
        <v>562</v>
      </c>
      <c r="H17" s="633" t="s">
        <v>600</v>
      </c>
      <c r="I17" s="633" t="s">
        <v>601</v>
      </c>
      <c r="J17" s="633" t="s">
        <v>602</v>
      </c>
      <c r="K17" s="633" t="s">
        <v>603</v>
      </c>
      <c r="L17" s="635">
        <v>84.50854763071851</v>
      </c>
      <c r="M17" s="635">
        <v>11</v>
      </c>
      <c r="N17" s="636">
        <v>929.59402393790356</v>
      </c>
    </row>
    <row r="18" spans="1:14" ht="14.4" customHeight="1" x14ac:dyDescent="0.3">
      <c r="A18" s="631" t="s">
        <v>534</v>
      </c>
      <c r="B18" s="632" t="s">
        <v>536</v>
      </c>
      <c r="C18" s="633" t="s">
        <v>548</v>
      </c>
      <c r="D18" s="634" t="s">
        <v>549</v>
      </c>
      <c r="E18" s="633" t="s">
        <v>537</v>
      </c>
      <c r="F18" s="634" t="s">
        <v>538</v>
      </c>
      <c r="G18" s="633" t="s">
        <v>562</v>
      </c>
      <c r="H18" s="633" t="s">
        <v>604</v>
      </c>
      <c r="I18" s="633" t="s">
        <v>605</v>
      </c>
      <c r="J18" s="633" t="s">
        <v>606</v>
      </c>
      <c r="K18" s="633" t="s">
        <v>607</v>
      </c>
      <c r="L18" s="635">
        <v>66.53</v>
      </c>
      <c r="M18" s="635">
        <v>1</v>
      </c>
      <c r="N18" s="636">
        <v>66.53</v>
      </c>
    </row>
    <row r="19" spans="1:14" ht="14.4" customHeight="1" x14ac:dyDescent="0.3">
      <c r="A19" s="631" t="s">
        <v>534</v>
      </c>
      <c r="B19" s="632" t="s">
        <v>536</v>
      </c>
      <c r="C19" s="633" t="s">
        <v>548</v>
      </c>
      <c r="D19" s="634" t="s">
        <v>549</v>
      </c>
      <c r="E19" s="633" t="s">
        <v>537</v>
      </c>
      <c r="F19" s="634" t="s">
        <v>538</v>
      </c>
      <c r="G19" s="633" t="s">
        <v>562</v>
      </c>
      <c r="H19" s="633" t="s">
        <v>608</v>
      </c>
      <c r="I19" s="633" t="s">
        <v>609</v>
      </c>
      <c r="J19" s="633" t="s">
        <v>610</v>
      </c>
      <c r="K19" s="633" t="s">
        <v>611</v>
      </c>
      <c r="L19" s="635">
        <v>27.419931397159424</v>
      </c>
      <c r="M19" s="635">
        <v>19</v>
      </c>
      <c r="N19" s="636">
        <v>520.97869654602903</v>
      </c>
    </row>
    <row r="20" spans="1:14" ht="14.4" customHeight="1" x14ac:dyDescent="0.3">
      <c r="A20" s="631" t="s">
        <v>534</v>
      </c>
      <c r="B20" s="632" t="s">
        <v>536</v>
      </c>
      <c r="C20" s="633" t="s">
        <v>548</v>
      </c>
      <c r="D20" s="634" t="s">
        <v>549</v>
      </c>
      <c r="E20" s="633" t="s">
        <v>537</v>
      </c>
      <c r="F20" s="634" t="s">
        <v>538</v>
      </c>
      <c r="G20" s="633" t="s">
        <v>562</v>
      </c>
      <c r="H20" s="633" t="s">
        <v>612</v>
      </c>
      <c r="I20" s="633" t="s">
        <v>613</v>
      </c>
      <c r="J20" s="633" t="s">
        <v>614</v>
      </c>
      <c r="K20" s="633" t="s">
        <v>615</v>
      </c>
      <c r="L20" s="635">
        <v>74.64</v>
      </c>
      <c r="M20" s="635">
        <v>1</v>
      </c>
      <c r="N20" s="636">
        <v>74.64</v>
      </c>
    </row>
    <row r="21" spans="1:14" ht="14.4" customHeight="1" x14ac:dyDescent="0.3">
      <c r="A21" s="631" t="s">
        <v>534</v>
      </c>
      <c r="B21" s="632" t="s">
        <v>536</v>
      </c>
      <c r="C21" s="633" t="s">
        <v>548</v>
      </c>
      <c r="D21" s="634" t="s">
        <v>549</v>
      </c>
      <c r="E21" s="633" t="s">
        <v>537</v>
      </c>
      <c r="F21" s="634" t="s">
        <v>538</v>
      </c>
      <c r="G21" s="633" t="s">
        <v>562</v>
      </c>
      <c r="H21" s="633" t="s">
        <v>616</v>
      </c>
      <c r="I21" s="633" t="s">
        <v>617</v>
      </c>
      <c r="J21" s="633" t="s">
        <v>618</v>
      </c>
      <c r="K21" s="633" t="s">
        <v>619</v>
      </c>
      <c r="L21" s="635">
        <v>81.170099265652169</v>
      </c>
      <c r="M21" s="635">
        <v>8</v>
      </c>
      <c r="N21" s="636">
        <v>649.36079412521735</v>
      </c>
    </row>
    <row r="22" spans="1:14" ht="14.4" customHeight="1" x14ac:dyDescent="0.3">
      <c r="A22" s="631" t="s">
        <v>534</v>
      </c>
      <c r="B22" s="632" t="s">
        <v>536</v>
      </c>
      <c r="C22" s="633" t="s">
        <v>548</v>
      </c>
      <c r="D22" s="634" t="s">
        <v>549</v>
      </c>
      <c r="E22" s="633" t="s">
        <v>537</v>
      </c>
      <c r="F22" s="634" t="s">
        <v>538</v>
      </c>
      <c r="G22" s="633" t="s">
        <v>562</v>
      </c>
      <c r="H22" s="633" t="s">
        <v>620</v>
      </c>
      <c r="I22" s="633" t="s">
        <v>621</v>
      </c>
      <c r="J22" s="633" t="s">
        <v>622</v>
      </c>
      <c r="K22" s="633" t="s">
        <v>623</v>
      </c>
      <c r="L22" s="635">
        <v>176.31</v>
      </c>
      <c r="M22" s="635">
        <v>1</v>
      </c>
      <c r="N22" s="636">
        <v>176.31</v>
      </c>
    </row>
    <row r="23" spans="1:14" ht="14.4" customHeight="1" x14ac:dyDescent="0.3">
      <c r="A23" s="631" t="s">
        <v>534</v>
      </c>
      <c r="B23" s="632" t="s">
        <v>536</v>
      </c>
      <c r="C23" s="633" t="s">
        <v>548</v>
      </c>
      <c r="D23" s="634" t="s">
        <v>549</v>
      </c>
      <c r="E23" s="633" t="s">
        <v>537</v>
      </c>
      <c r="F23" s="634" t="s">
        <v>538</v>
      </c>
      <c r="G23" s="633" t="s">
        <v>562</v>
      </c>
      <c r="H23" s="633" t="s">
        <v>624</v>
      </c>
      <c r="I23" s="633" t="s">
        <v>625</v>
      </c>
      <c r="J23" s="633" t="s">
        <v>626</v>
      </c>
      <c r="K23" s="633" t="s">
        <v>627</v>
      </c>
      <c r="L23" s="635">
        <v>51.893478663598273</v>
      </c>
      <c r="M23" s="635">
        <v>3</v>
      </c>
      <c r="N23" s="636">
        <v>155.68043599079482</v>
      </c>
    </row>
    <row r="24" spans="1:14" ht="14.4" customHeight="1" x14ac:dyDescent="0.3">
      <c r="A24" s="631" t="s">
        <v>534</v>
      </c>
      <c r="B24" s="632" t="s">
        <v>536</v>
      </c>
      <c r="C24" s="633" t="s">
        <v>548</v>
      </c>
      <c r="D24" s="634" t="s">
        <v>549</v>
      </c>
      <c r="E24" s="633" t="s">
        <v>537</v>
      </c>
      <c r="F24" s="634" t="s">
        <v>538</v>
      </c>
      <c r="G24" s="633" t="s">
        <v>562</v>
      </c>
      <c r="H24" s="633" t="s">
        <v>628</v>
      </c>
      <c r="I24" s="633" t="s">
        <v>629</v>
      </c>
      <c r="J24" s="633" t="s">
        <v>630</v>
      </c>
      <c r="K24" s="633" t="s">
        <v>599</v>
      </c>
      <c r="L24" s="635">
        <v>67.470000000000027</v>
      </c>
      <c r="M24" s="635">
        <v>10</v>
      </c>
      <c r="N24" s="636">
        <v>674.70000000000027</v>
      </c>
    </row>
    <row r="25" spans="1:14" ht="14.4" customHeight="1" x14ac:dyDescent="0.3">
      <c r="A25" s="631" t="s">
        <v>534</v>
      </c>
      <c r="B25" s="632" t="s">
        <v>536</v>
      </c>
      <c r="C25" s="633" t="s">
        <v>548</v>
      </c>
      <c r="D25" s="634" t="s">
        <v>549</v>
      </c>
      <c r="E25" s="633" t="s">
        <v>537</v>
      </c>
      <c r="F25" s="634" t="s">
        <v>538</v>
      </c>
      <c r="G25" s="633" t="s">
        <v>562</v>
      </c>
      <c r="H25" s="633" t="s">
        <v>631</v>
      </c>
      <c r="I25" s="633" t="s">
        <v>632</v>
      </c>
      <c r="J25" s="633" t="s">
        <v>633</v>
      </c>
      <c r="K25" s="633" t="s">
        <v>634</v>
      </c>
      <c r="L25" s="635">
        <v>59.28</v>
      </c>
      <c r="M25" s="635">
        <v>3</v>
      </c>
      <c r="N25" s="636">
        <v>177.84</v>
      </c>
    </row>
    <row r="26" spans="1:14" ht="14.4" customHeight="1" x14ac:dyDescent="0.3">
      <c r="A26" s="631" t="s">
        <v>534</v>
      </c>
      <c r="B26" s="632" t="s">
        <v>536</v>
      </c>
      <c r="C26" s="633" t="s">
        <v>548</v>
      </c>
      <c r="D26" s="634" t="s">
        <v>549</v>
      </c>
      <c r="E26" s="633" t="s">
        <v>537</v>
      </c>
      <c r="F26" s="634" t="s">
        <v>538</v>
      </c>
      <c r="G26" s="633" t="s">
        <v>562</v>
      </c>
      <c r="H26" s="633" t="s">
        <v>635</v>
      </c>
      <c r="I26" s="633" t="s">
        <v>636</v>
      </c>
      <c r="J26" s="633" t="s">
        <v>637</v>
      </c>
      <c r="K26" s="633" t="s">
        <v>638</v>
      </c>
      <c r="L26" s="635">
        <v>369.69707095226647</v>
      </c>
      <c r="M26" s="635">
        <v>2</v>
      </c>
      <c r="N26" s="636">
        <v>739.39414190453294</v>
      </c>
    </row>
    <row r="27" spans="1:14" ht="14.4" customHeight="1" x14ac:dyDescent="0.3">
      <c r="A27" s="631" t="s">
        <v>534</v>
      </c>
      <c r="B27" s="632" t="s">
        <v>536</v>
      </c>
      <c r="C27" s="633" t="s">
        <v>548</v>
      </c>
      <c r="D27" s="634" t="s">
        <v>549</v>
      </c>
      <c r="E27" s="633" t="s">
        <v>537</v>
      </c>
      <c r="F27" s="634" t="s">
        <v>538</v>
      </c>
      <c r="G27" s="633" t="s">
        <v>562</v>
      </c>
      <c r="H27" s="633" t="s">
        <v>639</v>
      </c>
      <c r="I27" s="633" t="s">
        <v>640</v>
      </c>
      <c r="J27" s="633" t="s">
        <v>641</v>
      </c>
      <c r="K27" s="633" t="s">
        <v>642</v>
      </c>
      <c r="L27" s="635">
        <v>60.350696914536286</v>
      </c>
      <c r="M27" s="635">
        <v>6</v>
      </c>
      <c r="N27" s="636">
        <v>362.10418148721772</v>
      </c>
    </row>
    <row r="28" spans="1:14" ht="14.4" customHeight="1" x14ac:dyDescent="0.3">
      <c r="A28" s="631" t="s">
        <v>534</v>
      </c>
      <c r="B28" s="632" t="s">
        <v>536</v>
      </c>
      <c r="C28" s="633" t="s">
        <v>548</v>
      </c>
      <c r="D28" s="634" t="s">
        <v>549</v>
      </c>
      <c r="E28" s="633" t="s">
        <v>537</v>
      </c>
      <c r="F28" s="634" t="s">
        <v>538</v>
      </c>
      <c r="G28" s="633" t="s">
        <v>562</v>
      </c>
      <c r="H28" s="633" t="s">
        <v>643</v>
      </c>
      <c r="I28" s="633" t="s">
        <v>644</v>
      </c>
      <c r="J28" s="633" t="s">
        <v>645</v>
      </c>
      <c r="K28" s="633" t="s">
        <v>646</v>
      </c>
      <c r="L28" s="635">
        <v>64.400000000000006</v>
      </c>
      <c r="M28" s="635">
        <v>3</v>
      </c>
      <c r="N28" s="636">
        <v>193.20000000000002</v>
      </c>
    </row>
    <row r="29" spans="1:14" ht="14.4" customHeight="1" x14ac:dyDescent="0.3">
      <c r="A29" s="631" t="s">
        <v>534</v>
      </c>
      <c r="B29" s="632" t="s">
        <v>536</v>
      </c>
      <c r="C29" s="633" t="s">
        <v>548</v>
      </c>
      <c r="D29" s="634" t="s">
        <v>549</v>
      </c>
      <c r="E29" s="633" t="s">
        <v>537</v>
      </c>
      <c r="F29" s="634" t="s">
        <v>538</v>
      </c>
      <c r="G29" s="633" t="s">
        <v>562</v>
      </c>
      <c r="H29" s="633" t="s">
        <v>647</v>
      </c>
      <c r="I29" s="633" t="s">
        <v>648</v>
      </c>
      <c r="J29" s="633" t="s">
        <v>649</v>
      </c>
      <c r="K29" s="633" t="s">
        <v>650</v>
      </c>
      <c r="L29" s="635">
        <v>260.00000000000006</v>
      </c>
      <c r="M29" s="635">
        <v>2</v>
      </c>
      <c r="N29" s="636">
        <v>520.00000000000011</v>
      </c>
    </row>
    <row r="30" spans="1:14" ht="14.4" customHeight="1" x14ac:dyDescent="0.3">
      <c r="A30" s="631" t="s">
        <v>534</v>
      </c>
      <c r="B30" s="632" t="s">
        <v>536</v>
      </c>
      <c r="C30" s="633" t="s">
        <v>548</v>
      </c>
      <c r="D30" s="634" t="s">
        <v>549</v>
      </c>
      <c r="E30" s="633" t="s">
        <v>537</v>
      </c>
      <c r="F30" s="634" t="s">
        <v>538</v>
      </c>
      <c r="G30" s="633" t="s">
        <v>562</v>
      </c>
      <c r="H30" s="633" t="s">
        <v>651</v>
      </c>
      <c r="I30" s="633" t="s">
        <v>652</v>
      </c>
      <c r="J30" s="633" t="s">
        <v>653</v>
      </c>
      <c r="K30" s="633" t="s">
        <v>654</v>
      </c>
      <c r="L30" s="635">
        <v>151.13999999999999</v>
      </c>
      <c r="M30" s="635">
        <v>2</v>
      </c>
      <c r="N30" s="636">
        <v>302.27999999999997</v>
      </c>
    </row>
    <row r="31" spans="1:14" ht="14.4" customHeight="1" x14ac:dyDescent="0.3">
      <c r="A31" s="631" t="s">
        <v>534</v>
      </c>
      <c r="B31" s="632" t="s">
        <v>536</v>
      </c>
      <c r="C31" s="633" t="s">
        <v>548</v>
      </c>
      <c r="D31" s="634" t="s">
        <v>549</v>
      </c>
      <c r="E31" s="633" t="s">
        <v>537</v>
      </c>
      <c r="F31" s="634" t="s">
        <v>538</v>
      </c>
      <c r="G31" s="633" t="s">
        <v>562</v>
      </c>
      <c r="H31" s="633" t="s">
        <v>655</v>
      </c>
      <c r="I31" s="633" t="s">
        <v>656</v>
      </c>
      <c r="J31" s="633" t="s">
        <v>657</v>
      </c>
      <c r="K31" s="633" t="s">
        <v>658</v>
      </c>
      <c r="L31" s="635">
        <v>265.14</v>
      </c>
      <c r="M31" s="635">
        <v>3</v>
      </c>
      <c r="N31" s="636">
        <v>795.42</v>
      </c>
    </row>
    <row r="32" spans="1:14" ht="14.4" customHeight="1" x14ac:dyDescent="0.3">
      <c r="A32" s="631" t="s">
        <v>534</v>
      </c>
      <c r="B32" s="632" t="s">
        <v>536</v>
      </c>
      <c r="C32" s="633" t="s">
        <v>548</v>
      </c>
      <c r="D32" s="634" t="s">
        <v>549</v>
      </c>
      <c r="E32" s="633" t="s">
        <v>537</v>
      </c>
      <c r="F32" s="634" t="s">
        <v>538</v>
      </c>
      <c r="G32" s="633" t="s">
        <v>562</v>
      </c>
      <c r="H32" s="633" t="s">
        <v>659</v>
      </c>
      <c r="I32" s="633" t="s">
        <v>660</v>
      </c>
      <c r="J32" s="633" t="s">
        <v>661</v>
      </c>
      <c r="K32" s="633" t="s">
        <v>662</v>
      </c>
      <c r="L32" s="635">
        <v>102.07</v>
      </c>
      <c r="M32" s="635">
        <v>1</v>
      </c>
      <c r="N32" s="636">
        <v>102.07</v>
      </c>
    </row>
    <row r="33" spans="1:14" ht="14.4" customHeight="1" x14ac:dyDescent="0.3">
      <c r="A33" s="631" t="s">
        <v>534</v>
      </c>
      <c r="B33" s="632" t="s">
        <v>536</v>
      </c>
      <c r="C33" s="633" t="s">
        <v>548</v>
      </c>
      <c r="D33" s="634" t="s">
        <v>549</v>
      </c>
      <c r="E33" s="633" t="s">
        <v>537</v>
      </c>
      <c r="F33" s="634" t="s">
        <v>538</v>
      </c>
      <c r="G33" s="633" t="s">
        <v>562</v>
      </c>
      <c r="H33" s="633" t="s">
        <v>663</v>
      </c>
      <c r="I33" s="633" t="s">
        <v>663</v>
      </c>
      <c r="J33" s="633" t="s">
        <v>664</v>
      </c>
      <c r="K33" s="633" t="s">
        <v>665</v>
      </c>
      <c r="L33" s="635">
        <v>38.190000000000005</v>
      </c>
      <c r="M33" s="635">
        <v>10</v>
      </c>
      <c r="N33" s="636">
        <v>381.90000000000003</v>
      </c>
    </row>
    <row r="34" spans="1:14" ht="14.4" customHeight="1" x14ac:dyDescent="0.3">
      <c r="A34" s="631" t="s">
        <v>534</v>
      </c>
      <c r="B34" s="632" t="s">
        <v>536</v>
      </c>
      <c r="C34" s="633" t="s">
        <v>548</v>
      </c>
      <c r="D34" s="634" t="s">
        <v>549</v>
      </c>
      <c r="E34" s="633" t="s">
        <v>537</v>
      </c>
      <c r="F34" s="634" t="s">
        <v>538</v>
      </c>
      <c r="G34" s="633" t="s">
        <v>562</v>
      </c>
      <c r="H34" s="633" t="s">
        <v>666</v>
      </c>
      <c r="I34" s="633" t="s">
        <v>667</v>
      </c>
      <c r="J34" s="633" t="s">
        <v>668</v>
      </c>
      <c r="K34" s="633" t="s">
        <v>669</v>
      </c>
      <c r="L34" s="635">
        <v>238.06000000000006</v>
      </c>
      <c r="M34" s="635">
        <v>2</v>
      </c>
      <c r="N34" s="636">
        <v>476.12000000000012</v>
      </c>
    </row>
    <row r="35" spans="1:14" ht="14.4" customHeight="1" x14ac:dyDescent="0.3">
      <c r="A35" s="631" t="s">
        <v>534</v>
      </c>
      <c r="B35" s="632" t="s">
        <v>536</v>
      </c>
      <c r="C35" s="633" t="s">
        <v>548</v>
      </c>
      <c r="D35" s="634" t="s">
        <v>549</v>
      </c>
      <c r="E35" s="633" t="s">
        <v>537</v>
      </c>
      <c r="F35" s="634" t="s">
        <v>538</v>
      </c>
      <c r="G35" s="633" t="s">
        <v>562</v>
      </c>
      <c r="H35" s="633" t="s">
        <v>670</v>
      </c>
      <c r="I35" s="633" t="s">
        <v>671</v>
      </c>
      <c r="J35" s="633" t="s">
        <v>672</v>
      </c>
      <c r="K35" s="633" t="s">
        <v>673</v>
      </c>
      <c r="L35" s="635">
        <v>184.74</v>
      </c>
      <c r="M35" s="635">
        <v>1</v>
      </c>
      <c r="N35" s="636">
        <v>184.74</v>
      </c>
    </row>
    <row r="36" spans="1:14" ht="14.4" customHeight="1" x14ac:dyDescent="0.3">
      <c r="A36" s="631" t="s">
        <v>534</v>
      </c>
      <c r="B36" s="632" t="s">
        <v>536</v>
      </c>
      <c r="C36" s="633" t="s">
        <v>548</v>
      </c>
      <c r="D36" s="634" t="s">
        <v>549</v>
      </c>
      <c r="E36" s="633" t="s">
        <v>537</v>
      </c>
      <c r="F36" s="634" t="s">
        <v>538</v>
      </c>
      <c r="G36" s="633" t="s">
        <v>562</v>
      </c>
      <c r="H36" s="633" t="s">
        <v>674</v>
      </c>
      <c r="I36" s="633" t="s">
        <v>675</v>
      </c>
      <c r="J36" s="633" t="s">
        <v>676</v>
      </c>
      <c r="K36" s="633" t="s">
        <v>677</v>
      </c>
      <c r="L36" s="635">
        <v>221.37022994429518</v>
      </c>
      <c r="M36" s="635">
        <v>3</v>
      </c>
      <c r="N36" s="636">
        <v>664.11068983288556</v>
      </c>
    </row>
    <row r="37" spans="1:14" ht="14.4" customHeight="1" x14ac:dyDescent="0.3">
      <c r="A37" s="631" t="s">
        <v>534</v>
      </c>
      <c r="B37" s="632" t="s">
        <v>536</v>
      </c>
      <c r="C37" s="633" t="s">
        <v>548</v>
      </c>
      <c r="D37" s="634" t="s">
        <v>549</v>
      </c>
      <c r="E37" s="633" t="s">
        <v>537</v>
      </c>
      <c r="F37" s="634" t="s">
        <v>538</v>
      </c>
      <c r="G37" s="633" t="s">
        <v>562</v>
      </c>
      <c r="H37" s="633" t="s">
        <v>678</v>
      </c>
      <c r="I37" s="633" t="s">
        <v>679</v>
      </c>
      <c r="J37" s="633" t="s">
        <v>680</v>
      </c>
      <c r="K37" s="633" t="s">
        <v>681</v>
      </c>
      <c r="L37" s="635">
        <v>117.69979608878501</v>
      </c>
      <c r="M37" s="635">
        <v>1</v>
      </c>
      <c r="N37" s="636">
        <v>117.69979608878501</v>
      </c>
    </row>
    <row r="38" spans="1:14" ht="14.4" customHeight="1" x14ac:dyDescent="0.3">
      <c r="A38" s="631" t="s">
        <v>534</v>
      </c>
      <c r="B38" s="632" t="s">
        <v>536</v>
      </c>
      <c r="C38" s="633" t="s">
        <v>548</v>
      </c>
      <c r="D38" s="634" t="s">
        <v>549</v>
      </c>
      <c r="E38" s="633" t="s">
        <v>537</v>
      </c>
      <c r="F38" s="634" t="s">
        <v>538</v>
      </c>
      <c r="G38" s="633" t="s">
        <v>562</v>
      </c>
      <c r="H38" s="633" t="s">
        <v>682</v>
      </c>
      <c r="I38" s="633" t="s">
        <v>683</v>
      </c>
      <c r="J38" s="633" t="s">
        <v>684</v>
      </c>
      <c r="K38" s="633" t="s">
        <v>685</v>
      </c>
      <c r="L38" s="635">
        <v>118.72957870324483</v>
      </c>
      <c r="M38" s="635">
        <v>3</v>
      </c>
      <c r="N38" s="636">
        <v>356.18873610973446</v>
      </c>
    </row>
    <row r="39" spans="1:14" ht="14.4" customHeight="1" x14ac:dyDescent="0.3">
      <c r="A39" s="631" t="s">
        <v>534</v>
      </c>
      <c r="B39" s="632" t="s">
        <v>536</v>
      </c>
      <c r="C39" s="633" t="s">
        <v>548</v>
      </c>
      <c r="D39" s="634" t="s">
        <v>549</v>
      </c>
      <c r="E39" s="633" t="s">
        <v>537</v>
      </c>
      <c r="F39" s="634" t="s">
        <v>538</v>
      </c>
      <c r="G39" s="633" t="s">
        <v>562</v>
      </c>
      <c r="H39" s="633" t="s">
        <v>686</v>
      </c>
      <c r="I39" s="633" t="s">
        <v>687</v>
      </c>
      <c r="J39" s="633" t="s">
        <v>688</v>
      </c>
      <c r="K39" s="633" t="s">
        <v>689</v>
      </c>
      <c r="L39" s="635">
        <v>85.769733592762748</v>
      </c>
      <c r="M39" s="635">
        <v>2</v>
      </c>
      <c r="N39" s="636">
        <v>171.5394671855255</v>
      </c>
    </row>
    <row r="40" spans="1:14" ht="14.4" customHeight="1" x14ac:dyDescent="0.3">
      <c r="A40" s="631" t="s">
        <v>534</v>
      </c>
      <c r="B40" s="632" t="s">
        <v>536</v>
      </c>
      <c r="C40" s="633" t="s">
        <v>548</v>
      </c>
      <c r="D40" s="634" t="s">
        <v>549</v>
      </c>
      <c r="E40" s="633" t="s">
        <v>537</v>
      </c>
      <c r="F40" s="634" t="s">
        <v>538</v>
      </c>
      <c r="G40" s="633" t="s">
        <v>562</v>
      </c>
      <c r="H40" s="633" t="s">
        <v>690</v>
      </c>
      <c r="I40" s="633" t="s">
        <v>691</v>
      </c>
      <c r="J40" s="633" t="s">
        <v>692</v>
      </c>
      <c r="K40" s="633" t="s">
        <v>693</v>
      </c>
      <c r="L40" s="635">
        <v>340.29</v>
      </c>
      <c r="M40" s="635">
        <v>2</v>
      </c>
      <c r="N40" s="636">
        <v>680.58</v>
      </c>
    </row>
    <row r="41" spans="1:14" ht="14.4" customHeight="1" x14ac:dyDescent="0.3">
      <c r="A41" s="631" t="s">
        <v>534</v>
      </c>
      <c r="B41" s="632" t="s">
        <v>536</v>
      </c>
      <c r="C41" s="633" t="s">
        <v>548</v>
      </c>
      <c r="D41" s="634" t="s">
        <v>549</v>
      </c>
      <c r="E41" s="633" t="s">
        <v>537</v>
      </c>
      <c r="F41" s="634" t="s">
        <v>538</v>
      </c>
      <c r="G41" s="633" t="s">
        <v>562</v>
      </c>
      <c r="H41" s="633" t="s">
        <v>694</v>
      </c>
      <c r="I41" s="633" t="s">
        <v>695</v>
      </c>
      <c r="J41" s="633" t="s">
        <v>696</v>
      </c>
      <c r="K41" s="633" t="s">
        <v>693</v>
      </c>
      <c r="L41" s="635">
        <v>339.62</v>
      </c>
      <c r="M41" s="635">
        <v>2</v>
      </c>
      <c r="N41" s="636">
        <v>679.24</v>
      </c>
    </row>
    <row r="42" spans="1:14" ht="14.4" customHeight="1" x14ac:dyDescent="0.3">
      <c r="A42" s="631" t="s">
        <v>534</v>
      </c>
      <c r="B42" s="632" t="s">
        <v>536</v>
      </c>
      <c r="C42" s="633" t="s">
        <v>548</v>
      </c>
      <c r="D42" s="634" t="s">
        <v>549</v>
      </c>
      <c r="E42" s="633" t="s">
        <v>537</v>
      </c>
      <c r="F42" s="634" t="s">
        <v>538</v>
      </c>
      <c r="G42" s="633" t="s">
        <v>562</v>
      </c>
      <c r="H42" s="633" t="s">
        <v>697</v>
      </c>
      <c r="I42" s="633" t="s">
        <v>698</v>
      </c>
      <c r="J42" s="633" t="s">
        <v>699</v>
      </c>
      <c r="K42" s="633" t="s">
        <v>700</v>
      </c>
      <c r="L42" s="635">
        <v>69.919496875545903</v>
      </c>
      <c r="M42" s="635">
        <v>2</v>
      </c>
      <c r="N42" s="636">
        <v>139.83899375109181</v>
      </c>
    </row>
    <row r="43" spans="1:14" ht="14.4" customHeight="1" x14ac:dyDescent="0.3">
      <c r="A43" s="631" t="s">
        <v>534</v>
      </c>
      <c r="B43" s="632" t="s">
        <v>536</v>
      </c>
      <c r="C43" s="633" t="s">
        <v>548</v>
      </c>
      <c r="D43" s="634" t="s">
        <v>549</v>
      </c>
      <c r="E43" s="633" t="s">
        <v>537</v>
      </c>
      <c r="F43" s="634" t="s">
        <v>538</v>
      </c>
      <c r="G43" s="633" t="s">
        <v>562</v>
      </c>
      <c r="H43" s="633" t="s">
        <v>701</v>
      </c>
      <c r="I43" s="633" t="s">
        <v>702</v>
      </c>
      <c r="J43" s="633" t="s">
        <v>703</v>
      </c>
      <c r="K43" s="633" t="s">
        <v>704</v>
      </c>
      <c r="L43" s="635">
        <v>87.06</v>
      </c>
      <c r="M43" s="635">
        <v>2</v>
      </c>
      <c r="N43" s="636">
        <v>174.12</v>
      </c>
    </row>
    <row r="44" spans="1:14" ht="14.4" customHeight="1" x14ac:dyDescent="0.3">
      <c r="A44" s="631" t="s">
        <v>534</v>
      </c>
      <c r="B44" s="632" t="s">
        <v>536</v>
      </c>
      <c r="C44" s="633" t="s">
        <v>548</v>
      </c>
      <c r="D44" s="634" t="s">
        <v>549</v>
      </c>
      <c r="E44" s="633" t="s">
        <v>537</v>
      </c>
      <c r="F44" s="634" t="s">
        <v>538</v>
      </c>
      <c r="G44" s="633" t="s">
        <v>562</v>
      </c>
      <c r="H44" s="633" t="s">
        <v>705</v>
      </c>
      <c r="I44" s="633" t="s">
        <v>706</v>
      </c>
      <c r="J44" s="633" t="s">
        <v>641</v>
      </c>
      <c r="K44" s="633" t="s">
        <v>707</v>
      </c>
      <c r="L44" s="635">
        <v>22.480179593425298</v>
      </c>
      <c r="M44" s="635">
        <v>5</v>
      </c>
      <c r="N44" s="636">
        <v>112.4008979671265</v>
      </c>
    </row>
    <row r="45" spans="1:14" ht="14.4" customHeight="1" x14ac:dyDescent="0.3">
      <c r="A45" s="631" t="s">
        <v>534</v>
      </c>
      <c r="B45" s="632" t="s">
        <v>536</v>
      </c>
      <c r="C45" s="633" t="s">
        <v>548</v>
      </c>
      <c r="D45" s="634" t="s">
        <v>549</v>
      </c>
      <c r="E45" s="633" t="s">
        <v>537</v>
      </c>
      <c r="F45" s="634" t="s">
        <v>538</v>
      </c>
      <c r="G45" s="633" t="s">
        <v>562</v>
      </c>
      <c r="H45" s="633" t="s">
        <v>708</v>
      </c>
      <c r="I45" s="633" t="s">
        <v>709</v>
      </c>
      <c r="J45" s="633" t="s">
        <v>710</v>
      </c>
      <c r="K45" s="633" t="s">
        <v>711</v>
      </c>
      <c r="L45" s="635">
        <v>77.071890633991657</v>
      </c>
      <c r="M45" s="635">
        <v>23</v>
      </c>
      <c r="N45" s="636">
        <v>1772.6534845818082</v>
      </c>
    </row>
    <row r="46" spans="1:14" ht="14.4" customHeight="1" x14ac:dyDescent="0.3">
      <c r="A46" s="631" t="s">
        <v>534</v>
      </c>
      <c r="B46" s="632" t="s">
        <v>536</v>
      </c>
      <c r="C46" s="633" t="s">
        <v>548</v>
      </c>
      <c r="D46" s="634" t="s">
        <v>549</v>
      </c>
      <c r="E46" s="633" t="s">
        <v>537</v>
      </c>
      <c r="F46" s="634" t="s">
        <v>538</v>
      </c>
      <c r="G46" s="633" t="s">
        <v>562</v>
      </c>
      <c r="H46" s="633" t="s">
        <v>712</v>
      </c>
      <c r="I46" s="633" t="s">
        <v>713</v>
      </c>
      <c r="J46" s="633" t="s">
        <v>714</v>
      </c>
      <c r="K46" s="633" t="s">
        <v>715</v>
      </c>
      <c r="L46" s="635">
        <v>157.79437957064656</v>
      </c>
      <c r="M46" s="635">
        <v>11</v>
      </c>
      <c r="N46" s="636">
        <v>1735.7381752771121</v>
      </c>
    </row>
    <row r="47" spans="1:14" ht="14.4" customHeight="1" x14ac:dyDescent="0.3">
      <c r="A47" s="631" t="s">
        <v>534</v>
      </c>
      <c r="B47" s="632" t="s">
        <v>536</v>
      </c>
      <c r="C47" s="633" t="s">
        <v>548</v>
      </c>
      <c r="D47" s="634" t="s">
        <v>549</v>
      </c>
      <c r="E47" s="633" t="s">
        <v>537</v>
      </c>
      <c r="F47" s="634" t="s">
        <v>538</v>
      </c>
      <c r="G47" s="633" t="s">
        <v>562</v>
      </c>
      <c r="H47" s="633" t="s">
        <v>716</v>
      </c>
      <c r="I47" s="633" t="s">
        <v>717</v>
      </c>
      <c r="J47" s="633" t="s">
        <v>718</v>
      </c>
      <c r="K47" s="633" t="s">
        <v>719</v>
      </c>
      <c r="L47" s="635">
        <v>100.215</v>
      </c>
      <c r="M47" s="635">
        <v>2</v>
      </c>
      <c r="N47" s="636">
        <v>200.43</v>
      </c>
    </row>
    <row r="48" spans="1:14" ht="14.4" customHeight="1" x14ac:dyDescent="0.3">
      <c r="A48" s="631" t="s">
        <v>534</v>
      </c>
      <c r="B48" s="632" t="s">
        <v>536</v>
      </c>
      <c r="C48" s="633" t="s">
        <v>548</v>
      </c>
      <c r="D48" s="634" t="s">
        <v>549</v>
      </c>
      <c r="E48" s="633" t="s">
        <v>537</v>
      </c>
      <c r="F48" s="634" t="s">
        <v>538</v>
      </c>
      <c r="G48" s="633" t="s">
        <v>562</v>
      </c>
      <c r="H48" s="633" t="s">
        <v>720</v>
      </c>
      <c r="I48" s="633" t="s">
        <v>721</v>
      </c>
      <c r="J48" s="633" t="s">
        <v>722</v>
      </c>
      <c r="K48" s="633" t="s">
        <v>723</v>
      </c>
      <c r="L48" s="635">
        <v>134.22999999999999</v>
      </c>
      <c r="M48" s="635">
        <v>1</v>
      </c>
      <c r="N48" s="636">
        <v>134.22999999999999</v>
      </c>
    </row>
    <row r="49" spans="1:14" ht="14.4" customHeight="1" x14ac:dyDescent="0.3">
      <c r="A49" s="631" t="s">
        <v>534</v>
      </c>
      <c r="B49" s="632" t="s">
        <v>536</v>
      </c>
      <c r="C49" s="633" t="s">
        <v>548</v>
      </c>
      <c r="D49" s="634" t="s">
        <v>549</v>
      </c>
      <c r="E49" s="633" t="s">
        <v>537</v>
      </c>
      <c r="F49" s="634" t="s">
        <v>538</v>
      </c>
      <c r="G49" s="633" t="s">
        <v>562</v>
      </c>
      <c r="H49" s="633" t="s">
        <v>724</v>
      </c>
      <c r="I49" s="633" t="s">
        <v>725</v>
      </c>
      <c r="J49" s="633" t="s">
        <v>726</v>
      </c>
      <c r="K49" s="633" t="s">
        <v>727</v>
      </c>
      <c r="L49" s="635">
        <v>193.8</v>
      </c>
      <c r="M49" s="635">
        <v>1</v>
      </c>
      <c r="N49" s="636">
        <v>193.8</v>
      </c>
    </row>
    <row r="50" spans="1:14" ht="14.4" customHeight="1" x14ac:dyDescent="0.3">
      <c r="A50" s="631" t="s">
        <v>534</v>
      </c>
      <c r="B50" s="632" t="s">
        <v>536</v>
      </c>
      <c r="C50" s="633" t="s">
        <v>548</v>
      </c>
      <c r="D50" s="634" t="s">
        <v>549</v>
      </c>
      <c r="E50" s="633" t="s">
        <v>537</v>
      </c>
      <c r="F50" s="634" t="s">
        <v>538</v>
      </c>
      <c r="G50" s="633" t="s">
        <v>562</v>
      </c>
      <c r="H50" s="633" t="s">
        <v>728</v>
      </c>
      <c r="I50" s="633" t="s">
        <v>729</v>
      </c>
      <c r="J50" s="633" t="s">
        <v>730</v>
      </c>
      <c r="K50" s="633" t="s">
        <v>731</v>
      </c>
      <c r="L50" s="635">
        <v>272.76285714285717</v>
      </c>
      <c r="M50" s="635">
        <v>2</v>
      </c>
      <c r="N50" s="636">
        <v>545.52571428571434</v>
      </c>
    </row>
    <row r="51" spans="1:14" ht="14.4" customHeight="1" x14ac:dyDescent="0.3">
      <c r="A51" s="631" t="s">
        <v>534</v>
      </c>
      <c r="B51" s="632" t="s">
        <v>536</v>
      </c>
      <c r="C51" s="633" t="s">
        <v>548</v>
      </c>
      <c r="D51" s="634" t="s">
        <v>549</v>
      </c>
      <c r="E51" s="633" t="s">
        <v>537</v>
      </c>
      <c r="F51" s="634" t="s">
        <v>538</v>
      </c>
      <c r="G51" s="633" t="s">
        <v>562</v>
      </c>
      <c r="H51" s="633" t="s">
        <v>732</v>
      </c>
      <c r="I51" s="633" t="s">
        <v>733</v>
      </c>
      <c r="J51" s="633" t="s">
        <v>734</v>
      </c>
      <c r="K51" s="633" t="s">
        <v>735</v>
      </c>
      <c r="L51" s="635">
        <v>22.274999999999999</v>
      </c>
      <c r="M51" s="635">
        <v>2</v>
      </c>
      <c r="N51" s="636">
        <v>44.55</v>
      </c>
    </row>
    <row r="52" spans="1:14" ht="14.4" customHeight="1" x14ac:dyDescent="0.3">
      <c r="A52" s="631" t="s">
        <v>534</v>
      </c>
      <c r="B52" s="632" t="s">
        <v>536</v>
      </c>
      <c r="C52" s="633" t="s">
        <v>548</v>
      </c>
      <c r="D52" s="634" t="s">
        <v>549</v>
      </c>
      <c r="E52" s="633" t="s">
        <v>537</v>
      </c>
      <c r="F52" s="634" t="s">
        <v>538</v>
      </c>
      <c r="G52" s="633" t="s">
        <v>562</v>
      </c>
      <c r="H52" s="633" t="s">
        <v>736</v>
      </c>
      <c r="I52" s="633" t="s">
        <v>737</v>
      </c>
      <c r="J52" s="633" t="s">
        <v>738</v>
      </c>
      <c r="K52" s="633" t="s">
        <v>739</v>
      </c>
      <c r="L52" s="635">
        <v>376.75</v>
      </c>
      <c r="M52" s="635">
        <v>1</v>
      </c>
      <c r="N52" s="636">
        <v>376.75</v>
      </c>
    </row>
    <row r="53" spans="1:14" ht="14.4" customHeight="1" x14ac:dyDescent="0.3">
      <c r="A53" s="631" t="s">
        <v>534</v>
      </c>
      <c r="B53" s="632" t="s">
        <v>536</v>
      </c>
      <c r="C53" s="633" t="s">
        <v>548</v>
      </c>
      <c r="D53" s="634" t="s">
        <v>549</v>
      </c>
      <c r="E53" s="633" t="s">
        <v>537</v>
      </c>
      <c r="F53" s="634" t="s">
        <v>538</v>
      </c>
      <c r="G53" s="633" t="s">
        <v>562</v>
      </c>
      <c r="H53" s="633" t="s">
        <v>740</v>
      </c>
      <c r="I53" s="633" t="s">
        <v>741</v>
      </c>
      <c r="J53" s="633" t="s">
        <v>742</v>
      </c>
      <c r="K53" s="633" t="s">
        <v>743</v>
      </c>
      <c r="L53" s="635">
        <v>134.63</v>
      </c>
      <c r="M53" s="635">
        <v>1</v>
      </c>
      <c r="N53" s="636">
        <v>134.63</v>
      </c>
    </row>
    <row r="54" spans="1:14" ht="14.4" customHeight="1" x14ac:dyDescent="0.3">
      <c r="A54" s="631" t="s">
        <v>534</v>
      </c>
      <c r="B54" s="632" t="s">
        <v>536</v>
      </c>
      <c r="C54" s="633" t="s">
        <v>548</v>
      </c>
      <c r="D54" s="634" t="s">
        <v>549</v>
      </c>
      <c r="E54" s="633" t="s">
        <v>537</v>
      </c>
      <c r="F54" s="634" t="s">
        <v>538</v>
      </c>
      <c r="G54" s="633" t="s">
        <v>562</v>
      </c>
      <c r="H54" s="633" t="s">
        <v>744</v>
      </c>
      <c r="I54" s="633" t="s">
        <v>745</v>
      </c>
      <c r="J54" s="633" t="s">
        <v>746</v>
      </c>
      <c r="K54" s="633" t="s">
        <v>747</v>
      </c>
      <c r="L54" s="635">
        <v>120.60329740191794</v>
      </c>
      <c r="M54" s="635">
        <v>5</v>
      </c>
      <c r="N54" s="636">
        <v>603.0164870095897</v>
      </c>
    </row>
    <row r="55" spans="1:14" ht="14.4" customHeight="1" x14ac:dyDescent="0.3">
      <c r="A55" s="631" t="s">
        <v>534</v>
      </c>
      <c r="B55" s="632" t="s">
        <v>536</v>
      </c>
      <c r="C55" s="633" t="s">
        <v>548</v>
      </c>
      <c r="D55" s="634" t="s">
        <v>549</v>
      </c>
      <c r="E55" s="633" t="s">
        <v>537</v>
      </c>
      <c r="F55" s="634" t="s">
        <v>538</v>
      </c>
      <c r="G55" s="633" t="s">
        <v>562</v>
      </c>
      <c r="H55" s="633" t="s">
        <v>748</v>
      </c>
      <c r="I55" s="633" t="s">
        <v>749</v>
      </c>
      <c r="J55" s="633" t="s">
        <v>750</v>
      </c>
      <c r="K55" s="633" t="s">
        <v>751</v>
      </c>
      <c r="L55" s="635">
        <v>142.72147139986399</v>
      </c>
      <c r="M55" s="635">
        <v>21</v>
      </c>
      <c r="N55" s="636">
        <v>2997.1508993971438</v>
      </c>
    </row>
    <row r="56" spans="1:14" ht="14.4" customHeight="1" x14ac:dyDescent="0.3">
      <c r="A56" s="631" t="s">
        <v>534</v>
      </c>
      <c r="B56" s="632" t="s">
        <v>536</v>
      </c>
      <c r="C56" s="633" t="s">
        <v>548</v>
      </c>
      <c r="D56" s="634" t="s">
        <v>549</v>
      </c>
      <c r="E56" s="633" t="s">
        <v>537</v>
      </c>
      <c r="F56" s="634" t="s">
        <v>538</v>
      </c>
      <c r="G56" s="633" t="s">
        <v>562</v>
      </c>
      <c r="H56" s="633" t="s">
        <v>752</v>
      </c>
      <c r="I56" s="633" t="s">
        <v>753</v>
      </c>
      <c r="J56" s="633" t="s">
        <v>754</v>
      </c>
      <c r="K56" s="633" t="s">
        <v>755</v>
      </c>
      <c r="L56" s="635">
        <v>81.08</v>
      </c>
      <c r="M56" s="635">
        <v>1</v>
      </c>
      <c r="N56" s="636">
        <v>81.08</v>
      </c>
    </row>
    <row r="57" spans="1:14" ht="14.4" customHeight="1" x14ac:dyDescent="0.3">
      <c r="A57" s="631" t="s">
        <v>534</v>
      </c>
      <c r="B57" s="632" t="s">
        <v>536</v>
      </c>
      <c r="C57" s="633" t="s">
        <v>548</v>
      </c>
      <c r="D57" s="634" t="s">
        <v>549</v>
      </c>
      <c r="E57" s="633" t="s">
        <v>537</v>
      </c>
      <c r="F57" s="634" t="s">
        <v>538</v>
      </c>
      <c r="G57" s="633" t="s">
        <v>562</v>
      </c>
      <c r="H57" s="633" t="s">
        <v>756</v>
      </c>
      <c r="I57" s="633" t="s">
        <v>757</v>
      </c>
      <c r="J57" s="633" t="s">
        <v>758</v>
      </c>
      <c r="K57" s="633" t="s">
        <v>759</v>
      </c>
      <c r="L57" s="635">
        <v>45.78</v>
      </c>
      <c r="M57" s="635">
        <v>1</v>
      </c>
      <c r="N57" s="636">
        <v>45.78</v>
      </c>
    </row>
    <row r="58" spans="1:14" ht="14.4" customHeight="1" x14ac:dyDescent="0.3">
      <c r="A58" s="631" t="s">
        <v>534</v>
      </c>
      <c r="B58" s="632" t="s">
        <v>536</v>
      </c>
      <c r="C58" s="633" t="s">
        <v>548</v>
      </c>
      <c r="D58" s="634" t="s">
        <v>549</v>
      </c>
      <c r="E58" s="633" t="s">
        <v>537</v>
      </c>
      <c r="F58" s="634" t="s">
        <v>538</v>
      </c>
      <c r="G58" s="633" t="s">
        <v>562</v>
      </c>
      <c r="H58" s="633" t="s">
        <v>760</v>
      </c>
      <c r="I58" s="633" t="s">
        <v>761</v>
      </c>
      <c r="J58" s="633" t="s">
        <v>762</v>
      </c>
      <c r="K58" s="633" t="s">
        <v>763</v>
      </c>
      <c r="L58" s="635">
        <v>132.84955508230988</v>
      </c>
      <c r="M58" s="635">
        <v>1</v>
      </c>
      <c r="N58" s="636">
        <v>132.84955508230988</v>
      </c>
    </row>
    <row r="59" spans="1:14" ht="14.4" customHeight="1" x14ac:dyDescent="0.3">
      <c r="A59" s="631" t="s">
        <v>534</v>
      </c>
      <c r="B59" s="632" t="s">
        <v>536</v>
      </c>
      <c r="C59" s="633" t="s">
        <v>548</v>
      </c>
      <c r="D59" s="634" t="s">
        <v>549</v>
      </c>
      <c r="E59" s="633" t="s">
        <v>537</v>
      </c>
      <c r="F59" s="634" t="s">
        <v>538</v>
      </c>
      <c r="G59" s="633" t="s">
        <v>562</v>
      </c>
      <c r="H59" s="633" t="s">
        <v>764</v>
      </c>
      <c r="I59" s="633" t="s">
        <v>765</v>
      </c>
      <c r="J59" s="633" t="s">
        <v>766</v>
      </c>
      <c r="K59" s="633" t="s">
        <v>767</v>
      </c>
      <c r="L59" s="635">
        <v>92.480186153958641</v>
      </c>
      <c r="M59" s="635">
        <v>6</v>
      </c>
      <c r="N59" s="636">
        <v>554.88111692375185</v>
      </c>
    </row>
    <row r="60" spans="1:14" ht="14.4" customHeight="1" x14ac:dyDescent="0.3">
      <c r="A60" s="631" t="s">
        <v>534</v>
      </c>
      <c r="B60" s="632" t="s">
        <v>536</v>
      </c>
      <c r="C60" s="633" t="s">
        <v>548</v>
      </c>
      <c r="D60" s="634" t="s">
        <v>549</v>
      </c>
      <c r="E60" s="633" t="s">
        <v>537</v>
      </c>
      <c r="F60" s="634" t="s">
        <v>538</v>
      </c>
      <c r="G60" s="633" t="s">
        <v>562</v>
      </c>
      <c r="H60" s="633" t="s">
        <v>768</v>
      </c>
      <c r="I60" s="633" t="s">
        <v>768</v>
      </c>
      <c r="J60" s="633" t="s">
        <v>645</v>
      </c>
      <c r="K60" s="633" t="s">
        <v>769</v>
      </c>
      <c r="L60" s="635">
        <v>106.71593826411939</v>
      </c>
      <c r="M60" s="635">
        <v>5</v>
      </c>
      <c r="N60" s="636">
        <v>533.57969132059691</v>
      </c>
    </row>
    <row r="61" spans="1:14" ht="14.4" customHeight="1" x14ac:dyDescent="0.3">
      <c r="A61" s="631" t="s">
        <v>534</v>
      </c>
      <c r="B61" s="632" t="s">
        <v>536</v>
      </c>
      <c r="C61" s="633" t="s">
        <v>548</v>
      </c>
      <c r="D61" s="634" t="s">
        <v>549</v>
      </c>
      <c r="E61" s="633" t="s">
        <v>537</v>
      </c>
      <c r="F61" s="634" t="s">
        <v>538</v>
      </c>
      <c r="G61" s="633" t="s">
        <v>562</v>
      </c>
      <c r="H61" s="633" t="s">
        <v>770</v>
      </c>
      <c r="I61" s="633" t="s">
        <v>771</v>
      </c>
      <c r="J61" s="633" t="s">
        <v>772</v>
      </c>
      <c r="K61" s="633" t="s">
        <v>773</v>
      </c>
      <c r="L61" s="635">
        <v>41.62</v>
      </c>
      <c r="M61" s="635">
        <v>1</v>
      </c>
      <c r="N61" s="636">
        <v>41.62</v>
      </c>
    </row>
    <row r="62" spans="1:14" ht="14.4" customHeight="1" x14ac:dyDescent="0.3">
      <c r="A62" s="631" t="s">
        <v>534</v>
      </c>
      <c r="B62" s="632" t="s">
        <v>536</v>
      </c>
      <c r="C62" s="633" t="s">
        <v>548</v>
      </c>
      <c r="D62" s="634" t="s">
        <v>549</v>
      </c>
      <c r="E62" s="633" t="s">
        <v>537</v>
      </c>
      <c r="F62" s="634" t="s">
        <v>538</v>
      </c>
      <c r="G62" s="633" t="s">
        <v>562</v>
      </c>
      <c r="H62" s="633" t="s">
        <v>774</v>
      </c>
      <c r="I62" s="633" t="s">
        <v>775</v>
      </c>
      <c r="J62" s="633" t="s">
        <v>772</v>
      </c>
      <c r="K62" s="633" t="s">
        <v>776</v>
      </c>
      <c r="L62" s="635">
        <v>292.46653009444066</v>
      </c>
      <c r="M62" s="635">
        <v>1</v>
      </c>
      <c r="N62" s="636">
        <v>292.46653009444066</v>
      </c>
    </row>
    <row r="63" spans="1:14" ht="14.4" customHeight="1" x14ac:dyDescent="0.3">
      <c r="A63" s="631" t="s">
        <v>534</v>
      </c>
      <c r="B63" s="632" t="s">
        <v>536</v>
      </c>
      <c r="C63" s="633" t="s">
        <v>548</v>
      </c>
      <c r="D63" s="634" t="s">
        <v>549</v>
      </c>
      <c r="E63" s="633" t="s">
        <v>537</v>
      </c>
      <c r="F63" s="634" t="s">
        <v>538</v>
      </c>
      <c r="G63" s="633" t="s">
        <v>562</v>
      </c>
      <c r="H63" s="633" t="s">
        <v>777</v>
      </c>
      <c r="I63" s="633" t="s">
        <v>778</v>
      </c>
      <c r="J63" s="633" t="s">
        <v>779</v>
      </c>
      <c r="K63" s="633" t="s">
        <v>780</v>
      </c>
      <c r="L63" s="635">
        <v>75.03</v>
      </c>
      <c r="M63" s="635">
        <v>1</v>
      </c>
      <c r="N63" s="636">
        <v>75.03</v>
      </c>
    </row>
    <row r="64" spans="1:14" ht="14.4" customHeight="1" x14ac:dyDescent="0.3">
      <c r="A64" s="631" t="s">
        <v>534</v>
      </c>
      <c r="B64" s="632" t="s">
        <v>536</v>
      </c>
      <c r="C64" s="633" t="s">
        <v>548</v>
      </c>
      <c r="D64" s="634" t="s">
        <v>549</v>
      </c>
      <c r="E64" s="633" t="s">
        <v>537</v>
      </c>
      <c r="F64" s="634" t="s">
        <v>538</v>
      </c>
      <c r="G64" s="633" t="s">
        <v>562</v>
      </c>
      <c r="H64" s="633" t="s">
        <v>781</v>
      </c>
      <c r="I64" s="633" t="s">
        <v>782</v>
      </c>
      <c r="J64" s="633" t="s">
        <v>783</v>
      </c>
      <c r="K64" s="633" t="s">
        <v>784</v>
      </c>
      <c r="L64" s="635">
        <v>392.88688722325122</v>
      </c>
      <c r="M64" s="635">
        <v>2</v>
      </c>
      <c r="N64" s="636">
        <v>785.77377444650244</v>
      </c>
    </row>
    <row r="65" spans="1:14" ht="14.4" customHeight="1" x14ac:dyDescent="0.3">
      <c r="A65" s="631" t="s">
        <v>534</v>
      </c>
      <c r="B65" s="632" t="s">
        <v>536</v>
      </c>
      <c r="C65" s="633" t="s">
        <v>548</v>
      </c>
      <c r="D65" s="634" t="s">
        <v>549</v>
      </c>
      <c r="E65" s="633" t="s">
        <v>537</v>
      </c>
      <c r="F65" s="634" t="s">
        <v>538</v>
      </c>
      <c r="G65" s="633" t="s">
        <v>562</v>
      </c>
      <c r="H65" s="633" t="s">
        <v>785</v>
      </c>
      <c r="I65" s="633" t="s">
        <v>786</v>
      </c>
      <c r="J65" s="633" t="s">
        <v>787</v>
      </c>
      <c r="K65" s="633" t="s">
        <v>788</v>
      </c>
      <c r="L65" s="635">
        <v>525.64</v>
      </c>
      <c r="M65" s="635">
        <v>1</v>
      </c>
      <c r="N65" s="636">
        <v>525.64</v>
      </c>
    </row>
    <row r="66" spans="1:14" ht="14.4" customHeight="1" x14ac:dyDescent="0.3">
      <c r="A66" s="631" t="s">
        <v>534</v>
      </c>
      <c r="B66" s="632" t="s">
        <v>536</v>
      </c>
      <c r="C66" s="633" t="s">
        <v>548</v>
      </c>
      <c r="D66" s="634" t="s">
        <v>549</v>
      </c>
      <c r="E66" s="633" t="s">
        <v>537</v>
      </c>
      <c r="F66" s="634" t="s">
        <v>538</v>
      </c>
      <c r="G66" s="633" t="s">
        <v>562</v>
      </c>
      <c r="H66" s="633" t="s">
        <v>789</v>
      </c>
      <c r="I66" s="633" t="s">
        <v>790</v>
      </c>
      <c r="J66" s="633" t="s">
        <v>791</v>
      </c>
      <c r="K66" s="633" t="s">
        <v>792</v>
      </c>
      <c r="L66" s="635">
        <v>39.090000000000011</v>
      </c>
      <c r="M66" s="635">
        <v>1</v>
      </c>
      <c r="N66" s="636">
        <v>39.090000000000011</v>
      </c>
    </row>
    <row r="67" spans="1:14" ht="14.4" customHeight="1" x14ac:dyDescent="0.3">
      <c r="A67" s="631" t="s">
        <v>534</v>
      </c>
      <c r="B67" s="632" t="s">
        <v>536</v>
      </c>
      <c r="C67" s="633" t="s">
        <v>548</v>
      </c>
      <c r="D67" s="634" t="s">
        <v>549</v>
      </c>
      <c r="E67" s="633" t="s">
        <v>537</v>
      </c>
      <c r="F67" s="634" t="s">
        <v>538</v>
      </c>
      <c r="G67" s="633" t="s">
        <v>562</v>
      </c>
      <c r="H67" s="633" t="s">
        <v>793</v>
      </c>
      <c r="I67" s="633" t="s">
        <v>794</v>
      </c>
      <c r="J67" s="633" t="s">
        <v>657</v>
      </c>
      <c r="K67" s="633" t="s">
        <v>795</v>
      </c>
      <c r="L67" s="635">
        <v>166.91</v>
      </c>
      <c r="M67" s="635">
        <v>3</v>
      </c>
      <c r="N67" s="636">
        <v>500.73</v>
      </c>
    </row>
    <row r="68" spans="1:14" ht="14.4" customHeight="1" x14ac:dyDescent="0.3">
      <c r="A68" s="631" t="s">
        <v>534</v>
      </c>
      <c r="B68" s="632" t="s">
        <v>536</v>
      </c>
      <c r="C68" s="633" t="s">
        <v>548</v>
      </c>
      <c r="D68" s="634" t="s">
        <v>549</v>
      </c>
      <c r="E68" s="633" t="s">
        <v>537</v>
      </c>
      <c r="F68" s="634" t="s">
        <v>538</v>
      </c>
      <c r="G68" s="633" t="s">
        <v>562</v>
      </c>
      <c r="H68" s="633" t="s">
        <v>796</v>
      </c>
      <c r="I68" s="633" t="s">
        <v>797</v>
      </c>
      <c r="J68" s="633" t="s">
        <v>798</v>
      </c>
      <c r="K68" s="633" t="s">
        <v>799</v>
      </c>
      <c r="L68" s="635">
        <v>57.009548322934002</v>
      </c>
      <c r="M68" s="635">
        <v>3</v>
      </c>
      <c r="N68" s="636">
        <v>171.02864496880201</v>
      </c>
    </row>
    <row r="69" spans="1:14" ht="14.4" customHeight="1" x14ac:dyDescent="0.3">
      <c r="A69" s="631" t="s">
        <v>534</v>
      </c>
      <c r="B69" s="632" t="s">
        <v>536</v>
      </c>
      <c r="C69" s="633" t="s">
        <v>548</v>
      </c>
      <c r="D69" s="634" t="s">
        <v>549</v>
      </c>
      <c r="E69" s="633" t="s">
        <v>537</v>
      </c>
      <c r="F69" s="634" t="s">
        <v>538</v>
      </c>
      <c r="G69" s="633" t="s">
        <v>562</v>
      </c>
      <c r="H69" s="633" t="s">
        <v>800</v>
      </c>
      <c r="I69" s="633" t="s">
        <v>801</v>
      </c>
      <c r="J69" s="633" t="s">
        <v>802</v>
      </c>
      <c r="K69" s="633" t="s">
        <v>803</v>
      </c>
      <c r="L69" s="635">
        <v>27.47</v>
      </c>
      <c r="M69" s="635">
        <v>7</v>
      </c>
      <c r="N69" s="636">
        <v>192.29</v>
      </c>
    </row>
    <row r="70" spans="1:14" ht="14.4" customHeight="1" x14ac:dyDescent="0.3">
      <c r="A70" s="631" t="s">
        <v>534</v>
      </c>
      <c r="B70" s="632" t="s">
        <v>536</v>
      </c>
      <c r="C70" s="633" t="s">
        <v>548</v>
      </c>
      <c r="D70" s="634" t="s">
        <v>549</v>
      </c>
      <c r="E70" s="633" t="s">
        <v>537</v>
      </c>
      <c r="F70" s="634" t="s">
        <v>538</v>
      </c>
      <c r="G70" s="633" t="s">
        <v>562</v>
      </c>
      <c r="H70" s="633" t="s">
        <v>804</v>
      </c>
      <c r="I70" s="633" t="s">
        <v>246</v>
      </c>
      <c r="J70" s="633" t="s">
        <v>805</v>
      </c>
      <c r="K70" s="633"/>
      <c r="L70" s="635">
        <v>639.01</v>
      </c>
      <c r="M70" s="635">
        <v>1</v>
      </c>
      <c r="N70" s="636">
        <v>639.01</v>
      </c>
    </row>
    <row r="71" spans="1:14" ht="14.4" customHeight="1" x14ac:dyDescent="0.3">
      <c r="A71" s="631" t="s">
        <v>534</v>
      </c>
      <c r="B71" s="632" t="s">
        <v>536</v>
      </c>
      <c r="C71" s="633" t="s">
        <v>548</v>
      </c>
      <c r="D71" s="634" t="s">
        <v>549</v>
      </c>
      <c r="E71" s="633" t="s">
        <v>537</v>
      </c>
      <c r="F71" s="634" t="s">
        <v>538</v>
      </c>
      <c r="G71" s="633" t="s">
        <v>562</v>
      </c>
      <c r="H71" s="633" t="s">
        <v>806</v>
      </c>
      <c r="I71" s="633" t="s">
        <v>807</v>
      </c>
      <c r="J71" s="633" t="s">
        <v>808</v>
      </c>
      <c r="K71" s="633" t="s">
        <v>809</v>
      </c>
      <c r="L71" s="635">
        <v>140.28</v>
      </c>
      <c r="M71" s="635">
        <v>1</v>
      </c>
      <c r="N71" s="636">
        <v>140.28</v>
      </c>
    </row>
    <row r="72" spans="1:14" ht="14.4" customHeight="1" x14ac:dyDescent="0.3">
      <c r="A72" s="631" t="s">
        <v>534</v>
      </c>
      <c r="B72" s="632" t="s">
        <v>536</v>
      </c>
      <c r="C72" s="633" t="s">
        <v>548</v>
      </c>
      <c r="D72" s="634" t="s">
        <v>549</v>
      </c>
      <c r="E72" s="633" t="s">
        <v>537</v>
      </c>
      <c r="F72" s="634" t="s">
        <v>538</v>
      </c>
      <c r="G72" s="633" t="s">
        <v>562</v>
      </c>
      <c r="H72" s="633" t="s">
        <v>810</v>
      </c>
      <c r="I72" s="633" t="s">
        <v>246</v>
      </c>
      <c r="J72" s="633" t="s">
        <v>811</v>
      </c>
      <c r="K72" s="633"/>
      <c r="L72" s="635">
        <v>97.320319627236472</v>
      </c>
      <c r="M72" s="635">
        <v>20</v>
      </c>
      <c r="N72" s="636">
        <v>1946.4063925447294</v>
      </c>
    </row>
    <row r="73" spans="1:14" ht="14.4" customHeight="1" x14ac:dyDescent="0.3">
      <c r="A73" s="631" t="s">
        <v>534</v>
      </c>
      <c r="B73" s="632" t="s">
        <v>536</v>
      </c>
      <c r="C73" s="633" t="s">
        <v>548</v>
      </c>
      <c r="D73" s="634" t="s">
        <v>549</v>
      </c>
      <c r="E73" s="633" t="s">
        <v>537</v>
      </c>
      <c r="F73" s="634" t="s">
        <v>538</v>
      </c>
      <c r="G73" s="633" t="s">
        <v>562</v>
      </c>
      <c r="H73" s="633" t="s">
        <v>812</v>
      </c>
      <c r="I73" s="633" t="s">
        <v>246</v>
      </c>
      <c r="J73" s="633" t="s">
        <v>813</v>
      </c>
      <c r="K73" s="633"/>
      <c r="L73" s="635">
        <v>180.9796365806445</v>
      </c>
      <c r="M73" s="635">
        <v>2</v>
      </c>
      <c r="N73" s="636">
        <v>361.95927316128899</v>
      </c>
    </row>
    <row r="74" spans="1:14" ht="14.4" customHeight="1" x14ac:dyDescent="0.3">
      <c r="A74" s="631" t="s">
        <v>534</v>
      </c>
      <c r="B74" s="632" t="s">
        <v>536</v>
      </c>
      <c r="C74" s="633" t="s">
        <v>548</v>
      </c>
      <c r="D74" s="634" t="s">
        <v>549</v>
      </c>
      <c r="E74" s="633" t="s">
        <v>537</v>
      </c>
      <c r="F74" s="634" t="s">
        <v>538</v>
      </c>
      <c r="G74" s="633" t="s">
        <v>562</v>
      </c>
      <c r="H74" s="633" t="s">
        <v>814</v>
      </c>
      <c r="I74" s="633" t="s">
        <v>246</v>
      </c>
      <c r="J74" s="633" t="s">
        <v>815</v>
      </c>
      <c r="K74" s="633"/>
      <c r="L74" s="635">
        <v>100.67999999999996</v>
      </c>
      <c r="M74" s="635">
        <v>5</v>
      </c>
      <c r="N74" s="636">
        <v>503.39999999999981</v>
      </c>
    </row>
    <row r="75" spans="1:14" ht="14.4" customHeight="1" x14ac:dyDescent="0.3">
      <c r="A75" s="631" t="s">
        <v>534</v>
      </c>
      <c r="B75" s="632" t="s">
        <v>536</v>
      </c>
      <c r="C75" s="633" t="s">
        <v>548</v>
      </c>
      <c r="D75" s="634" t="s">
        <v>549</v>
      </c>
      <c r="E75" s="633" t="s">
        <v>537</v>
      </c>
      <c r="F75" s="634" t="s">
        <v>538</v>
      </c>
      <c r="G75" s="633" t="s">
        <v>562</v>
      </c>
      <c r="H75" s="633" t="s">
        <v>816</v>
      </c>
      <c r="I75" s="633" t="s">
        <v>817</v>
      </c>
      <c r="J75" s="633" t="s">
        <v>818</v>
      </c>
      <c r="K75" s="633" t="s">
        <v>819</v>
      </c>
      <c r="L75" s="635">
        <v>266.42000000000007</v>
      </c>
      <c r="M75" s="635">
        <v>1</v>
      </c>
      <c r="N75" s="636">
        <v>266.42000000000007</v>
      </c>
    </row>
    <row r="76" spans="1:14" ht="14.4" customHeight="1" x14ac:dyDescent="0.3">
      <c r="A76" s="631" t="s">
        <v>534</v>
      </c>
      <c r="B76" s="632" t="s">
        <v>536</v>
      </c>
      <c r="C76" s="633" t="s">
        <v>548</v>
      </c>
      <c r="D76" s="634" t="s">
        <v>549</v>
      </c>
      <c r="E76" s="633" t="s">
        <v>537</v>
      </c>
      <c r="F76" s="634" t="s">
        <v>538</v>
      </c>
      <c r="G76" s="633" t="s">
        <v>562</v>
      </c>
      <c r="H76" s="633" t="s">
        <v>820</v>
      </c>
      <c r="I76" s="633" t="s">
        <v>821</v>
      </c>
      <c r="J76" s="633" t="s">
        <v>822</v>
      </c>
      <c r="K76" s="633" t="s">
        <v>823</v>
      </c>
      <c r="L76" s="635">
        <v>110.92876613754579</v>
      </c>
      <c r="M76" s="635">
        <v>2</v>
      </c>
      <c r="N76" s="636">
        <v>221.85753227509159</v>
      </c>
    </row>
    <row r="77" spans="1:14" ht="14.4" customHeight="1" x14ac:dyDescent="0.3">
      <c r="A77" s="631" t="s">
        <v>534</v>
      </c>
      <c r="B77" s="632" t="s">
        <v>536</v>
      </c>
      <c r="C77" s="633" t="s">
        <v>548</v>
      </c>
      <c r="D77" s="634" t="s">
        <v>549</v>
      </c>
      <c r="E77" s="633" t="s">
        <v>537</v>
      </c>
      <c r="F77" s="634" t="s">
        <v>538</v>
      </c>
      <c r="G77" s="633" t="s">
        <v>562</v>
      </c>
      <c r="H77" s="633" t="s">
        <v>824</v>
      </c>
      <c r="I77" s="633" t="s">
        <v>825</v>
      </c>
      <c r="J77" s="633" t="s">
        <v>826</v>
      </c>
      <c r="K77" s="633" t="s">
        <v>827</v>
      </c>
      <c r="L77" s="635">
        <v>18.189999999999998</v>
      </c>
      <c r="M77" s="635">
        <v>4</v>
      </c>
      <c r="N77" s="636">
        <v>72.759999999999991</v>
      </c>
    </row>
    <row r="78" spans="1:14" ht="14.4" customHeight="1" x14ac:dyDescent="0.3">
      <c r="A78" s="631" t="s">
        <v>534</v>
      </c>
      <c r="B78" s="632" t="s">
        <v>536</v>
      </c>
      <c r="C78" s="633" t="s">
        <v>548</v>
      </c>
      <c r="D78" s="634" t="s">
        <v>549</v>
      </c>
      <c r="E78" s="633" t="s">
        <v>537</v>
      </c>
      <c r="F78" s="634" t="s">
        <v>538</v>
      </c>
      <c r="G78" s="633" t="s">
        <v>562</v>
      </c>
      <c r="H78" s="633" t="s">
        <v>828</v>
      </c>
      <c r="I78" s="633" t="s">
        <v>246</v>
      </c>
      <c r="J78" s="633" t="s">
        <v>829</v>
      </c>
      <c r="K78" s="633" t="s">
        <v>830</v>
      </c>
      <c r="L78" s="635">
        <v>43.48</v>
      </c>
      <c r="M78" s="635">
        <v>4</v>
      </c>
      <c r="N78" s="636">
        <v>173.92</v>
      </c>
    </row>
    <row r="79" spans="1:14" ht="14.4" customHeight="1" x14ac:dyDescent="0.3">
      <c r="A79" s="631" t="s">
        <v>534</v>
      </c>
      <c r="B79" s="632" t="s">
        <v>536</v>
      </c>
      <c r="C79" s="633" t="s">
        <v>548</v>
      </c>
      <c r="D79" s="634" t="s">
        <v>549</v>
      </c>
      <c r="E79" s="633" t="s">
        <v>537</v>
      </c>
      <c r="F79" s="634" t="s">
        <v>538</v>
      </c>
      <c r="G79" s="633" t="s">
        <v>562</v>
      </c>
      <c r="H79" s="633" t="s">
        <v>831</v>
      </c>
      <c r="I79" s="633" t="s">
        <v>832</v>
      </c>
      <c r="J79" s="633" t="s">
        <v>833</v>
      </c>
      <c r="K79" s="633" t="s">
        <v>834</v>
      </c>
      <c r="L79" s="635">
        <v>121.93000000000008</v>
      </c>
      <c r="M79" s="635">
        <v>1</v>
      </c>
      <c r="N79" s="636">
        <v>121.93000000000008</v>
      </c>
    </row>
    <row r="80" spans="1:14" ht="14.4" customHeight="1" x14ac:dyDescent="0.3">
      <c r="A80" s="631" t="s">
        <v>534</v>
      </c>
      <c r="B80" s="632" t="s">
        <v>536</v>
      </c>
      <c r="C80" s="633" t="s">
        <v>548</v>
      </c>
      <c r="D80" s="634" t="s">
        <v>549</v>
      </c>
      <c r="E80" s="633" t="s">
        <v>537</v>
      </c>
      <c r="F80" s="634" t="s">
        <v>538</v>
      </c>
      <c r="G80" s="633" t="s">
        <v>562</v>
      </c>
      <c r="H80" s="633" t="s">
        <v>835</v>
      </c>
      <c r="I80" s="633" t="s">
        <v>836</v>
      </c>
      <c r="J80" s="633" t="s">
        <v>837</v>
      </c>
      <c r="K80" s="633"/>
      <c r="L80" s="635">
        <v>140.19999999999999</v>
      </c>
      <c r="M80" s="635">
        <v>4</v>
      </c>
      <c r="N80" s="636">
        <v>560.79999999999995</v>
      </c>
    </row>
    <row r="81" spans="1:14" ht="14.4" customHeight="1" x14ac:dyDescent="0.3">
      <c r="A81" s="631" t="s">
        <v>534</v>
      </c>
      <c r="B81" s="632" t="s">
        <v>536</v>
      </c>
      <c r="C81" s="633" t="s">
        <v>548</v>
      </c>
      <c r="D81" s="634" t="s">
        <v>549</v>
      </c>
      <c r="E81" s="633" t="s">
        <v>537</v>
      </c>
      <c r="F81" s="634" t="s">
        <v>538</v>
      </c>
      <c r="G81" s="633" t="s">
        <v>562</v>
      </c>
      <c r="H81" s="633" t="s">
        <v>838</v>
      </c>
      <c r="I81" s="633" t="s">
        <v>839</v>
      </c>
      <c r="J81" s="633" t="s">
        <v>840</v>
      </c>
      <c r="K81" s="633" t="s">
        <v>841</v>
      </c>
      <c r="L81" s="635">
        <v>42.42</v>
      </c>
      <c r="M81" s="635">
        <v>1</v>
      </c>
      <c r="N81" s="636">
        <v>42.42</v>
      </c>
    </row>
    <row r="82" spans="1:14" ht="14.4" customHeight="1" x14ac:dyDescent="0.3">
      <c r="A82" s="631" t="s">
        <v>534</v>
      </c>
      <c r="B82" s="632" t="s">
        <v>536</v>
      </c>
      <c r="C82" s="633" t="s">
        <v>548</v>
      </c>
      <c r="D82" s="634" t="s">
        <v>549</v>
      </c>
      <c r="E82" s="633" t="s">
        <v>537</v>
      </c>
      <c r="F82" s="634" t="s">
        <v>538</v>
      </c>
      <c r="G82" s="633" t="s">
        <v>562</v>
      </c>
      <c r="H82" s="633" t="s">
        <v>842</v>
      </c>
      <c r="I82" s="633" t="s">
        <v>843</v>
      </c>
      <c r="J82" s="633" t="s">
        <v>844</v>
      </c>
      <c r="K82" s="633" t="s">
        <v>845</v>
      </c>
      <c r="L82" s="635">
        <v>667.4699999999998</v>
      </c>
      <c r="M82" s="635">
        <v>1</v>
      </c>
      <c r="N82" s="636">
        <v>667.4699999999998</v>
      </c>
    </row>
    <row r="83" spans="1:14" ht="14.4" customHeight="1" x14ac:dyDescent="0.3">
      <c r="A83" s="631" t="s">
        <v>534</v>
      </c>
      <c r="B83" s="632" t="s">
        <v>536</v>
      </c>
      <c r="C83" s="633" t="s">
        <v>548</v>
      </c>
      <c r="D83" s="634" t="s">
        <v>549</v>
      </c>
      <c r="E83" s="633" t="s">
        <v>537</v>
      </c>
      <c r="F83" s="634" t="s">
        <v>538</v>
      </c>
      <c r="G83" s="633" t="s">
        <v>562</v>
      </c>
      <c r="H83" s="633" t="s">
        <v>846</v>
      </c>
      <c r="I83" s="633" t="s">
        <v>847</v>
      </c>
      <c r="J83" s="633" t="s">
        <v>848</v>
      </c>
      <c r="K83" s="633" t="s">
        <v>849</v>
      </c>
      <c r="L83" s="635">
        <v>59.21</v>
      </c>
      <c r="M83" s="635">
        <v>8</v>
      </c>
      <c r="N83" s="636">
        <v>473.68</v>
      </c>
    </row>
    <row r="84" spans="1:14" ht="14.4" customHeight="1" x14ac:dyDescent="0.3">
      <c r="A84" s="631" t="s">
        <v>534</v>
      </c>
      <c r="B84" s="632" t="s">
        <v>536</v>
      </c>
      <c r="C84" s="633" t="s">
        <v>548</v>
      </c>
      <c r="D84" s="634" t="s">
        <v>549</v>
      </c>
      <c r="E84" s="633" t="s">
        <v>537</v>
      </c>
      <c r="F84" s="634" t="s">
        <v>538</v>
      </c>
      <c r="G84" s="633" t="s">
        <v>562</v>
      </c>
      <c r="H84" s="633" t="s">
        <v>850</v>
      </c>
      <c r="I84" s="633" t="s">
        <v>851</v>
      </c>
      <c r="J84" s="633" t="s">
        <v>852</v>
      </c>
      <c r="K84" s="633" t="s">
        <v>853</v>
      </c>
      <c r="L84" s="635">
        <v>115.08999999999999</v>
      </c>
      <c r="M84" s="635">
        <v>1</v>
      </c>
      <c r="N84" s="636">
        <v>115.08999999999999</v>
      </c>
    </row>
    <row r="85" spans="1:14" ht="14.4" customHeight="1" x14ac:dyDescent="0.3">
      <c r="A85" s="631" t="s">
        <v>534</v>
      </c>
      <c r="B85" s="632" t="s">
        <v>536</v>
      </c>
      <c r="C85" s="633" t="s">
        <v>548</v>
      </c>
      <c r="D85" s="634" t="s">
        <v>549</v>
      </c>
      <c r="E85" s="633" t="s">
        <v>537</v>
      </c>
      <c r="F85" s="634" t="s">
        <v>538</v>
      </c>
      <c r="G85" s="633" t="s">
        <v>562</v>
      </c>
      <c r="H85" s="633" t="s">
        <v>854</v>
      </c>
      <c r="I85" s="633" t="s">
        <v>855</v>
      </c>
      <c r="J85" s="633" t="s">
        <v>856</v>
      </c>
      <c r="K85" s="633" t="s">
        <v>857</v>
      </c>
      <c r="L85" s="635">
        <v>56.450133376019984</v>
      </c>
      <c r="M85" s="635">
        <v>1</v>
      </c>
      <c r="N85" s="636">
        <v>56.450133376019984</v>
      </c>
    </row>
    <row r="86" spans="1:14" ht="14.4" customHeight="1" x14ac:dyDescent="0.3">
      <c r="A86" s="631" t="s">
        <v>534</v>
      </c>
      <c r="B86" s="632" t="s">
        <v>536</v>
      </c>
      <c r="C86" s="633" t="s">
        <v>548</v>
      </c>
      <c r="D86" s="634" t="s">
        <v>549</v>
      </c>
      <c r="E86" s="633" t="s">
        <v>537</v>
      </c>
      <c r="F86" s="634" t="s">
        <v>538</v>
      </c>
      <c r="G86" s="633" t="s">
        <v>562</v>
      </c>
      <c r="H86" s="633" t="s">
        <v>858</v>
      </c>
      <c r="I86" s="633" t="s">
        <v>859</v>
      </c>
      <c r="J86" s="633" t="s">
        <v>860</v>
      </c>
      <c r="K86" s="633" t="s">
        <v>861</v>
      </c>
      <c r="L86" s="635">
        <v>61.379881003056838</v>
      </c>
      <c r="M86" s="635">
        <v>10</v>
      </c>
      <c r="N86" s="636">
        <v>613.79881003056835</v>
      </c>
    </row>
    <row r="87" spans="1:14" ht="14.4" customHeight="1" x14ac:dyDescent="0.3">
      <c r="A87" s="631" t="s">
        <v>534</v>
      </c>
      <c r="B87" s="632" t="s">
        <v>536</v>
      </c>
      <c r="C87" s="633" t="s">
        <v>548</v>
      </c>
      <c r="D87" s="634" t="s">
        <v>549</v>
      </c>
      <c r="E87" s="633" t="s">
        <v>537</v>
      </c>
      <c r="F87" s="634" t="s">
        <v>538</v>
      </c>
      <c r="G87" s="633" t="s">
        <v>562</v>
      </c>
      <c r="H87" s="633" t="s">
        <v>862</v>
      </c>
      <c r="I87" s="633" t="s">
        <v>863</v>
      </c>
      <c r="J87" s="633" t="s">
        <v>864</v>
      </c>
      <c r="K87" s="633" t="s">
        <v>865</v>
      </c>
      <c r="L87" s="635">
        <v>180.03339245949269</v>
      </c>
      <c r="M87" s="635">
        <v>3</v>
      </c>
      <c r="N87" s="636">
        <v>540.10017737847807</v>
      </c>
    </row>
    <row r="88" spans="1:14" ht="14.4" customHeight="1" x14ac:dyDescent="0.3">
      <c r="A88" s="631" t="s">
        <v>534</v>
      </c>
      <c r="B88" s="632" t="s">
        <v>536</v>
      </c>
      <c r="C88" s="633" t="s">
        <v>548</v>
      </c>
      <c r="D88" s="634" t="s">
        <v>549</v>
      </c>
      <c r="E88" s="633" t="s">
        <v>537</v>
      </c>
      <c r="F88" s="634" t="s">
        <v>538</v>
      </c>
      <c r="G88" s="633" t="s">
        <v>562</v>
      </c>
      <c r="H88" s="633" t="s">
        <v>866</v>
      </c>
      <c r="I88" s="633" t="s">
        <v>867</v>
      </c>
      <c r="J88" s="633" t="s">
        <v>856</v>
      </c>
      <c r="K88" s="633" t="s">
        <v>868</v>
      </c>
      <c r="L88" s="635">
        <v>27.520065630785098</v>
      </c>
      <c r="M88" s="635">
        <v>4</v>
      </c>
      <c r="N88" s="636">
        <v>110.08026252314039</v>
      </c>
    </row>
    <row r="89" spans="1:14" ht="14.4" customHeight="1" x14ac:dyDescent="0.3">
      <c r="A89" s="631" t="s">
        <v>534</v>
      </c>
      <c r="B89" s="632" t="s">
        <v>536</v>
      </c>
      <c r="C89" s="633" t="s">
        <v>548</v>
      </c>
      <c r="D89" s="634" t="s">
        <v>549</v>
      </c>
      <c r="E89" s="633" t="s">
        <v>537</v>
      </c>
      <c r="F89" s="634" t="s">
        <v>538</v>
      </c>
      <c r="G89" s="633" t="s">
        <v>562</v>
      </c>
      <c r="H89" s="633" t="s">
        <v>869</v>
      </c>
      <c r="I89" s="633" t="s">
        <v>870</v>
      </c>
      <c r="J89" s="633" t="s">
        <v>871</v>
      </c>
      <c r="K89" s="633" t="s">
        <v>872</v>
      </c>
      <c r="L89" s="635">
        <v>198.06</v>
      </c>
      <c r="M89" s="635">
        <v>1</v>
      </c>
      <c r="N89" s="636">
        <v>198.06</v>
      </c>
    </row>
    <row r="90" spans="1:14" ht="14.4" customHeight="1" x14ac:dyDescent="0.3">
      <c r="A90" s="631" t="s">
        <v>534</v>
      </c>
      <c r="B90" s="632" t="s">
        <v>536</v>
      </c>
      <c r="C90" s="633" t="s">
        <v>548</v>
      </c>
      <c r="D90" s="634" t="s">
        <v>549</v>
      </c>
      <c r="E90" s="633" t="s">
        <v>537</v>
      </c>
      <c r="F90" s="634" t="s">
        <v>538</v>
      </c>
      <c r="G90" s="633" t="s">
        <v>562</v>
      </c>
      <c r="H90" s="633" t="s">
        <v>873</v>
      </c>
      <c r="I90" s="633" t="s">
        <v>874</v>
      </c>
      <c r="J90" s="633" t="s">
        <v>875</v>
      </c>
      <c r="K90" s="633" t="s">
        <v>876</v>
      </c>
      <c r="L90" s="635">
        <v>28.219981666181599</v>
      </c>
      <c r="M90" s="635">
        <v>8</v>
      </c>
      <c r="N90" s="636">
        <v>225.7598533294528</v>
      </c>
    </row>
    <row r="91" spans="1:14" ht="14.4" customHeight="1" x14ac:dyDescent="0.3">
      <c r="A91" s="631" t="s">
        <v>534</v>
      </c>
      <c r="B91" s="632" t="s">
        <v>536</v>
      </c>
      <c r="C91" s="633" t="s">
        <v>548</v>
      </c>
      <c r="D91" s="634" t="s">
        <v>549</v>
      </c>
      <c r="E91" s="633" t="s">
        <v>537</v>
      </c>
      <c r="F91" s="634" t="s">
        <v>538</v>
      </c>
      <c r="G91" s="633" t="s">
        <v>562</v>
      </c>
      <c r="H91" s="633" t="s">
        <v>877</v>
      </c>
      <c r="I91" s="633" t="s">
        <v>878</v>
      </c>
      <c r="J91" s="633" t="s">
        <v>879</v>
      </c>
      <c r="K91" s="633" t="s">
        <v>880</v>
      </c>
      <c r="L91" s="635">
        <v>100.91163072889826</v>
      </c>
      <c r="M91" s="635">
        <v>6</v>
      </c>
      <c r="N91" s="636">
        <v>605.46978437338953</v>
      </c>
    </row>
    <row r="92" spans="1:14" ht="14.4" customHeight="1" x14ac:dyDescent="0.3">
      <c r="A92" s="631" t="s">
        <v>534</v>
      </c>
      <c r="B92" s="632" t="s">
        <v>536</v>
      </c>
      <c r="C92" s="633" t="s">
        <v>548</v>
      </c>
      <c r="D92" s="634" t="s">
        <v>549</v>
      </c>
      <c r="E92" s="633" t="s">
        <v>537</v>
      </c>
      <c r="F92" s="634" t="s">
        <v>538</v>
      </c>
      <c r="G92" s="633" t="s">
        <v>562</v>
      </c>
      <c r="H92" s="633" t="s">
        <v>881</v>
      </c>
      <c r="I92" s="633" t="s">
        <v>882</v>
      </c>
      <c r="J92" s="633" t="s">
        <v>883</v>
      </c>
      <c r="K92" s="633" t="s">
        <v>884</v>
      </c>
      <c r="L92" s="635">
        <v>218.178</v>
      </c>
      <c r="M92" s="635">
        <v>3</v>
      </c>
      <c r="N92" s="636">
        <v>654.53399999999999</v>
      </c>
    </row>
    <row r="93" spans="1:14" ht="14.4" customHeight="1" x14ac:dyDescent="0.3">
      <c r="A93" s="631" t="s">
        <v>534</v>
      </c>
      <c r="B93" s="632" t="s">
        <v>536</v>
      </c>
      <c r="C93" s="633" t="s">
        <v>548</v>
      </c>
      <c r="D93" s="634" t="s">
        <v>549</v>
      </c>
      <c r="E93" s="633" t="s">
        <v>537</v>
      </c>
      <c r="F93" s="634" t="s">
        <v>538</v>
      </c>
      <c r="G93" s="633" t="s">
        <v>562</v>
      </c>
      <c r="H93" s="633" t="s">
        <v>885</v>
      </c>
      <c r="I93" s="633" t="s">
        <v>885</v>
      </c>
      <c r="J93" s="633" t="s">
        <v>564</v>
      </c>
      <c r="K93" s="633" t="s">
        <v>886</v>
      </c>
      <c r="L93" s="635">
        <v>201.25</v>
      </c>
      <c r="M93" s="635">
        <v>2</v>
      </c>
      <c r="N93" s="636">
        <v>402.5</v>
      </c>
    </row>
    <row r="94" spans="1:14" ht="14.4" customHeight="1" x14ac:dyDescent="0.3">
      <c r="A94" s="631" t="s">
        <v>534</v>
      </c>
      <c r="B94" s="632" t="s">
        <v>536</v>
      </c>
      <c r="C94" s="633" t="s">
        <v>548</v>
      </c>
      <c r="D94" s="634" t="s">
        <v>549</v>
      </c>
      <c r="E94" s="633" t="s">
        <v>537</v>
      </c>
      <c r="F94" s="634" t="s">
        <v>538</v>
      </c>
      <c r="G94" s="633" t="s">
        <v>562</v>
      </c>
      <c r="H94" s="633" t="s">
        <v>887</v>
      </c>
      <c r="I94" s="633" t="s">
        <v>888</v>
      </c>
      <c r="J94" s="633" t="s">
        <v>889</v>
      </c>
      <c r="K94" s="633" t="s">
        <v>890</v>
      </c>
      <c r="L94" s="635">
        <v>40.909786787368482</v>
      </c>
      <c r="M94" s="635">
        <v>2</v>
      </c>
      <c r="N94" s="636">
        <v>81.819573574736964</v>
      </c>
    </row>
    <row r="95" spans="1:14" ht="14.4" customHeight="1" x14ac:dyDescent="0.3">
      <c r="A95" s="631" t="s">
        <v>534</v>
      </c>
      <c r="B95" s="632" t="s">
        <v>536</v>
      </c>
      <c r="C95" s="633" t="s">
        <v>548</v>
      </c>
      <c r="D95" s="634" t="s">
        <v>549</v>
      </c>
      <c r="E95" s="633" t="s">
        <v>537</v>
      </c>
      <c r="F95" s="634" t="s">
        <v>538</v>
      </c>
      <c r="G95" s="633" t="s">
        <v>562</v>
      </c>
      <c r="H95" s="633" t="s">
        <v>891</v>
      </c>
      <c r="I95" s="633" t="s">
        <v>892</v>
      </c>
      <c r="J95" s="633" t="s">
        <v>893</v>
      </c>
      <c r="K95" s="633" t="s">
        <v>579</v>
      </c>
      <c r="L95" s="635">
        <v>121.80960031514113</v>
      </c>
      <c r="M95" s="635">
        <v>9</v>
      </c>
      <c r="N95" s="636">
        <v>1096.2864028362701</v>
      </c>
    </row>
    <row r="96" spans="1:14" ht="14.4" customHeight="1" x14ac:dyDescent="0.3">
      <c r="A96" s="631" t="s">
        <v>534</v>
      </c>
      <c r="B96" s="632" t="s">
        <v>536</v>
      </c>
      <c r="C96" s="633" t="s">
        <v>548</v>
      </c>
      <c r="D96" s="634" t="s">
        <v>549</v>
      </c>
      <c r="E96" s="633" t="s">
        <v>537</v>
      </c>
      <c r="F96" s="634" t="s">
        <v>538</v>
      </c>
      <c r="G96" s="633" t="s">
        <v>562</v>
      </c>
      <c r="H96" s="633" t="s">
        <v>894</v>
      </c>
      <c r="I96" s="633" t="s">
        <v>895</v>
      </c>
      <c r="J96" s="633" t="s">
        <v>896</v>
      </c>
      <c r="K96" s="633" t="s">
        <v>897</v>
      </c>
      <c r="L96" s="635">
        <v>59.650272324689503</v>
      </c>
      <c r="M96" s="635">
        <v>2</v>
      </c>
      <c r="N96" s="636">
        <v>119.30054464937901</v>
      </c>
    </row>
    <row r="97" spans="1:14" ht="14.4" customHeight="1" x14ac:dyDescent="0.3">
      <c r="A97" s="631" t="s">
        <v>534</v>
      </c>
      <c r="B97" s="632" t="s">
        <v>536</v>
      </c>
      <c r="C97" s="633" t="s">
        <v>548</v>
      </c>
      <c r="D97" s="634" t="s">
        <v>549</v>
      </c>
      <c r="E97" s="633" t="s">
        <v>537</v>
      </c>
      <c r="F97" s="634" t="s">
        <v>538</v>
      </c>
      <c r="G97" s="633" t="s">
        <v>562</v>
      </c>
      <c r="H97" s="633" t="s">
        <v>898</v>
      </c>
      <c r="I97" s="633" t="s">
        <v>899</v>
      </c>
      <c r="J97" s="633" t="s">
        <v>900</v>
      </c>
      <c r="K97" s="633" t="s">
        <v>901</v>
      </c>
      <c r="L97" s="635">
        <v>707</v>
      </c>
      <c r="M97" s="635">
        <v>3</v>
      </c>
      <c r="N97" s="636">
        <v>2121</v>
      </c>
    </row>
    <row r="98" spans="1:14" ht="14.4" customHeight="1" x14ac:dyDescent="0.3">
      <c r="A98" s="631" t="s">
        <v>534</v>
      </c>
      <c r="B98" s="632" t="s">
        <v>536</v>
      </c>
      <c r="C98" s="633" t="s">
        <v>548</v>
      </c>
      <c r="D98" s="634" t="s">
        <v>549</v>
      </c>
      <c r="E98" s="633" t="s">
        <v>537</v>
      </c>
      <c r="F98" s="634" t="s">
        <v>538</v>
      </c>
      <c r="G98" s="633" t="s">
        <v>562</v>
      </c>
      <c r="H98" s="633" t="s">
        <v>902</v>
      </c>
      <c r="I98" s="633" t="s">
        <v>903</v>
      </c>
      <c r="J98" s="633" t="s">
        <v>904</v>
      </c>
      <c r="K98" s="633" t="s">
        <v>905</v>
      </c>
      <c r="L98" s="635">
        <v>1665.1999999999998</v>
      </c>
      <c r="M98" s="635">
        <v>3</v>
      </c>
      <c r="N98" s="636">
        <v>4995.5999999999995</v>
      </c>
    </row>
    <row r="99" spans="1:14" ht="14.4" customHeight="1" x14ac:dyDescent="0.3">
      <c r="A99" s="631" t="s">
        <v>534</v>
      </c>
      <c r="B99" s="632" t="s">
        <v>536</v>
      </c>
      <c r="C99" s="633" t="s">
        <v>548</v>
      </c>
      <c r="D99" s="634" t="s">
        <v>549</v>
      </c>
      <c r="E99" s="633" t="s">
        <v>537</v>
      </c>
      <c r="F99" s="634" t="s">
        <v>538</v>
      </c>
      <c r="G99" s="633" t="s">
        <v>562</v>
      </c>
      <c r="H99" s="633" t="s">
        <v>906</v>
      </c>
      <c r="I99" s="633" t="s">
        <v>907</v>
      </c>
      <c r="J99" s="633" t="s">
        <v>908</v>
      </c>
      <c r="K99" s="633" t="s">
        <v>909</v>
      </c>
      <c r="L99" s="635">
        <v>260</v>
      </c>
      <c r="M99" s="635">
        <v>5</v>
      </c>
      <c r="N99" s="636">
        <v>1300</v>
      </c>
    </row>
    <row r="100" spans="1:14" ht="14.4" customHeight="1" x14ac:dyDescent="0.3">
      <c r="A100" s="631" t="s">
        <v>534</v>
      </c>
      <c r="B100" s="632" t="s">
        <v>536</v>
      </c>
      <c r="C100" s="633" t="s">
        <v>548</v>
      </c>
      <c r="D100" s="634" t="s">
        <v>549</v>
      </c>
      <c r="E100" s="633" t="s">
        <v>537</v>
      </c>
      <c r="F100" s="634" t="s">
        <v>538</v>
      </c>
      <c r="G100" s="633" t="s">
        <v>562</v>
      </c>
      <c r="H100" s="633" t="s">
        <v>910</v>
      </c>
      <c r="I100" s="633" t="s">
        <v>910</v>
      </c>
      <c r="J100" s="633" t="s">
        <v>911</v>
      </c>
      <c r="K100" s="633" t="s">
        <v>912</v>
      </c>
      <c r="L100" s="635">
        <v>38.93</v>
      </c>
      <c r="M100" s="635">
        <v>1</v>
      </c>
      <c r="N100" s="636">
        <v>38.93</v>
      </c>
    </row>
    <row r="101" spans="1:14" ht="14.4" customHeight="1" x14ac:dyDescent="0.3">
      <c r="A101" s="631" t="s">
        <v>534</v>
      </c>
      <c r="B101" s="632" t="s">
        <v>536</v>
      </c>
      <c r="C101" s="633" t="s">
        <v>548</v>
      </c>
      <c r="D101" s="634" t="s">
        <v>549</v>
      </c>
      <c r="E101" s="633" t="s">
        <v>537</v>
      </c>
      <c r="F101" s="634" t="s">
        <v>538</v>
      </c>
      <c r="G101" s="633" t="s">
        <v>562</v>
      </c>
      <c r="H101" s="633" t="s">
        <v>913</v>
      </c>
      <c r="I101" s="633" t="s">
        <v>914</v>
      </c>
      <c r="J101" s="633" t="s">
        <v>915</v>
      </c>
      <c r="K101" s="633" t="s">
        <v>916</v>
      </c>
      <c r="L101" s="635">
        <v>67.412304221500605</v>
      </c>
      <c r="M101" s="635">
        <v>1</v>
      </c>
      <c r="N101" s="636">
        <v>67.412304221500605</v>
      </c>
    </row>
    <row r="102" spans="1:14" ht="14.4" customHeight="1" x14ac:dyDescent="0.3">
      <c r="A102" s="631" t="s">
        <v>534</v>
      </c>
      <c r="B102" s="632" t="s">
        <v>536</v>
      </c>
      <c r="C102" s="633" t="s">
        <v>548</v>
      </c>
      <c r="D102" s="634" t="s">
        <v>549</v>
      </c>
      <c r="E102" s="633" t="s">
        <v>537</v>
      </c>
      <c r="F102" s="634" t="s">
        <v>538</v>
      </c>
      <c r="G102" s="633" t="s">
        <v>562</v>
      </c>
      <c r="H102" s="633" t="s">
        <v>917</v>
      </c>
      <c r="I102" s="633" t="s">
        <v>917</v>
      </c>
      <c r="J102" s="633" t="s">
        <v>918</v>
      </c>
      <c r="K102" s="633" t="s">
        <v>919</v>
      </c>
      <c r="L102" s="635">
        <v>109.24</v>
      </c>
      <c r="M102" s="635">
        <v>3</v>
      </c>
      <c r="N102" s="636">
        <v>327.71999999999997</v>
      </c>
    </row>
    <row r="103" spans="1:14" ht="14.4" customHeight="1" x14ac:dyDescent="0.3">
      <c r="A103" s="631" t="s">
        <v>534</v>
      </c>
      <c r="B103" s="632" t="s">
        <v>536</v>
      </c>
      <c r="C103" s="633" t="s">
        <v>548</v>
      </c>
      <c r="D103" s="634" t="s">
        <v>549</v>
      </c>
      <c r="E103" s="633" t="s">
        <v>537</v>
      </c>
      <c r="F103" s="634" t="s">
        <v>538</v>
      </c>
      <c r="G103" s="633" t="s">
        <v>562</v>
      </c>
      <c r="H103" s="633" t="s">
        <v>920</v>
      </c>
      <c r="I103" s="633" t="s">
        <v>921</v>
      </c>
      <c r="J103" s="633" t="s">
        <v>922</v>
      </c>
      <c r="K103" s="633" t="s">
        <v>923</v>
      </c>
      <c r="L103" s="635">
        <v>592.19897403380423</v>
      </c>
      <c r="M103" s="635">
        <v>1</v>
      </c>
      <c r="N103" s="636">
        <v>592.19897403380423</v>
      </c>
    </row>
    <row r="104" spans="1:14" ht="14.4" customHeight="1" x14ac:dyDescent="0.3">
      <c r="A104" s="631" t="s">
        <v>534</v>
      </c>
      <c r="B104" s="632" t="s">
        <v>536</v>
      </c>
      <c r="C104" s="633" t="s">
        <v>548</v>
      </c>
      <c r="D104" s="634" t="s">
        <v>549</v>
      </c>
      <c r="E104" s="633" t="s">
        <v>537</v>
      </c>
      <c r="F104" s="634" t="s">
        <v>538</v>
      </c>
      <c r="G104" s="633" t="s">
        <v>562</v>
      </c>
      <c r="H104" s="633" t="s">
        <v>924</v>
      </c>
      <c r="I104" s="633" t="s">
        <v>925</v>
      </c>
      <c r="J104" s="633" t="s">
        <v>926</v>
      </c>
      <c r="K104" s="633" t="s">
        <v>927</v>
      </c>
      <c r="L104" s="635">
        <v>21.897776778916274</v>
      </c>
      <c r="M104" s="635">
        <v>60</v>
      </c>
      <c r="N104" s="636">
        <v>1313.8666067349764</v>
      </c>
    </row>
    <row r="105" spans="1:14" ht="14.4" customHeight="1" x14ac:dyDescent="0.3">
      <c r="A105" s="631" t="s">
        <v>534</v>
      </c>
      <c r="B105" s="632" t="s">
        <v>536</v>
      </c>
      <c r="C105" s="633" t="s">
        <v>548</v>
      </c>
      <c r="D105" s="634" t="s">
        <v>549</v>
      </c>
      <c r="E105" s="633" t="s">
        <v>537</v>
      </c>
      <c r="F105" s="634" t="s">
        <v>538</v>
      </c>
      <c r="G105" s="633" t="s">
        <v>562</v>
      </c>
      <c r="H105" s="633" t="s">
        <v>928</v>
      </c>
      <c r="I105" s="633" t="s">
        <v>929</v>
      </c>
      <c r="J105" s="633" t="s">
        <v>746</v>
      </c>
      <c r="K105" s="633" t="s">
        <v>930</v>
      </c>
      <c r="L105" s="635">
        <v>74.38996467566372</v>
      </c>
      <c r="M105" s="635">
        <v>7</v>
      </c>
      <c r="N105" s="636">
        <v>520.72975272964607</v>
      </c>
    </row>
    <row r="106" spans="1:14" ht="14.4" customHeight="1" x14ac:dyDescent="0.3">
      <c r="A106" s="631" t="s">
        <v>534</v>
      </c>
      <c r="B106" s="632" t="s">
        <v>536</v>
      </c>
      <c r="C106" s="633" t="s">
        <v>548</v>
      </c>
      <c r="D106" s="634" t="s">
        <v>549</v>
      </c>
      <c r="E106" s="633" t="s">
        <v>537</v>
      </c>
      <c r="F106" s="634" t="s">
        <v>538</v>
      </c>
      <c r="G106" s="633" t="s">
        <v>562</v>
      </c>
      <c r="H106" s="633" t="s">
        <v>931</v>
      </c>
      <c r="I106" s="633" t="s">
        <v>932</v>
      </c>
      <c r="J106" s="633" t="s">
        <v>933</v>
      </c>
      <c r="K106" s="633" t="s">
        <v>934</v>
      </c>
      <c r="L106" s="635">
        <v>37.090000000000003</v>
      </c>
      <c r="M106" s="635">
        <v>3</v>
      </c>
      <c r="N106" s="636">
        <v>111.27000000000001</v>
      </c>
    </row>
    <row r="107" spans="1:14" ht="14.4" customHeight="1" x14ac:dyDescent="0.3">
      <c r="A107" s="631" t="s">
        <v>534</v>
      </c>
      <c r="B107" s="632" t="s">
        <v>536</v>
      </c>
      <c r="C107" s="633" t="s">
        <v>548</v>
      </c>
      <c r="D107" s="634" t="s">
        <v>549</v>
      </c>
      <c r="E107" s="633" t="s">
        <v>537</v>
      </c>
      <c r="F107" s="634" t="s">
        <v>538</v>
      </c>
      <c r="G107" s="633" t="s">
        <v>562</v>
      </c>
      <c r="H107" s="633" t="s">
        <v>935</v>
      </c>
      <c r="I107" s="633" t="s">
        <v>936</v>
      </c>
      <c r="J107" s="633" t="s">
        <v>937</v>
      </c>
      <c r="K107" s="633" t="s">
        <v>938</v>
      </c>
      <c r="L107" s="635">
        <v>94.51</v>
      </c>
      <c r="M107" s="635">
        <v>1</v>
      </c>
      <c r="N107" s="636">
        <v>94.51</v>
      </c>
    </row>
    <row r="108" spans="1:14" ht="14.4" customHeight="1" x14ac:dyDescent="0.3">
      <c r="A108" s="631" t="s">
        <v>534</v>
      </c>
      <c r="B108" s="632" t="s">
        <v>536</v>
      </c>
      <c r="C108" s="633" t="s">
        <v>548</v>
      </c>
      <c r="D108" s="634" t="s">
        <v>549</v>
      </c>
      <c r="E108" s="633" t="s">
        <v>537</v>
      </c>
      <c r="F108" s="634" t="s">
        <v>538</v>
      </c>
      <c r="G108" s="633" t="s">
        <v>562</v>
      </c>
      <c r="H108" s="633" t="s">
        <v>939</v>
      </c>
      <c r="I108" s="633" t="s">
        <v>940</v>
      </c>
      <c r="J108" s="633" t="s">
        <v>911</v>
      </c>
      <c r="K108" s="633" t="s">
        <v>872</v>
      </c>
      <c r="L108" s="635">
        <v>119.11178956504398</v>
      </c>
      <c r="M108" s="635">
        <v>12</v>
      </c>
      <c r="N108" s="636">
        <v>1429.3414747805277</v>
      </c>
    </row>
    <row r="109" spans="1:14" ht="14.4" customHeight="1" x14ac:dyDescent="0.3">
      <c r="A109" s="631" t="s">
        <v>534</v>
      </c>
      <c r="B109" s="632" t="s">
        <v>536</v>
      </c>
      <c r="C109" s="633" t="s">
        <v>548</v>
      </c>
      <c r="D109" s="634" t="s">
        <v>549</v>
      </c>
      <c r="E109" s="633" t="s">
        <v>537</v>
      </c>
      <c r="F109" s="634" t="s">
        <v>538</v>
      </c>
      <c r="G109" s="633" t="s">
        <v>562</v>
      </c>
      <c r="H109" s="633" t="s">
        <v>941</v>
      </c>
      <c r="I109" s="633" t="s">
        <v>942</v>
      </c>
      <c r="J109" s="633" t="s">
        <v>586</v>
      </c>
      <c r="K109" s="633" t="s">
        <v>943</v>
      </c>
      <c r="L109" s="635">
        <v>49.62</v>
      </c>
      <c r="M109" s="635">
        <v>8</v>
      </c>
      <c r="N109" s="636">
        <v>396.96</v>
      </c>
    </row>
    <row r="110" spans="1:14" ht="14.4" customHeight="1" x14ac:dyDescent="0.3">
      <c r="A110" s="631" t="s">
        <v>534</v>
      </c>
      <c r="B110" s="632" t="s">
        <v>536</v>
      </c>
      <c r="C110" s="633" t="s">
        <v>548</v>
      </c>
      <c r="D110" s="634" t="s">
        <v>549</v>
      </c>
      <c r="E110" s="633" t="s">
        <v>537</v>
      </c>
      <c r="F110" s="634" t="s">
        <v>538</v>
      </c>
      <c r="G110" s="633" t="s">
        <v>562</v>
      </c>
      <c r="H110" s="633" t="s">
        <v>944</v>
      </c>
      <c r="I110" s="633" t="s">
        <v>945</v>
      </c>
      <c r="J110" s="633" t="s">
        <v>946</v>
      </c>
      <c r="K110" s="633" t="s">
        <v>947</v>
      </c>
      <c r="L110" s="635">
        <v>177.8</v>
      </c>
      <c r="M110" s="635">
        <v>2</v>
      </c>
      <c r="N110" s="636">
        <v>355.6</v>
      </c>
    </row>
    <row r="111" spans="1:14" ht="14.4" customHeight="1" x14ac:dyDescent="0.3">
      <c r="A111" s="631" t="s">
        <v>534</v>
      </c>
      <c r="B111" s="632" t="s">
        <v>536</v>
      </c>
      <c r="C111" s="633" t="s">
        <v>548</v>
      </c>
      <c r="D111" s="634" t="s">
        <v>549</v>
      </c>
      <c r="E111" s="633" t="s">
        <v>537</v>
      </c>
      <c r="F111" s="634" t="s">
        <v>538</v>
      </c>
      <c r="G111" s="633" t="s">
        <v>562</v>
      </c>
      <c r="H111" s="633" t="s">
        <v>948</v>
      </c>
      <c r="I111" s="633" t="s">
        <v>948</v>
      </c>
      <c r="J111" s="633" t="s">
        <v>949</v>
      </c>
      <c r="K111" s="633" t="s">
        <v>950</v>
      </c>
      <c r="L111" s="635">
        <v>266.95999999999998</v>
      </c>
      <c r="M111" s="635">
        <v>1</v>
      </c>
      <c r="N111" s="636">
        <v>266.95999999999998</v>
      </c>
    </row>
    <row r="112" spans="1:14" ht="14.4" customHeight="1" x14ac:dyDescent="0.3">
      <c r="A112" s="631" t="s">
        <v>534</v>
      </c>
      <c r="B112" s="632" t="s">
        <v>536</v>
      </c>
      <c r="C112" s="633" t="s">
        <v>548</v>
      </c>
      <c r="D112" s="634" t="s">
        <v>549</v>
      </c>
      <c r="E112" s="633" t="s">
        <v>537</v>
      </c>
      <c r="F112" s="634" t="s">
        <v>538</v>
      </c>
      <c r="G112" s="633" t="s">
        <v>562</v>
      </c>
      <c r="H112" s="633" t="s">
        <v>951</v>
      </c>
      <c r="I112" s="633" t="s">
        <v>952</v>
      </c>
      <c r="J112" s="633" t="s">
        <v>953</v>
      </c>
      <c r="K112" s="633" t="s">
        <v>954</v>
      </c>
      <c r="L112" s="635">
        <v>69.72</v>
      </c>
      <c r="M112" s="635">
        <v>2</v>
      </c>
      <c r="N112" s="636">
        <v>139.44</v>
      </c>
    </row>
    <row r="113" spans="1:14" ht="14.4" customHeight="1" x14ac:dyDescent="0.3">
      <c r="A113" s="631" t="s">
        <v>534</v>
      </c>
      <c r="B113" s="632" t="s">
        <v>536</v>
      </c>
      <c r="C113" s="633" t="s">
        <v>548</v>
      </c>
      <c r="D113" s="634" t="s">
        <v>549</v>
      </c>
      <c r="E113" s="633" t="s">
        <v>537</v>
      </c>
      <c r="F113" s="634" t="s">
        <v>538</v>
      </c>
      <c r="G113" s="633" t="s">
        <v>562</v>
      </c>
      <c r="H113" s="633" t="s">
        <v>955</v>
      </c>
      <c r="I113" s="633" t="s">
        <v>956</v>
      </c>
      <c r="J113" s="633" t="s">
        <v>957</v>
      </c>
      <c r="K113" s="633" t="s">
        <v>958</v>
      </c>
      <c r="L113" s="635">
        <v>82.26</v>
      </c>
      <c r="M113" s="635">
        <v>2</v>
      </c>
      <c r="N113" s="636">
        <v>164.52</v>
      </c>
    </row>
    <row r="114" spans="1:14" ht="14.4" customHeight="1" x14ac:dyDescent="0.3">
      <c r="A114" s="631" t="s">
        <v>534</v>
      </c>
      <c r="B114" s="632" t="s">
        <v>536</v>
      </c>
      <c r="C114" s="633" t="s">
        <v>548</v>
      </c>
      <c r="D114" s="634" t="s">
        <v>549</v>
      </c>
      <c r="E114" s="633" t="s">
        <v>537</v>
      </c>
      <c r="F114" s="634" t="s">
        <v>538</v>
      </c>
      <c r="G114" s="633" t="s">
        <v>562</v>
      </c>
      <c r="H114" s="633" t="s">
        <v>959</v>
      </c>
      <c r="I114" s="633" t="s">
        <v>960</v>
      </c>
      <c r="J114" s="633" t="s">
        <v>961</v>
      </c>
      <c r="K114" s="633" t="s">
        <v>962</v>
      </c>
      <c r="L114" s="635">
        <v>494.93</v>
      </c>
      <c r="M114" s="635">
        <v>1</v>
      </c>
      <c r="N114" s="636">
        <v>494.93</v>
      </c>
    </row>
    <row r="115" spans="1:14" ht="14.4" customHeight="1" x14ac:dyDescent="0.3">
      <c r="A115" s="631" t="s">
        <v>534</v>
      </c>
      <c r="B115" s="632" t="s">
        <v>536</v>
      </c>
      <c r="C115" s="633" t="s">
        <v>548</v>
      </c>
      <c r="D115" s="634" t="s">
        <v>549</v>
      </c>
      <c r="E115" s="633" t="s">
        <v>537</v>
      </c>
      <c r="F115" s="634" t="s">
        <v>538</v>
      </c>
      <c r="G115" s="633" t="s">
        <v>562</v>
      </c>
      <c r="H115" s="633" t="s">
        <v>963</v>
      </c>
      <c r="I115" s="633" t="s">
        <v>964</v>
      </c>
      <c r="J115" s="633" t="s">
        <v>965</v>
      </c>
      <c r="K115" s="633" t="s">
        <v>966</v>
      </c>
      <c r="L115" s="635">
        <v>1084.8881204652716</v>
      </c>
      <c r="M115" s="635">
        <v>1</v>
      </c>
      <c r="N115" s="636">
        <v>1084.8881204652716</v>
      </c>
    </row>
    <row r="116" spans="1:14" ht="14.4" customHeight="1" x14ac:dyDescent="0.3">
      <c r="A116" s="631" t="s">
        <v>534</v>
      </c>
      <c r="B116" s="632" t="s">
        <v>536</v>
      </c>
      <c r="C116" s="633" t="s">
        <v>548</v>
      </c>
      <c r="D116" s="634" t="s">
        <v>549</v>
      </c>
      <c r="E116" s="633" t="s">
        <v>537</v>
      </c>
      <c r="F116" s="634" t="s">
        <v>538</v>
      </c>
      <c r="G116" s="633" t="s">
        <v>562</v>
      </c>
      <c r="H116" s="633" t="s">
        <v>967</v>
      </c>
      <c r="I116" s="633" t="s">
        <v>968</v>
      </c>
      <c r="J116" s="633" t="s">
        <v>969</v>
      </c>
      <c r="K116" s="633" t="s">
        <v>970</v>
      </c>
      <c r="L116" s="635">
        <v>90.95</v>
      </c>
      <c r="M116" s="635">
        <v>4</v>
      </c>
      <c r="N116" s="636">
        <v>363.8</v>
      </c>
    </row>
    <row r="117" spans="1:14" ht="14.4" customHeight="1" x14ac:dyDescent="0.3">
      <c r="A117" s="631" t="s">
        <v>534</v>
      </c>
      <c r="B117" s="632" t="s">
        <v>536</v>
      </c>
      <c r="C117" s="633" t="s">
        <v>548</v>
      </c>
      <c r="D117" s="634" t="s">
        <v>549</v>
      </c>
      <c r="E117" s="633" t="s">
        <v>537</v>
      </c>
      <c r="F117" s="634" t="s">
        <v>538</v>
      </c>
      <c r="G117" s="633" t="s">
        <v>562</v>
      </c>
      <c r="H117" s="633" t="s">
        <v>971</v>
      </c>
      <c r="I117" s="633" t="s">
        <v>972</v>
      </c>
      <c r="J117" s="633" t="s">
        <v>973</v>
      </c>
      <c r="K117" s="633" t="s">
        <v>974</v>
      </c>
      <c r="L117" s="635">
        <v>182.998827461899</v>
      </c>
      <c r="M117" s="635">
        <v>2</v>
      </c>
      <c r="N117" s="636">
        <v>365.997654923798</v>
      </c>
    </row>
    <row r="118" spans="1:14" ht="14.4" customHeight="1" x14ac:dyDescent="0.3">
      <c r="A118" s="631" t="s">
        <v>534</v>
      </c>
      <c r="B118" s="632" t="s">
        <v>536</v>
      </c>
      <c r="C118" s="633" t="s">
        <v>548</v>
      </c>
      <c r="D118" s="634" t="s">
        <v>549</v>
      </c>
      <c r="E118" s="633" t="s">
        <v>537</v>
      </c>
      <c r="F118" s="634" t="s">
        <v>538</v>
      </c>
      <c r="G118" s="633" t="s">
        <v>562</v>
      </c>
      <c r="H118" s="633" t="s">
        <v>975</v>
      </c>
      <c r="I118" s="633" t="s">
        <v>246</v>
      </c>
      <c r="J118" s="633" t="s">
        <v>976</v>
      </c>
      <c r="K118" s="633" t="s">
        <v>977</v>
      </c>
      <c r="L118" s="635">
        <v>24.037194261613511</v>
      </c>
      <c r="M118" s="635">
        <v>24</v>
      </c>
      <c r="N118" s="636">
        <v>576.89266227872429</v>
      </c>
    </row>
    <row r="119" spans="1:14" ht="14.4" customHeight="1" x14ac:dyDescent="0.3">
      <c r="A119" s="631" t="s">
        <v>534</v>
      </c>
      <c r="B119" s="632" t="s">
        <v>536</v>
      </c>
      <c r="C119" s="633" t="s">
        <v>548</v>
      </c>
      <c r="D119" s="634" t="s">
        <v>549</v>
      </c>
      <c r="E119" s="633" t="s">
        <v>537</v>
      </c>
      <c r="F119" s="634" t="s">
        <v>538</v>
      </c>
      <c r="G119" s="633" t="s">
        <v>562</v>
      </c>
      <c r="H119" s="633" t="s">
        <v>978</v>
      </c>
      <c r="I119" s="633" t="s">
        <v>246</v>
      </c>
      <c r="J119" s="633" t="s">
        <v>979</v>
      </c>
      <c r="K119" s="633"/>
      <c r="L119" s="635">
        <v>78.760000000000005</v>
      </c>
      <c r="M119" s="635">
        <v>6</v>
      </c>
      <c r="N119" s="636">
        <v>472.56000000000006</v>
      </c>
    </row>
    <row r="120" spans="1:14" ht="14.4" customHeight="1" x14ac:dyDescent="0.3">
      <c r="A120" s="631" t="s">
        <v>534</v>
      </c>
      <c r="B120" s="632" t="s">
        <v>536</v>
      </c>
      <c r="C120" s="633" t="s">
        <v>548</v>
      </c>
      <c r="D120" s="634" t="s">
        <v>549</v>
      </c>
      <c r="E120" s="633" t="s">
        <v>537</v>
      </c>
      <c r="F120" s="634" t="s">
        <v>538</v>
      </c>
      <c r="G120" s="633" t="s">
        <v>562</v>
      </c>
      <c r="H120" s="633" t="s">
        <v>980</v>
      </c>
      <c r="I120" s="633" t="s">
        <v>981</v>
      </c>
      <c r="J120" s="633" t="s">
        <v>982</v>
      </c>
      <c r="K120" s="633" t="s">
        <v>983</v>
      </c>
      <c r="L120" s="635">
        <v>117.74</v>
      </c>
      <c r="M120" s="635">
        <v>8</v>
      </c>
      <c r="N120" s="636">
        <v>941.92</v>
      </c>
    </row>
    <row r="121" spans="1:14" ht="14.4" customHeight="1" x14ac:dyDescent="0.3">
      <c r="A121" s="631" t="s">
        <v>534</v>
      </c>
      <c r="B121" s="632" t="s">
        <v>536</v>
      </c>
      <c r="C121" s="633" t="s">
        <v>548</v>
      </c>
      <c r="D121" s="634" t="s">
        <v>549</v>
      </c>
      <c r="E121" s="633" t="s">
        <v>537</v>
      </c>
      <c r="F121" s="634" t="s">
        <v>538</v>
      </c>
      <c r="G121" s="633" t="s">
        <v>562</v>
      </c>
      <c r="H121" s="633" t="s">
        <v>984</v>
      </c>
      <c r="I121" s="633" t="s">
        <v>985</v>
      </c>
      <c r="J121" s="633" t="s">
        <v>986</v>
      </c>
      <c r="K121" s="633" t="s">
        <v>987</v>
      </c>
      <c r="L121" s="635">
        <v>424.12496806152808</v>
      </c>
      <c r="M121" s="635">
        <v>1</v>
      </c>
      <c r="N121" s="636">
        <v>424.12496806152808</v>
      </c>
    </row>
    <row r="122" spans="1:14" ht="14.4" customHeight="1" x14ac:dyDescent="0.3">
      <c r="A122" s="631" t="s">
        <v>534</v>
      </c>
      <c r="B122" s="632" t="s">
        <v>536</v>
      </c>
      <c r="C122" s="633" t="s">
        <v>548</v>
      </c>
      <c r="D122" s="634" t="s">
        <v>549</v>
      </c>
      <c r="E122" s="633" t="s">
        <v>537</v>
      </c>
      <c r="F122" s="634" t="s">
        <v>538</v>
      </c>
      <c r="G122" s="633" t="s">
        <v>562</v>
      </c>
      <c r="H122" s="633" t="s">
        <v>988</v>
      </c>
      <c r="I122" s="633" t="s">
        <v>988</v>
      </c>
      <c r="J122" s="633" t="s">
        <v>989</v>
      </c>
      <c r="K122" s="633" t="s">
        <v>990</v>
      </c>
      <c r="L122" s="635">
        <v>96.19</v>
      </c>
      <c r="M122" s="635">
        <v>3</v>
      </c>
      <c r="N122" s="636">
        <v>288.57</v>
      </c>
    </row>
    <row r="123" spans="1:14" ht="14.4" customHeight="1" x14ac:dyDescent="0.3">
      <c r="A123" s="631" t="s">
        <v>534</v>
      </c>
      <c r="B123" s="632" t="s">
        <v>536</v>
      </c>
      <c r="C123" s="633" t="s">
        <v>548</v>
      </c>
      <c r="D123" s="634" t="s">
        <v>549</v>
      </c>
      <c r="E123" s="633" t="s">
        <v>537</v>
      </c>
      <c r="F123" s="634" t="s">
        <v>538</v>
      </c>
      <c r="G123" s="633" t="s">
        <v>562</v>
      </c>
      <c r="H123" s="633" t="s">
        <v>991</v>
      </c>
      <c r="I123" s="633" t="s">
        <v>992</v>
      </c>
      <c r="J123" s="633" t="s">
        <v>871</v>
      </c>
      <c r="K123" s="633" t="s">
        <v>993</v>
      </c>
      <c r="L123" s="635">
        <v>597.54</v>
      </c>
      <c r="M123" s="635">
        <v>1</v>
      </c>
      <c r="N123" s="636">
        <v>597.54</v>
      </c>
    </row>
    <row r="124" spans="1:14" ht="14.4" customHeight="1" x14ac:dyDescent="0.3">
      <c r="A124" s="631" t="s">
        <v>534</v>
      </c>
      <c r="B124" s="632" t="s">
        <v>536</v>
      </c>
      <c r="C124" s="633" t="s">
        <v>548</v>
      </c>
      <c r="D124" s="634" t="s">
        <v>549</v>
      </c>
      <c r="E124" s="633" t="s">
        <v>537</v>
      </c>
      <c r="F124" s="634" t="s">
        <v>538</v>
      </c>
      <c r="G124" s="633" t="s">
        <v>562</v>
      </c>
      <c r="H124" s="633" t="s">
        <v>994</v>
      </c>
      <c r="I124" s="633" t="s">
        <v>246</v>
      </c>
      <c r="J124" s="633" t="s">
        <v>995</v>
      </c>
      <c r="K124" s="633"/>
      <c r="L124" s="635">
        <v>78.664777321486497</v>
      </c>
      <c r="M124" s="635">
        <v>2</v>
      </c>
      <c r="N124" s="636">
        <v>157.32955464297299</v>
      </c>
    </row>
    <row r="125" spans="1:14" ht="14.4" customHeight="1" x14ac:dyDescent="0.3">
      <c r="A125" s="631" t="s">
        <v>534</v>
      </c>
      <c r="B125" s="632" t="s">
        <v>536</v>
      </c>
      <c r="C125" s="633" t="s">
        <v>548</v>
      </c>
      <c r="D125" s="634" t="s">
        <v>549</v>
      </c>
      <c r="E125" s="633" t="s">
        <v>537</v>
      </c>
      <c r="F125" s="634" t="s">
        <v>538</v>
      </c>
      <c r="G125" s="633" t="s">
        <v>562</v>
      </c>
      <c r="H125" s="633" t="s">
        <v>996</v>
      </c>
      <c r="I125" s="633" t="s">
        <v>996</v>
      </c>
      <c r="J125" s="633" t="s">
        <v>997</v>
      </c>
      <c r="K125" s="633" t="s">
        <v>998</v>
      </c>
      <c r="L125" s="635">
        <v>48.78</v>
      </c>
      <c r="M125" s="635">
        <v>2</v>
      </c>
      <c r="N125" s="636">
        <v>97.56</v>
      </c>
    </row>
    <row r="126" spans="1:14" ht="14.4" customHeight="1" x14ac:dyDescent="0.3">
      <c r="A126" s="631" t="s">
        <v>534</v>
      </c>
      <c r="B126" s="632" t="s">
        <v>536</v>
      </c>
      <c r="C126" s="633" t="s">
        <v>548</v>
      </c>
      <c r="D126" s="634" t="s">
        <v>549</v>
      </c>
      <c r="E126" s="633" t="s">
        <v>537</v>
      </c>
      <c r="F126" s="634" t="s">
        <v>538</v>
      </c>
      <c r="G126" s="633" t="s">
        <v>562</v>
      </c>
      <c r="H126" s="633" t="s">
        <v>999</v>
      </c>
      <c r="I126" s="633" t="s">
        <v>1000</v>
      </c>
      <c r="J126" s="633" t="s">
        <v>1001</v>
      </c>
      <c r="K126" s="633" t="s">
        <v>1002</v>
      </c>
      <c r="L126" s="635">
        <v>113.9496212332738</v>
      </c>
      <c r="M126" s="635">
        <v>2</v>
      </c>
      <c r="N126" s="636">
        <v>227.89924246654761</v>
      </c>
    </row>
    <row r="127" spans="1:14" ht="14.4" customHeight="1" x14ac:dyDescent="0.3">
      <c r="A127" s="631" t="s">
        <v>534</v>
      </c>
      <c r="B127" s="632" t="s">
        <v>536</v>
      </c>
      <c r="C127" s="633" t="s">
        <v>548</v>
      </c>
      <c r="D127" s="634" t="s">
        <v>549</v>
      </c>
      <c r="E127" s="633" t="s">
        <v>537</v>
      </c>
      <c r="F127" s="634" t="s">
        <v>538</v>
      </c>
      <c r="G127" s="633" t="s">
        <v>562</v>
      </c>
      <c r="H127" s="633" t="s">
        <v>1003</v>
      </c>
      <c r="I127" s="633" t="s">
        <v>246</v>
      </c>
      <c r="J127" s="633" t="s">
        <v>1004</v>
      </c>
      <c r="K127" s="633" t="s">
        <v>1005</v>
      </c>
      <c r="L127" s="635">
        <v>367.24624999999958</v>
      </c>
      <c r="M127" s="635">
        <v>8</v>
      </c>
      <c r="N127" s="636">
        <v>2937.9699999999966</v>
      </c>
    </row>
    <row r="128" spans="1:14" ht="14.4" customHeight="1" x14ac:dyDescent="0.3">
      <c r="A128" s="631" t="s">
        <v>534</v>
      </c>
      <c r="B128" s="632" t="s">
        <v>536</v>
      </c>
      <c r="C128" s="633" t="s">
        <v>548</v>
      </c>
      <c r="D128" s="634" t="s">
        <v>549</v>
      </c>
      <c r="E128" s="633" t="s">
        <v>537</v>
      </c>
      <c r="F128" s="634" t="s">
        <v>538</v>
      </c>
      <c r="G128" s="633" t="s">
        <v>562</v>
      </c>
      <c r="H128" s="633" t="s">
        <v>1006</v>
      </c>
      <c r="I128" s="633" t="s">
        <v>246</v>
      </c>
      <c r="J128" s="633" t="s">
        <v>1007</v>
      </c>
      <c r="K128" s="633"/>
      <c r="L128" s="635">
        <v>225.13202118539894</v>
      </c>
      <c r="M128" s="635">
        <v>3</v>
      </c>
      <c r="N128" s="636">
        <v>675.39606355619685</v>
      </c>
    </row>
    <row r="129" spans="1:14" ht="14.4" customHeight="1" x14ac:dyDescent="0.3">
      <c r="A129" s="631" t="s">
        <v>534</v>
      </c>
      <c r="B129" s="632" t="s">
        <v>536</v>
      </c>
      <c r="C129" s="633" t="s">
        <v>548</v>
      </c>
      <c r="D129" s="634" t="s">
        <v>549</v>
      </c>
      <c r="E129" s="633" t="s">
        <v>537</v>
      </c>
      <c r="F129" s="634" t="s">
        <v>538</v>
      </c>
      <c r="G129" s="633" t="s">
        <v>562</v>
      </c>
      <c r="H129" s="633" t="s">
        <v>1008</v>
      </c>
      <c r="I129" s="633" t="s">
        <v>1009</v>
      </c>
      <c r="J129" s="633" t="s">
        <v>1010</v>
      </c>
      <c r="K129" s="633" t="s">
        <v>1011</v>
      </c>
      <c r="L129" s="635">
        <v>88.069893489842215</v>
      </c>
      <c r="M129" s="635">
        <v>44</v>
      </c>
      <c r="N129" s="636">
        <v>3875.0753135530576</v>
      </c>
    </row>
    <row r="130" spans="1:14" ht="14.4" customHeight="1" x14ac:dyDescent="0.3">
      <c r="A130" s="631" t="s">
        <v>534</v>
      </c>
      <c r="B130" s="632" t="s">
        <v>536</v>
      </c>
      <c r="C130" s="633" t="s">
        <v>548</v>
      </c>
      <c r="D130" s="634" t="s">
        <v>549</v>
      </c>
      <c r="E130" s="633" t="s">
        <v>537</v>
      </c>
      <c r="F130" s="634" t="s">
        <v>538</v>
      </c>
      <c r="G130" s="633" t="s">
        <v>562</v>
      </c>
      <c r="H130" s="633" t="s">
        <v>1012</v>
      </c>
      <c r="I130" s="633" t="s">
        <v>246</v>
      </c>
      <c r="J130" s="633" t="s">
        <v>1013</v>
      </c>
      <c r="K130" s="633"/>
      <c r="L130" s="635">
        <v>58.713401337331497</v>
      </c>
      <c r="M130" s="635">
        <v>6</v>
      </c>
      <c r="N130" s="636">
        <v>352.28040802398897</v>
      </c>
    </row>
    <row r="131" spans="1:14" ht="14.4" customHeight="1" x14ac:dyDescent="0.3">
      <c r="A131" s="631" t="s">
        <v>534</v>
      </c>
      <c r="B131" s="632" t="s">
        <v>536</v>
      </c>
      <c r="C131" s="633" t="s">
        <v>548</v>
      </c>
      <c r="D131" s="634" t="s">
        <v>549</v>
      </c>
      <c r="E131" s="633" t="s">
        <v>537</v>
      </c>
      <c r="F131" s="634" t="s">
        <v>538</v>
      </c>
      <c r="G131" s="633" t="s">
        <v>562</v>
      </c>
      <c r="H131" s="633" t="s">
        <v>1014</v>
      </c>
      <c r="I131" s="633" t="s">
        <v>246</v>
      </c>
      <c r="J131" s="633" t="s">
        <v>1015</v>
      </c>
      <c r="K131" s="633"/>
      <c r="L131" s="635">
        <v>264.47716099855791</v>
      </c>
      <c r="M131" s="635">
        <v>2</v>
      </c>
      <c r="N131" s="636">
        <v>528.95432199711581</v>
      </c>
    </row>
    <row r="132" spans="1:14" ht="14.4" customHeight="1" x14ac:dyDescent="0.3">
      <c r="A132" s="631" t="s">
        <v>534</v>
      </c>
      <c r="B132" s="632" t="s">
        <v>536</v>
      </c>
      <c r="C132" s="633" t="s">
        <v>548</v>
      </c>
      <c r="D132" s="634" t="s">
        <v>549</v>
      </c>
      <c r="E132" s="633" t="s">
        <v>537</v>
      </c>
      <c r="F132" s="634" t="s">
        <v>538</v>
      </c>
      <c r="G132" s="633" t="s">
        <v>562</v>
      </c>
      <c r="H132" s="633" t="s">
        <v>1016</v>
      </c>
      <c r="I132" s="633" t="s">
        <v>246</v>
      </c>
      <c r="J132" s="633" t="s">
        <v>1017</v>
      </c>
      <c r="K132" s="633" t="s">
        <v>1018</v>
      </c>
      <c r="L132" s="635">
        <v>33.659916275634266</v>
      </c>
      <c r="M132" s="635">
        <v>3</v>
      </c>
      <c r="N132" s="636">
        <v>100.97974882690281</v>
      </c>
    </row>
    <row r="133" spans="1:14" ht="14.4" customHeight="1" x14ac:dyDescent="0.3">
      <c r="A133" s="631" t="s">
        <v>534</v>
      </c>
      <c r="B133" s="632" t="s">
        <v>536</v>
      </c>
      <c r="C133" s="633" t="s">
        <v>548</v>
      </c>
      <c r="D133" s="634" t="s">
        <v>549</v>
      </c>
      <c r="E133" s="633" t="s">
        <v>537</v>
      </c>
      <c r="F133" s="634" t="s">
        <v>538</v>
      </c>
      <c r="G133" s="633" t="s">
        <v>562</v>
      </c>
      <c r="H133" s="633" t="s">
        <v>1019</v>
      </c>
      <c r="I133" s="633" t="s">
        <v>246</v>
      </c>
      <c r="J133" s="633" t="s">
        <v>1020</v>
      </c>
      <c r="K133" s="633"/>
      <c r="L133" s="635">
        <v>50.820000000000007</v>
      </c>
      <c r="M133" s="635">
        <v>4</v>
      </c>
      <c r="N133" s="636">
        <v>203.28000000000003</v>
      </c>
    </row>
    <row r="134" spans="1:14" ht="14.4" customHeight="1" x14ac:dyDescent="0.3">
      <c r="A134" s="631" t="s">
        <v>534</v>
      </c>
      <c r="B134" s="632" t="s">
        <v>536</v>
      </c>
      <c r="C134" s="633" t="s">
        <v>548</v>
      </c>
      <c r="D134" s="634" t="s">
        <v>549</v>
      </c>
      <c r="E134" s="633" t="s">
        <v>537</v>
      </c>
      <c r="F134" s="634" t="s">
        <v>538</v>
      </c>
      <c r="G134" s="633" t="s">
        <v>562</v>
      </c>
      <c r="H134" s="633" t="s">
        <v>1021</v>
      </c>
      <c r="I134" s="633" t="s">
        <v>246</v>
      </c>
      <c r="J134" s="633" t="s">
        <v>1022</v>
      </c>
      <c r="K134" s="633"/>
      <c r="L134" s="635">
        <v>98.609697938546176</v>
      </c>
      <c r="M134" s="635">
        <v>18</v>
      </c>
      <c r="N134" s="636">
        <v>1774.9745628938313</v>
      </c>
    </row>
    <row r="135" spans="1:14" ht="14.4" customHeight="1" x14ac:dyDescent="0.3">
      <c r="A135" s="631" t="s">
        <v>534</v>
      </c>
      <c r="B135" s="632" t="s">
        <v>536</v>
      </c>
      <c r="C135" s="633" t="s">
        <v>548</v>
      </c>
      <c r="D135" s="634" t="s">
        <v>549</v>
      </c>
      <c r="E135" s="633" t="s">
        <v>537</v>
      </c>
      <c r="F135" s="634" t="s">
        <v>538</v>
      </c>
      <c r="G135" s="633" t="s">
        <v>562</v>
      </c>
      <c r="H135" s="633" t="s">
        <v>1023</v>
      </c>
      <c r="I135" s="633" t="s">
        <v>1024</v>
      </c>
      <c r="J135" s="633" t="s">
        <v>1025</v>
      </c>
      <c r="K135" s="633" t="s">
        <v>1026</v>
      </c>
      <c r="L135" s="635">
        <v>39.719991819581537</v>
      </c>
      <c r="M135" s="635">
        <v>4</v>
      </c>
      <c r="N135" s="636">
        <v>158.87996727832615</v>
      </c>
    </row>
    <row r="136" spans="1:14" ht="14.4" customHeight="1" x14ac:dyDescent="0.3">
      <c r="A136" s="631" t="s">
        <v>534</v>
      </c>
      <c r="B136" s="632" t="s">
        <v>536</v>
      </c>
      <c r="C136" s="633" t="s">
        <v>548</v>
      </c>
      <c r="D136" s="634" t="s">
        <v>549</v>
      </c>
      <c r="E136" s="633" t="s">
        <v>537</v>
      </c>
      <c r="F136" s="634" t="s">
        <v>538</v>
      </c>
      <c r="G136" s="633" t="s">
        <v>562</v>
      </c>
      <c r="H136" s="633" t="s">
        <v>1027</v>
      </c>
      <c r="I136" s="633" t="s">
        <v>246</v>
      </c>
      <c r="J136" s="633" t="s">
        <v>1028</v>
      </c>
      <c r="K136" s="633" t="s">
        <v>1029</v>
      </c>
      <c r="L136" s="635">
        <v>13.900621784534586</v>
      </c>
      <c r="M136" s="635">
        <v>1400</v>
      </c>
      <c r="N136" s="636">
        <v>19460.87049834842</v>
      </c>
    </row>
    <row r="137" spans="1:14" ht="14.4" customHeight="1" x14ac:dyDescent="0.3">
      <c r="A137" s="631" t="s">
        <v>534</v>
      </c>
      <c r="B137" s="632" t="s">
        <v>536</v>
      </c>
      <c r="C137" s="633" t="s">
        <v>548</v>
      </c>
      <c r="D137" s="634" t="s">
        <v>549</v>
      </c>
      <c r="E137" s="633" t="s">
        <v>537</v>
      </c>
      <c r="F137" s="634" t="s">
        <v>538</v>
      </c>
      <c r="G137" s="633" t="s">
        <v>562</v>
      </c>
      <c r="H137" s="633" t="s">
        <v>1030</v>
      </c>
      <c r="I137" s="633" t="s">
        <v>246</v>
      </c>
      <c r="J137" s="633" t="s">
        <v>1031</v>
      </c>
      <c r="K137" s="633"/>
      <c r="L137" s="635">
        <v>143.28999999999996</v>
      </c>
      <c r="M137" s="635">
        <v>1</v>
      </c>
      <c r="N137" s="636">
        <v>143.28999999999996</v>
      </c>
    </row>
    <row r="138" spans="1:14" ht="14.4" customHeight="1" x14ac:dyDescent="0.3">
      <c r="A138" s="631" t="s">
        <v>534</v>
      </c>
      <c r="B138" s="632" t="s">
        <v>536</v>
      </c>
      <c r="C138" s="633" t="s">
        <v>548</v>
      </c>
      <c r="D138" s="634" t="s">
        <v>549</v>
      </c>
      <c r="E138" s="633" t="s">
        <v>537</v>
      </c>
      <c r="F138" s="634" t="s">
        <v>538</v>
      </c>
      <c r="G138" s="633" t="s">
        <v>562</v>
      </c>
      <c r="H138" s="633" t="s">
        <v>1032</v>
      </c>
      <c r="I138" s="633" t="s">
        <v>1032</v>
      </c>
      <c r="J138" s="633" t="s">
        <v>1033</v>
      </c>
      <c r="K138" s="633" t="s">
        <v>1034</v>
      </c>
      <c r="L138" s="635">
        <v>285.01679999999999</v>
      </c>
      <c r="M138" s="635">
        <v>1</v>
      </c>
      <c r="N138" s="636">
        <v>285.01679999999999</v>
      </c>
    </row>
    <row r="139" spans="1:14" ht="14.4" customHeight="1" x14ac:dyDescent="0.3">
      <c r="A139" s="631" t="s">
        <v>534</v>
      </c>
      <c r="B139" s="632" t="s">
        <v>536</v>
      </c>
      <c r="C139" s="633" t="s">
        <v>548</v>
      </c>
      <c r="D139" s="634" t="s">
        <v>549</v>
      </c>
      <c r="E139" s="633" t="s">
        <v>537</v>
      </c>
      <c r="F139" s="634" t="s">
        <v>538</v>
      </c>
      <c r="G139" s="633" t="s">
        <v>562</v>
      </c>
      <c r="H139" s="633" t="s">
        <v>1035</v>
      </c>
      <c r="I139" s="633" t="s">
        <v>246</v>
      </c>
      <c r="J139" s="633" t="s">
        <v>1036</v>
      </c>
      <c r="K139" s="633"/>
      <c r="L139" s="635">
        <v>139.15</v>
      </c>
      <c r="M139" s="635">
        <v>6</v>
      </c>
      <c r="N139" s="636">
        <v>834.90000000000009</v>
      </c>
    </row>
    <row r="140" spans="1:14" ht="14.4" customHeight="1" x14ac:dyDescent="0.3">
      <c r="A140" s="631" t="s">
        <v>534</v>
      </c>
      <c r="B140" s="632" t="s">
        <v>536</v>
      </c>
      <c r="C140" s="633" t="s">
        <v>548</v>
      </c>
      <c r="D140" s="634" t="s">
        <v>549</v>
      </c>
      <c r="E140" s="633" t="s">
        <v>537</v>
      </c>
      <c r="F140" s="634" t="s">
        <v>538</v>
      </c>
      <c r="G140" s="633" t="s">
        <v>562</v>
      </c>
      <c r="H140" s="633" t="s">
        <v>1037</v>
      </c>
      <c r="I140" s="633" t="s">
        <v>246</v>
      </c>
      <c r="J140" s="633" t="s">
        <v>1038</v>
      </c>
      <c r="K140" s="633"/>
      <c r="L140" s="635">
        <v>160.328831341957</v>
      </c>
      <c r="M140" s="635">
        <v>2</v>
      </c>
      <c r="N140" s="636">
        <v>320.657662683914</v>
      </c>
    </row>
    <row r="141" spans="1:14" ht="14.4" customHeight="1" x14ac:dyDescent="0.3">
      <c r="A141" s="631" t="s">
        <v>534</v>
      </c>
      <c r="B141" s="632" t="s">
        <v>536</v>
      </c>
      <c r="C141" s="633" t="s">
        <v>548</v>
      </c>
      <c r="D141" s="634" t="s">
        <v>549</v>
      </c>
      <c r="E141" s="633" t="s">
        <v>537</v>
      </c>
      <c r="F141" s="634" t="s">
        <v>538</v>
      </c>
      <c r="G141" s="633" t="s">
        <v>1039</v>
      </c>
      <c r="H141" s="633" t="s">
        <v>1040</v>
      </c>
      <c r="I141" s="633" t="s">
        <v>1040</v>
      </c>
      <c r="J141" s="633" t="s">
        <v>1041</v>
      </c>
      <c r="K141" s="633" t="s">
        <v>1042</v>
      </c>
      <c r="L141" s="635">
        <v>128.01</v>
      </c>
      <c r="M141" s="635">
        <v>1</v>
      </c>
      <c r="N141" s="636">
        <v>128.01</v>
      </c>
    </row>
    <row r="142" spans="1:14" ht="14.4" customHeight="1" x14ac:dyDescent="0.3">
      <c r="A142" s="631" t="s">
        <v>534</v>
      </c>
      <c r="B142" s="632" t="s">
        <v>536</v>
      </c>
      <c r="C142" s="633" t="s">
        <v>548</v>
      </c>
      <c r="D142" s="634" t="s">
        <v>549</v>
      </c>
      <c r="E142" s="633" t="s">
        <v>537</v>
      </c>
      <c r="F142" s="634" t="s">
        <v>538</v>
      </c>
      <c r="G142" s="633" t="s">
        <v>1039</v>
      </c>
      <c r="H142" s="633" t="s">
        <v>1043</v>
      </c>
      <c r="I142" s="633" t="s">
        <v>1043</v>
      </c>
      <c r="J142" s="633" t="s">
        <v>1044</v>
      </c>
      <c r="K142" s="633" t="s">
        <v>1045</v>
      </c>
      <c r="L142" s="635">
        <v>24.39</v>
      </c>
      <c r="M142" s="635">
        <v>4</v>
      </c>
      <c r="N142" s="636">
        <v>97.56</v>
      </c>
    </row>
    <row r="143" spans="1:14" ht="14.4" customHeight="1" x14ac:dyDescent="0.3">
      <c r="A143" s="631" t="s">
        <v>534</v>
      </c>
      <c r="B143" s="632" t="s">
        <v>536</v>
      </c>
      <c r="C143" s="633" t="s">
        <v>548</v>
      </c>
      <c r="D143" s="634" t="s">
        <v>549</v>
      </c>
      <c r="E143" s="633" t="s">
        <v>537</v>
      </c>
      <c r="F143" s="634" t="s">
        <v>538</v>
      </c>
      <c r="G143" s="633" t="s">
        <v>1039</v>
      </c>
      <c r="H143" s="633" t="s">
        <v>1046</v>
      </c>
      <c r="I143" s="633" t="s">
        <v>1047</v>
      </c>
      <c r="J143" s="633" t="s">
        <v>1048</v>
      </c>
      <c r="K143" s="633" t="s">
        <v>1049</v>
      </c>
      <c r="L143" s="635">
        <v>36.329984151344341</v>
      </c>
      <c r="M143" s="635">
        <v>12</v>
      </c>
      <c r="N143" s="636">
        <v>435.95980981613206</v>
      </c>
    </row>
    <row r="144" spans="1:14" ht="14.4" customHeight="1" x14ac:dyDescent="0.3">
      <c r="A144" s="631" t="s">
        <v>534</v>
      </c>
      <c r="B144" s="632" t="s">
        <v>536</v>
      </c>
      <c r="C144" s="633" t="s">
        <v>548</v>
      </c>
      <c r="D144" s="634" t="s">
        <v>549</v>
      </c>
      <c r="E144" s="633" t="s">
        <v>537</v>
      </c>
      <c r="F144" s="634" t="s">
        <v>538</v>
      </c>
      <c r="G144" s="633" t="s">
        <v>1039</v>
      </c>
      <c r="H144" s="633" t="s">
        <v>1050</v>
      </c>
      <c r="I144" s="633" t="s">
        <v>1051</v>
      </c>
      <c r="J144" s="633" t="s">
        <v>1052</v>
      </c>
      <c r="K144" s="633" t="s">
        <v>1053</v>
      </c>
      <c r="L144" s="635">
        <v>47.291407710945364</v>
      </c>
      <c r="M144" s="635">
        <v>7</v>
      </c>
      <c r="N144" s="636">
        <v>331.03985397661756</v>
      </c>
    </row>
    <row r="145" spans="1:14" ht="14.4" customHeight="1" x14ac:dyDescent="0.3">
      <c r="A145" s="631" t="s">
        <v>534</v>
      </c>
      <c r="B145" s="632" t="s">
        <v>536</v>
      </c>
      <c r="C145" s="633" t="s">
        <v>548</v>
      </c>
      <c r="D145" s="634" t="s">
        <v>549</v>
      </c>
      <c r="E145" s="633" t="s">
        <v>537</v>
      </c>
      <c r="F145" s="634" t="s">
        <v>538</v>
      </c>
      <c r="G145" s="633" t="s">
        <v>1039</v>
      </c>
      <c r="H145" s="633" t="s">
        <v>1054</v>
      </c>
      <c r="I145" s="633" t="s">
        <v>1055</v>
      </c>
      <c r="J145" s="633" t="s">
        <v>1052</v>
      </c>
      <c r="K145" s="633" t="s">
        <v>1056</v>
      </c>
      <c r="L145" s="635">
        <v>94.57513607505345</v>
      </c>
      <c r="M145" s="635">
        <v>4</v>
      </c>
      <c r="N145" s="636">
        <v>378.3005443002138</v>
      </c>
    </row>
    <row r="146" spans="1:14" ht="14.4" customHeight="1" x14ac:dyDescent="0.3">
      <c r="A146" s="631" t="s">
        <v>534</v>
      </c>
      <c r="B146" s="632" t="s">
        <v>536</v>
      </c>
      <c r="C146" s="633" t="s">
        <v>548</v>
      </c>
      <c r="D146" s="634" t="s">
        <v>549</v>
      </c>
      <c r="E146" s="633" t="s">
        <v>537</v>
      </c>
      <c r="F146" s="634" t="s">
        <v>538</v>
      </c>
      <c r="G146" s="633" t="s">
        <v>1039</v>
      </c>
      <c r="H146" s="633" t="s">
        <v>1057</v>
      </c>
      <c r="I146" s="633" t="s">
        <v>1058</v>
      </c>
      <c r="J146" s="633" t="s">
        <v>1059</v>
      </c>
      <c r="K146" s="633" t="s">
        <v>1060</v>
      </c>
      <c r="L146" s="635">
        <v>101.06959600974179</v>
      </c>
      <c r="M146" s="635">
        <v>2</v>
      </c>
      <c r="N146" s="636">
        <v>202.13919201948357</v>
      </c>
    </row>
    <row r="147" spans="1:14" ht="14.4" customHeight="1" x14ac:dyDescent="0.3">
      <c r="A147" s="631" t="s">
        <v>534</v>
      </c>
      <c r="B147" s="632" t="s">
        <v>536</v>
      </c>
      <c r="C147" s="633" t="s">
        <v>548</v>
      </c>
      <c r="D147" s="634" t="s">
        <v>549</v>
      </c>
      <c r="E147" s="633" t="s">
        <v>537</v>
      </c>
      <c r="F147" s="634" t="s">
        <v>538</v>
      </c>
      <c r="G147" s="633" t="s">
        <v>1039</v>
      </c>
      <c r="H147" s="633" t="s">
        <v>1061</v>
      </c>
      <c r="I147" s="633" t="s">
        <v>1062</v>
      </c>
      <c r="J147" s="633" t="s">
        <v>1063</v>
      </c>
      <c r="K147" s="633" t="s">
        <v>1064</v>
      </c>
      <c r="L147" s="635">
        <v>103.63</v>
      </c>
      <c r="M147" s="635">
        <v>2</v>
      </c>
      <c r="N147" s="636">
        <v>207.26</v>
      </c>
    </row>
    <row r="148" spans="1:14" ht="14.4" customHeight="1" x14ac:dyDescent="0.3">
      <c r="A148" s="631" t="s">
        <v>534</v>
      </c>
      <c r="B148" s="632" t="s">
        <v>536</v>
      </c>
      <c r="C148" s="633" t="s">
        <v>548</v>
      </c>
      <c r="D148" s="634" t="s">
        <v>549</v>
      </c>
      <c r="E148" s="633" t="s">
        <v>537</v>
      </c>
      <c r="F148" s="634" t="s">
        <v>538</v>
      </c>
      <c r="G148" s="633" t="s">
        <v>1039</v>
      </c>
      <c r="H148" s="633" t="s">
        <v>1065</v>
      </c>
      <c r="I148" s="633" t="s">
        <v>1066</v>
      </c>
      <c r="J148" s="633" t="s">
        <v>1063</v>
      </c>
      <c r="K148" s="633" t="s">
        <v>1067</v>
      </c>
      <c r="L148" s="635">
        <v>177.01999999999998</v>
      </c>
      <c r="M148" s="635">
        <v>2</v>
      </c>
      <c r="N148" s="636">
        <v>354.03999999999996</v>
      </c>
    </row>
    <row r="149" spans="1:14" ht="14.4" customHeight="1" x14ac:dyDescent="0.3">
      <c r="A149" s="631" t="s">
        <v>534</v>
      </c>
      <c r="B149" s="632" t="s">
        <v>536</v>
      </c>
      <c r="C149" s="633" t="s">
        <v>548</v>
      </c>
      <c r="D149" s="634" t="s">
        <v>549</v>
      </c>
      <c r="E149" s="633" t="s">
        <v>537</v>
      </c>
      <c r="F149" s="634" t="s">
        <v>538</v>
      </c>
      <c r="G149" s="633" t="s">
        <v>1039</v>
      </c>
      <c r="H149" s="633" t="s">
        <v>1068</v>
      </c>
      <c r="I149" s="633" t="s">
        <v>1069</v>
      </c>
      <c r="J149" s="633" t="s">
        <v>1070</v>
      </c>
      <c r="K149" s="633" t="s">
        <v>1071</v>
      </c>
      <c r="L149" s="635">
        <v>144.53</v>
      </c>
      <c r="M149" s="635">
        <v>9</v>
      </c>
      <c r="N149" s="636">
        <v>1300.77</v>
      </c>
    </row>
    <row r="150" spans="1:14" ht="14.4" customHeight="1" x14ac:dyDescent="0.3">
      <c r="A150" s="631" t="s">
        <v>534</v>
      </c>
      <c r="B150" s="632" t="s">
        <v>536</v>
      </c>
      <c r="C150" s="633" t="s">
        <v>548</v>
      </c>
      <c r="D150" s="634" t="s">
        <v>549</v>
      </c>
      <c r="E150" s="633" t="s">
        <v>537</v>
      </c>
      <c r="F150" s="634" t="s">
        <v>538</v>
      </c>
      <c r="G150" s="633" t="s">
        <v>1039</v>
      </c>
      <c r="H150" s="633" t="s">
        <v>1072</v>
      </c>
      <c r="I150" s="633" t="s">
        <v>1073</v>
      </c>
      <c r="J150" s="633" t="s">
        <v>1074</v>
      </c>
      <c r="K150" s="633" t="s">
        <v>1075</v>
      </c>
      <c r="L150" s="635">
        <v>1242.3196203943664</v>
      </c>
      <c r="M150" s="635">
        <v>1</v>
      </c>
      <c r="N150" s="636">
        <v>1242.3196203943664</v>
      </c>
    </row>
    <row r="151" spans="1:14" ht="14.4" customHeight="1" x14ac:dyDescent="0.3">
      <c r="A151" s="631" t="s">
        <v>534</v>
      </c>
      <c r="B151" s="632" t="s">
        <v>536</v>
      </c>
      <c r="C151" s="633" t="s">
        <v>548</v>
      </c>
      <c r="D151" s="634" t="s">
        <v>549</v>
      </c>
      <c r="E151" s="633" t="s">
        <v>537</v>
      </c>
      <c r="F151" s="634" t="s">
        <v>538</v>
      </c>
      <c r="G151" s="633" t="s">
        <v>1039</v>
      </c>
      <c r="H151" s="633" t="s">
        <v>1076</v>
      </c>
      <c r="I151" s="633" t="s">
        <v>1077</v>
      </c>
      <c r="J151" s="633" t="s">
        <v>1078</v>
      </c>
      <c r="K151" s="633" t="s">
        <v>1079</v>
      </c>
      <c r="L151" s="635">
        <v>801.73</v>
      </c>
      <c r="M151" s="635">
        <v>1</v>
      </c>
      <c r="N151" s="636">
        <v>801.73</v>
      </c>
    </row>
    <row r="152" spans="1:14" ht="14.4" customHeight="1" x14ac:dyDescent="0.3">
      <c r="A152" s="631" t="s">
        <v>534</v>
      </c>
      <c r="B152" s="632" t="s">
        <v>536</v>
      </c>
      <c r="C152" s="633" t="s">
        <v>548</v>
      </c>
      <c r="D152" s="634" t="s">
        <v>549</v>
      </c>
      <c r="E152" s="633" t="s">
        <v>537</v>
      </c>
      <c r="F152" s="634" t="s">
        <v>538</v>
      </c>
      <c r="G152" s="633" t="s">
        <v>1039</v>
      </c>
      <c r="H152" s="633" t="s">
        <v>1080</v>
      </c>
      <c r="I152" s="633" t="s">
        <v>1081</v>
      </c>
      <c r="J152" s="633" t="s">
        <v>1082</v>
      </c>
      <c r="K152" s="633" t="s">
        <v>1083</v>
      </c>
      <c r="L152" s="635">
        <v>492.19935006884197</v>
      </c>
      <c r="M152" s="635">
        <v>6</v>
      </c>
      <c r="N152" s="636">
        <v>2953.1961004130517</v>
      </c>
    </row>
    <row r="153" spans="1:14" ht="14.4" customHeight="1" x14ac:dyDescent="0.3">
      <c r="A153" s="631" t="s">
        <v>534</v>
      </c>
      <c r="B153" s="632" t="s">
        <v>536</v>
      </c>
      <c r="C153" s="633" t="s">
        <v>548</v>
      </c>
      <c r="D153" s="634" t="s">
        <v>549</v>
      </c>
      <c r="E153" s="633" t="s">
        <v>537</v>
      </c>
      <c r="F153" s="634" t="s">
        <v>538</v>
      </c>
      <c r="G153" s="633" t="s">
        <v>1039</v>
      </c>
      <c r="H153" s="633" t="s">
        <v>1084</v>
      </c>
      <c r="I153" s="633" t="s">
        <v>1085</v>
      </c>
      <c r="J153" s="633" t="s">
        <v>1082</v>
      </c>
      <c r="K153" s="633" t="s">
        <v>1086</v>
      </c>
      <c r="L153" s="635">
        <v>942.9993281261776</v>
      </c>
      <c r="M153" s="635">
        <v>3</v>
      </c>
      <c r="N153" s="636">
        <v>2828.9979843785327</v>
      </c>
    </row>
    <row r="154" spans="1:14" ht="14.4" customHeight="1" x14ac:dyDescent="0.3">
      <c r="A154" s="631" t="s">
        <v>534</v>
      </c>
      <c r="B154" s="632" t="s">
        <v>536</v>
      </c>
      <c r="C154" s="633" t="s">
        <v>548</v>
      </c>
      <c r="D154" s="634" t="s">
        <v>549</v>
      </c>
      <c r="E154" s="633" t="s">
        <v>537</v>
      </c>
      <c r="F154" s="634" t="s">
        <v>538</v>
      </c>
      <c r="G154" s="633" t="s">
        <v>1039</v>
      </c>
      <c r="H154" s="633" t="s">
        <v>1087</v>
      </c>
      <c r="I154" s="633" t="s">
        <v>1088</v>
      </c>
      <c r="J154" s="633" t="s">
        <v>1089</v>
      </c>
      <c r="K154" s="633" t="s">
        <v>1090</v>
      </c>
      <c r="L154" s="635">
        <v>45.623636363636372</v>
      </c>
      <c r="M154" s="635">
        <v>11</v>
      </c>
      <c r="N154" s="636">
        <v>501.86000000000007</v>
      </c>
    </row>
    <row r="155" spans="1:14" ht="14.4" customHeight="1" x14ac:dyDescent="0.3">
      <c r="A155" s="631" t="s">
        <v>534</v>
      </c>
      <c r="B155" s="632" t="s">
        <v>536</v>
      </c>
      <c r="C155" s="633" t="s">
        <v>548</v>
      </c>
      <c r="D155" s="634" t="s">
        <v>549</v>
      </c>
      <c r="E155" s="633" t="s">
        <v>537</v>
      </c>
      <c r="F155" s="634" t="s">
        <v>538</v>
      </c>
      <c r="G155" s="633" t="s">
        <v>1039</v>
      </c>
      <c r="H155" s="633" t="s">
        <v>1091</v>
      </c>
      <c r="I155" s="633" t="s">
        <v>1092</v>
      </c>
      <c r="J155" s="633" t="s">
        <v>1041</v>
      </c>
      <c r="K155" s="633" t="s">
        <v>1093</v>
      </c>
      <c r="L155" s="635">
        <v>36.709999999999994</v>
      </c>
      <c r="M155" s="635">
        <v>2</v>
      </c>
      <c r="N155" s="636">
        <v>73.419999999999987</v>
      </c>
    </row>
    <row r="156" spans="1:14" ht="14.4" customHeight="1" x14ac:dyDescent="0.3">
      <c r="A156" s="631" t="s">
        <v>534</v>
      </c>
      <c r="B156" s="632" t="s">
        <v>536</v>
      </c>
      <c r="C156" s="633" t="s">
        <v>548</v>
      </c>
      <c r="D156" s="634" t="s">
        <v>549</v>
      </c>
      <c r="E156" s="633" t="s">
        <v>537</v>
      </c>
      <c r="F156" s="634" t="s">
        <v>538</v>
      </c>
      <c r="G156" s="633" t="s">
        <v>1039</v>
      </c>
      <c r="H156" s="633" t="s">
        <v>1094</v>
      </c>
      <c r="I156" s="633" t="s">
        <v>1095</v>
      </c>
      <c r="J156" s="633" t="s">
        <v>1096</v>
      </c>
      <c r="K156" s="633" t="s">
        <v>1097</v>
      </c>
      <c r="L156" s="635">
        <v>73.456349372967139</v>
      </c>
      <c r="M156" s="635">
        <v>17</v>
      </c>
      <c r="N156" s="636">
        <v>1248.7579393404415</v>
      </c>
    </row>
    <row r="157" spans="1:14" ht="14.4" customHeight="1" x14ac:dyDescent="0.3">
      <c r="A157" s="631" t="s">
        <v>534</v>
      </c>
      <c r="B157" s="632" t="s">
        <v>536</v>
      </c>
      <c r="C157" s="633" t="s">
        <v>548</v>
      </c>
      <c r="D157" s="634" t="s">
        <v>549</v>
      </c>
      <c r="E157" s="633" t="s">
        <v>537</v>
      </c>
      <c r="F157" s="634" t="s">
        <v>538</v>
      </c>
      <c r="G157" s="633" t="s">
        <v>1039</v>
      </c>
      <c r="H157" s="633" t="s">
        <v>1098</v>
      </c>
      <c r="I157" s="633" t="s">
        <v>1099</v>
      </c>
      <c r="J157" s="633" t="s">
        <v>1100</v>
      </c>
      <c r="K157" s="633" t="s">
        <v>1101</v>
      </c>
      <c r="L157" s="635">
        <v>79.83</v>
      </c>
      <c r="M157" s="635">
        <v>2</v>
      </c>
      <c r="N157" s="636">
        <v>159.66</v>
      </c>
    </row>
    <row r="158" spans="1:14" ht="14.4" customHeight="1" x14ac:dyDescent="0.3">
      <c r="A158" s="631" t="s">
        <v>534</v>
      </c>
      <c r="B158" s="632" t="s">
        <v>536</v>
      </c>
      <c r="C158" s="633" t="s">
        <v>548</v>
      </c>
      <c r="D158" s="634" t="s">
        <v>549</v>
      </c>
      <c r="E158" s="633" t="s">
        <v>537</v>
      </c>
      <c r="F158" s="634" t="s">
        <v>538</v>
      </c>
      <c r="G158" s="633" t="s">
        <v>1039</v>
      </c>
      <c r="H158" s="633" t="s">
        <v>1102</v>
      </c>
      <c r="I158" s="633" t="s">
        <v>1103</v>
      </c>
      <c r="J158" s="633" t="s">
        <v>1100</v>
      </c>
      <c r="K158" s="633" t="s">
        <v>1104</v>
      </c>
      <c r="L158" s="635">
        <v>279.42</v>
      </c>
      <c r="M158" s="635">
        <v>1</v>
      </c>
      <c r="N158" s="636">
        <v>279.42</v>
      </c>
    </row>
    <row r="159" spans="1:14" ht="14.4" customHeight="1" x14ac:dyDescent="0.3">
      <c r="A159" s="631" t="s">
        <v>534</v>
      </c>
      <c r="B159" s="632" t="s">
        <v>536</v>
      </c>
      <c r="C159" s="633" t="s">
        <v>548</v>
      </c>
      <c r="D159" s="634" t="s">
        <v>549</v>
      </c>
      <c r="E159" s="633" t="s">
        <v>537</v>
      </c>
      <c r="F159" s="634" t="s">
        <v>538</v>
      </c>
      <c r="G159" s="633" t="s">
        <v>1039</v>
      </c>
      <c r="H159" s="633" t="s">
        <v>1105</v>
      </c>
      <c r="I159" s="633" t="s">
        <v>1106</v>
      </c>
      <c r="J159" s="633" t="s">
        <v>1107</v>
      </c>
      <c r="K159" s="633" t="s">
        <v>1108</v>
      </c>
      <c r="L159" s="635">
        <v>76.64</v>
      </c>
      <c r="M159" s="635">
        <v>1</v>
      </c>
      <c r="N159" s="636">
        <v>76.64</v>
      </c>
    </row>
    <row r="160" spans="1:14" ht="14.4" customHeight="1" x14ac:dyDescent="0.3">
      <c r="A160" s="631" t="s">
        <v>534</v>
      </c>
      <c r="B160" s="632" t="s">
        <v>536</v>
      </c>
      <c r="C160" s="633" t="s">
        <v>548</v>
      </c>
      <c r="D160" s="634" t="s">
        <v>549</v>
      </c>
      <c r="E160" s="633" t="s">
        <v>537</v>
      </c>
      <c r="F160" s="634" t="s">
        <v>538</v>
      </c>
      <c r="G160" s="633" t="s">
        <v>1039</v>
      </c>
      <c r="H160" s="633" t="s">
        <v>1109</v>
      </c>
      <c r="I160" s="633" t="s">
        <v>1110</v>
      </c>
      <c r="J160" s="633" t="s">
        <v>1111</v>
      </c>
      <c r="K160" s="633" t="s">
        <v>1112</v>
      </c>
      <c r="L160" s="635">
        <v>50.630126059062533</v>
      </c>
      <c r="M160" s="635">
        <v>5</v>
      </c>
      <c r="N160" s="636">
        <v>253.15063029531265</v>
      </c>
    </row>
    <row r="161" spans="1:14" ht="14.4" customHeight="1" x14ac:dyDescent="0.3">
      <c r="A161" s="631" t="s">
        <v>534</v>
      </c>
      <c r="B161" s="632" t="s">
        <v>536</v>
      </c>
      <c r="C161" s="633" t="s">
        <v>548</v>
      </c>
      <c r="D161" s="634" t="s">
        <v>549</v>
      </c>
      <c r="E161" s="633" t="s">
        <v>537</v>
      </c>
      <c r="F161" s="634" t="s">
        <v>538</v>
      </c>
      <c r="G161" s="633" t="s">
        <v>1039</v>
      </c>
      <c r="H161" s="633" t="s">
        <v>1113</v>
      </c>
      <c r="I161" s="633" t="s">
        <v>1114</v>
      </c>
      <c r="J161" s="633" t="s">
        <v>1115</v>
      </c>
      <c r="K161" s="633" t="s">
        <v>1116</v>
      </c>
      <c r="L161" s="635">
        <v>85.48</v>
      </c>
      <c r="M161" s="635">
        <v>4</v>
      </c>
      <c r="N161" s="636">
        <v>341.92</v>
      </c>
    </row>
    <row r="162" spans="1:14" ht="14.4" customHeight="1" x14ac:dyDescent="0.3">
      <c r="A162" s="631" t="s">
        <v>534</v>
      </c>
      <c r="B162" s="632" t="s">
        <v>536</v>
      </c>
      <c r="C162" s="633" t="s">
        <v>548</v>
      </c>
      <c r="D162" s="634" t="s">
        <v>549</v>
      </c>
      <c r="E162" s="633" t="s">
        <v>537</v>
      </c>
      <c r="F162" s="634" t="s">
        <v>538</v>
      </c>
      <c r="G162" s="633" t="s">
        <v>1039</v>
      </c>
      <c r="H162" s="633" t="s">
        <v>1117</v>
      </c>
      <c r="I162" s="633" t="s">
        <v>1118</v>
      </c>
      <c r="J162" s="633" t="s">
        <v>1119</v>
      </c>
      <c r="K162" s="633" t="s">
        <v>1120</v>
      </c>
      <c r="L162" s="635">
        <v>1444.8438659673625</v>
      </c>
      <c r="M162" s="635">
        <v>10</v>
      </c>
      <c r="N162" s="636">
        <v>14448.438659673624</v>
      </c>
    </row>
    <row r="163" spans="1:14" ht="14.4" customHeight="1" x14ac:dyDescent="0.3">
      <c r="A163" s="631" t="s">
        <v>534</v>
      </c>
      <c r="B163" s="632" t="s">
        <v>536</v>
      </c>
      <c r="C163" s="633" t="s">
        <v>548</v>
      </c>
      <c r="D163" s="634" t="s">
        <v>549</v>
      </c>
      <c r="E163" s="633" t="s">
        <v>537</v>
      </c>
      <c r="F163" s="634" t="s">
        <v>538</v>
      </c>
      <c r="G163" s="633" t="s">
        <v>1039</v>
      </c>
      <c r="H163" s="633" t="s">
        <v>1121</v>
      </c>
      <c r="I163" s="633" t="s">
        <v>1122</v>
      </c>
      <c r="J163" s="633" t="s">
        <v>1119</v>
      </c>
      <c r="K163" s="633" t="s">
        <v>1123</v>
      </c>
      <c r="L163" s="635">
        <v>1963.9999999999998</v>
      </c>
      <c r="M163" s="635">
        <v>4</v>
      </c>
      <c r="N163" s="636">
        <v>7855.9999999999991</v>
      </c>
    </row>
    <row r="164" spans="1:14" ht="14.4" customHeight="1" x14ac:dyDescent="0.3">
      <c r="A164" s="631" t="s">
        <v>534</v>
      </c>
      <c r="B164" s="632" t="s">
        <v>536</v>
      </c>
      <c r="C164" s="633" t="s">
        <v>548</v>
      </c>
      <c r="D164" s="634" t="s">
        <v>549</v>
      </c>
      <c r="E164" s="633" t="s">
        <v>537</v>
      </c>
      <c r="F164" s="634" t="s">
        <v>538</v>
      </c>
      <c r="G164" s="633" t="s">
        <v>1039</v>
      </c>
      <c r="H164" s="633" t="s">
        <v>1124</v>
      </c>
      <c r="I164" s="633" t="s">
        <v>1125</v>
      </c>
      <c r="J164" s="633" t="s">
        <v>1119</v>
      </c>
      <c r="K164" s="633" t="s">
        <v>1126</v>
      </c>
      <c r="L164" s="635">
        <v>2455.4483823307951</v>
      </c>
      <c r="M164" s="635">
        <v>2</v>
      </c>
      <c r="N164" s="636">
        <v>4910.8967646615902</v>
      </c>
    </row>
    <row r="165" spans="1:14" ht="14.4" customHeight="1" x14ac:dyDescent="0.3">
      <c r="A165" s="631" t="s">
        <v>534</v>
      </c>
      <c r="B165" s="632" t="s">
        <v>536</v>
      </c>
      <c r="C165" s="633" t="s">
        <v>548</v>
      </c>
      <c r="D165" s="634" t="s">
        <v>549</v>
      </c>
      <c r="E165" s="633" t="s">
        <v>537</v>
      </c>
      <c r="F165" s="634" t="s">
        <v>538</v>
      </c>
      <c r="G165" s="633" t="s">
        <v>1039</v>
      </c>
      <c r="H165" s="633" t="s">
        <v>1127</v>
      </c>
      <c r="I165" s="633" t="s">
        <v>1128</v>
      </c>
      <c r="J165" s="633" t="s">
        <v>1129</v>
      </c>
      <c r="K165" s="633" t="s">
        <v>1130</v>
      </c>
      <c r="L165" s="635">
        <v>47.300203385785665</v>
      </c>
      <c r="M165" s="635">
        <v>6</v>
      </c>
      <c r="N165" s="636">
        <v>283.80122031471399</v>
      </c>
    </row>
    <row r="166" spans="1:14" ht="14.4" customHeight="1" x14ac:dyDescent="0.3">
      <c r="A166" s="631" t="s">
        <v>534</v>
      </c>
      <c r="B166" s="632" t="s">
        <v>536</v>
      </c>
      <c r="C166" s="633" t="s">
        <v>548</v>
      </c>
      <c r="D166" s="634" t="s">
        <v>549</v>
      </c>
      <c r="E166" s="633" t="s">
        <v>537</v>
      </c>
      <c r="F166" s="634" t="s">
        <v>538</v>
      </c>
      <c r="G166" s="633" t="s">
        <v>1039</v>
      </c>
      <c r="H166" s="633" t="s">
        <v>1131</v>
      </c>
      <c r="I166" s="633" t="s">
        <v>1132</v>
      </c>
      <c r="J166" s="633" t="s">
        <v>1133</v>
      </c>
      <c r="K166" s="633" t="s">
        <v>1134</v>
      </c>
      <c r="L166" s="635">
        <v>98.07</v>
      </c>
      <c r="M166" s="635">
        <v>6</v>
      </c>
      <c r="N166" s="636">
        <v>588.41999999999996</v>
      </c>
    </row>
    <row r="167" spans="1:14" ht="14.4" customHeight="1" x14ac:dyDescent="0.3">
      <c r="A167" s="631" t="s">
        <v>534</v>
      </c>
      <c r="B167" s="632" t="s">
        <v>536</v>
      </c>
      <c r="C167" s="633" t="s">
        <v>548</v>
      </c>
      <c r="D167" s="634" t="s">
        <v>549</v>
      </c>
      <c r="E167" s="633" t="s">
        <v>537</v>
      </c>
      <c r="F167" s="634" t="s">
        <v>538</v>
      </c>
      <c r="G167" s="633" t="s">
        <v>1039</v>
      </c>
      <c r="H167" s="633" t="s">
        <v>1135</v>
      </c>
      <c r="I167" s="633" t="s">
        <v>1136</v>
      </c>
      <c r="J167" s="633" t="s">
        <v>1137</v>
      </c>
      <c r="K167" s="633" t="s">
        <v>1138</v>
      </c>
      <c r="L167" s="635">
        <v>331.01333333333332</v>
      </c>
      <c r="M167" s="635">
        <v>3</v>
      </c>
      <c r="N167" s="636">
        <v>993.04</v>
      </c>
    </row>
    <row r="168" spans="1:14" ht="14.4" customHeight="1" x14ac:dyDescent="0.3">
      <c r="A168" s="631" t="s">
        <v>534</v>
      </c>
      <c r="B168" s="632" t="s">
        <v>536</v>
      </c>
      <c r="C168" s="633" t="s">
        <v>548</v>
      </c>
      <c r="D168" s="634" t="s">
        <v>549</v>
      </c>
      <c r="E168" s="633" t="s">
        <v>537</v>
      </c>
      <c r="F168" s="634" t="s">
        <v>538</v>
      </c>
      <c r="G168" s="633" t="s">
        <v>1039</v>
      </c>
      <c r="H168" s="633" t="s">
        <v>1139</v>
      </c>
      <c r="I168" s="633" t="s">
        <v>1140</v>
      </c>
      <c r="J168" s="633" t="s">
        <v>1141</v>
      </c>
      <c r="K168" s="633" t="s">
        <v>1142</v>
      </c>
      <c r="L168" s="635">
        <v>145.07</v>
      </c>
      <c r="M168" s="635">
        <v>2</v>
      </c>
      <c r="N168" s="636">
        <v>290.14</v>
      </c>
    </row>
    <row r="169" spans="1:14" ht="14.4" customHeight="1" x14ac:dyDescent="0.3">
      <c r="A169" s="631" t="s">
        <v>534</v>
      </c>
      <c r="B169" s="632" t="s">
        <v>536</v>
      </c>
      <c r="C169" s="633" t="s">
        <v>548</v>
      </c>
      <c r="D169" s="634" t="s">
        <v>549</v>
      </c>
      <c r="E169" s="633" t="s">
        <v>537</v>
      </c>
      <c r="F169" s="634" t="s">
        <v>538</v>
      </c>
      <c r="G169" s="633" t="s">
        <v>1039</v>
      </c>
      <c r="H169" s="633" t="s">
        <v>1143</v>
      </c>
      <c r="I169" s="633" t="s">
        <v>1144</v>
      </c>
      <c r="J169" s="633" t="s">
        <v>1052</v>
      </c>
      <c r="K169" s="633" t="s">
        <v>1145</v>
      </c>
      <c r="L169" s="635">
        <v>135.4310198836418</v>
      </c>
      <c r="M169" s="635">
        <v>40</v>
      </c>
      <c r="N169" s="636">
        <v>5417.2407953456714</v>
      </c>
    </row>
    <row r="170" spans="1:14" ht="14.4" customHeight="1" x14ac:dyDescent="0.3">
      <c r="A170" s="631" t="s">
        <v>534</v>
      </c>
      <c r="B170" s="632" t="s">
        <v>536</v>
      </c>
      <c r="C170" s="633" t="s">
        <v>548</v>
      </c>
      <c r="D170" s="634" t="s">
        <v>549</v>
      </c>
      <c r="E170" s="633" t="s">
        <v>537</v>
      </c>
      <c r="F170" s="634" t="s">
        <v>538</v>
      </c>
      <c r="G170" s="633" t="s">
        <v>1039</v>
      </c>
      <c r="H170" s="633" t="s">
        <v>1146</v>
      </c>
      <c r="I170" s="633" t="s">
        <v>1147</v>
      </c>
      <c r="J170" s="633" t="s">
        <v>1148</v>
      </c>
      <c r="K170" s="633" t="s">
        <v>1149</v>
      </c>
      <c r="L170" s="635">
        <v>30.589999999999996</v>
      </c>
      <c r="M170" s="635">
        <v>1</v>
      </c>
      <c r="N170" s="636">
        <v>30.589999999999996</v>
      </c>
    </row>
    <row r="171" spans="1:14" ht="14.4" customHeight="1" x14ac:dyDescent="0.3">
      <c r="A171" s="631" t="s">
        <v>534</v>
      </c>
      <c r="B171" s="632" t="s">
        <v>536</v>
      </c>
      <c r="C171" s="633" t="s">
        <v>548</v>
      </c>
      <c r="D171" s="634" t="s">
        <v>549</v>
      </c>
      <c r="E171" s="633" t="s">
        <v>537</v>
      </c>
      <c r="F171" s="634" t="s">
        <v>538</v>
      </c>
      <c r="G171" s="633" t="s">
        <v>1039</v>
      </c>
      <c r="H171" s="633" t="s">
        <v>1150</v>
      </c>
      <c r="I171" s="633" t="s">
        <v>1151</v>
      </c>
      <c r="J171" s="633" t="s">
        <v>1152</v>
      </c>
      <c r="K171" s="633" t="s">
        <v>1153</v>
      </c>
      <c r="L171" s="635">
        <v>36.320146558724126</v>
      </c>
      <c r="M171" s="635">
        <v>3</v>
      </c>
      <c r="N171" s="636">
        <v>108.96043967617238</v>
      </c>
    </row>
    <row r="172" spans="1:14" ht="14.4" customHeight="1" x14ac:dyDescent="0.3">
      <c r="A172" s="631" t="s">
        <v>534</v>
      </c>
      <c r="B172" s="632" t="s">
        <v>536</v>
      </c>
      <c r="C172" s="633" t="s">
        <v>548</v>
      </c>
      <c r="D172" s="634" t="s">
        <v>549</v>
      </c>
      <c r="E172" s="633" t="s">
        <v>537</v>
      </c>
      <c r="F172" s="634" t="s">
        <v>538</v>
      </c>
      <c r="G172" s="633" t="s">
        <v>1039</v>
      </c>
      <c r="H172" s="633" t="s">
        <v>1154</v>
      </c>
      <c r="I172" s="633" t="s">
        <v>1155</v>
      </c>
      <c r="J172" s="633" t="s">
        <v>1156</v>
      </c>
      <c r="K172" s="633" t="s">
        <v>1157</v>
      </c>
      <c r="L172" s="635">
        <v>121.6318736616702</v>
      </c>
      <c r="M172" s="635">
        <v>5</v>
      </c>
      <c r="N172" s="636">
        <v>608.15936830835096</v>
      </c>
    </row>
    <row r="173" spans="1:14" ht="14.4" customHeight="1" x14ac:dyDescent="0.3">
      <c r="A173" s="631" t="s">
        <v>534</v>
      </c>
      <c r="B173" s="632" t="s">
        <v>536</v>
      </c>
      <c r="C173" s="633" t="s">
        <v>548</v>
      </c>
      <c r="D173" s="634" t="s">
        <v>549</v>
      </c>
      <c r="E173" s="633" t="s">
        <v>537</v>
      </c>
      <c r="F173" s="634" t="s">
        <v>538</v>
      </c>
      <c r="G173" s="633" t="s">
        <v>1039</v>
      </c>
      <c r="H173" s="633" t="s">
        <v>1158</v>
      </c>
      <c r="I173" s="633" t="s">
        <v>1159</v>
      </c>
      <c r="J173" s="633" t="s">
        <v>1160</v>
      </c>
      <c r="K173" s="633" t="s">
        <v>1161</v>
      </c>
      <c r="L173" s="635">
        <v>473.4</v>
      </c>
      <c r="M173" s="635">
        <v>1</v>
      </c>
      <c r="N173" s="636">
        <v>473.4</v>
      </c>
    </row>
    <row r="174" spans="1:14" ht="14.4" customHeight="1" x14ac:dyDescent="0.3">
      <c r="A174" s="631" t="s">
        <v>534</v>
      </c>
      <c r="B174" s="632" t="s">
        <v>536</v>
      </c>
      <c r="C174" s="633" t="s">
        <v>548</v>
      </c>
      <c r="D174" s="634" t="s">
        <v>549</v>
      </c>
      <c r="E174" s="633" t="s">
        <v>537</v>
      </c>
      <c r="F174" s="634" t="s">
        <v>538</v>
      </c>
      <c r="G174" s="633" t="s">
        <v>1039</v>
      </c>
      <c r="H174" s="633" t="s">
        <v>1162</v>
      </c>
      <c r="I174" s="633" t="s">
        <v>1163</v>
      </c>
      <c r="J174" s="633" t="s">
        <v>1164</v>
      </c>
      <c r="K174" s="633" t="s">
        <v>1165</v>
      </c>
      <c r="L174" s="635">
        <v>52.809894455696366</v>
      </c>
      <c r="M174" s="635">
        <v>4</v>
      </c>
      <c r="N174" s="636">
        <v>211.23957782278546</v>
      </c>
    </row>
    <row r="175" spans="1:14" ht="14.4" customHeight="1" x14ac:dyDescent="0.3">
      <c r="A175" s="631" t="s">
        <v>534</v>
      </c>
      <c r="B175" s="632" t="s">
        <v>536</v>
      </c>
      <c r="C175" s="633" t="s">
        <v>548</v>
      </c>
      <c r="D175" s="634" t="s">
        <v>549</v>
      </c>
      <c r="E175" s="633" t="s">
        <v>537</v>
      </c>
      <c r="F175" s="634" t="s">
        <v>538</v>
      </c>
      <c r="G175" s="633" t="s">
        <v>1039</v>
      </c>
      <c r="H175" s="633" t="s">
        <v>1166</v>
      </c>
      <c r="I175" s="633" t="s">
        <v>1167</v>
      </c>
      <c r="J175" s="633" t="s">
        <v>1168</v>
      </c>
      <c r="K175" s="633" t="s">
        <v>1169</v>
      </c>
      <c r="L175" s="635">
        <v>72.45999999999998</v>
      </c>
      <c r="M175" s="635">
        <v>2</v>
      </c>
      <c r="N175" s="636">
        <v>144.91999999999996</v>
      </c>
    </row>
    <row r="176" spans="1:14" ht="14.4" customHeight="1" x14ac:dyDescent="0.3">
      <c r="A176" s="631" t="s">
        <v>534</v>
      </c>
      <c r="B176" s="632" t="s">
        <v>536</v>
      </c>
      <c r="C176" s="633" t="s">
        <v>548</v>
      </c>
      <c r="D176" s="634" t="s">
        <v>549</v>
      </c>
      <c r="E176" s="633" t="s">
        <v>537</v>
      </c>
      <c r="F176" s="634" t="s">
        <v>538</v>
      </c>
      <c r="G176" s="633" t="s">
        <v>1039</v>
      </c>
      <c r="H176" s="633" t="s">
        <v>1170</v>
      </c>
      <c r="I176" s="633" t="s">
        <v>1171</v>
      </c>
      <c r="J176" s="633" t="s">
        <v>1172</v>
      </c>
      <c r="K176" s="633" t="s">
        <v>1173</v>
      </c>
      <c r="L176" s="635">
        <v>376.42874875683401</v>
      </c>
      <c r="M176" s="635">
        <v>1</v>
      </c>
      <c r="N176" s="636">
        <v>376.42874875683401</v>
      </c>
    </row>
    <row r="177" spans="1:14" ht="14.4" customHeight="1" x14ac:dyDescent="0.3">
      <c r="A177" s="631" t="s">
        <v>534</v>
      </c>
      <c r="B177" s="632" t="s">
        <v>536</v>
      </c>
      <c r="C177" s="633" t="s">
        <v>548</v>
      </c>
      <c r="D177" s="634" t="s">
        <v>549</v>
      </c>
      <c r="E177" s="633" t="s">
        <v>537</v>
      </c>
      <c r="F177" s="634" t="s">
        <v>538</v>
      </c>
      <c r="G177" s="633" t="s">
        <v>1039</v>
      </c>
      <c r="H177" s="633" t="s">
        <v>1174</v>
      </c>
      <c r="I177" s="633" t="s">
        <v>1175</v>
      </c>
      <c r="J177" s="633" t="s">
        <v>1176</v>
      </c>
      <c r="K177" s="633" t="s">
        <v>1177</v>
      </c>
      <c r="L177" s="635">
        <v>70.909999999999982</v>
      </c>
      <c r="M177" s="635">
        <v>6</v>
      </c>
      <c r="N177" s="636">
        <v>425.45999999999992</v>
      </c>
    </row>
    <row r="178" spans="1:14" ht="14.4" customHeight="1" x14ac:dyDescent="0.3">
      <c r="A178" s="631" t="s">
        <v>534</v>
      </c>
      <c r="B178" s="632" t="s">
        <v>536</v>
      </c>
      <c r="C178" s="633" t="s">
        <v>548</v>
      </c>
      <c r="D178" s="634" t="s">
        <v>549</v>
      </c>
      <c r="E178" s="633" t="s">
        <v>537</v>
      </c>
      <c r="F178" s="634" t="s">
        <v>538</v>
      </c>
      <c r="G178" s="633" t="s">
        <v>1039</v>
      </c>
      <c r="H178" s="633" t="s">
        <v>1178</v>
      </c>
      <c r="I178" s="633" t="s">
        <v>1179</v>
      </c>
      <c r="J178" s="633" t="s">
        <v>1180</v>
      </c>
      <c r="K178" s="633" t="s">
        <v>1181</v>
      </c>
      <c r="L178" s="635">
        <v>151.56307311913952</v>
      </c>
      <c r="M178" s="635">
        <v>4</v>
      </c>
      <c r="N178" s="636">
        <v>606.25229247655807</v>
      </c>
    </row>
    <row r="179" spans="1:14" ht="14.4" customHeight="1" x14ac:dyDescent="0.3">
      <c r="A179" s="631" t="s">
        <v>534</v>
      </c>
      <c r="B179" s="632" t="s">
        <v>536</v>
      </c>
      <c r="C179" s="633" t="s">
        <v>548</v>
      </c>
      <c r="D179" s="634" t="s">
        <v>549</v>
      </c>
      <c r="E179" s="633" t="s">
        <v>537</v>
      </c>
      <c r="F179" s="634" t="s">
        <v>538</v>
      </c>
      <c r="G179" s="633" t="s">
        <v>1039</v>
      </c>
      <c r="H179" s="633" t="s">
        <v>1182</v>
      </c>
      <c r="I179" s="633" t="s">
        <v>1183</v>
      </c>
      <c r="J179" s="633" t="s">
        <v>1184</v>
      </c>
      <c r="K179" s="633" t="s">
        <v>1185</v>
      </c>
      <c r="L179" s="635">
        <v>518.99487395224401</v>
      </c>
      <c r="M179" s="635">
        <v>2</v>
      </c>
      <c r="N179" s="636">
        <v>1037.989747904488</v>
      </c>
    </row>
    <row r="180" spans="1:14" ht="14.4" customHeight="1" x14ac:dyDescent="0.3">
      <c r="A180" s="631" t="s">
        <v>534</v>
      </c>
      <c r="B180" s="632" t="s">
        <v>536</v>
      </c>
      <c r="C180" s="633" t="s">
        <v>548</v>
      </c>
      <c r="D180" s="634" t="s">
        <v>549</v>
      </c>
      <c r="E180" s="633" t="s">
        <v>537</v>
      </c>
      <c r="F180" s="634" t="s">
        <v>538</v>
      </c>
      <c r="G180" s="633" t="s">
        <v>1039</v>
      </c>
      <c r="H180" s="633" t="s">
        <v>1186</v>
      </c>
      <c r="I180" s="633" t="s">
        <v>1187</v>
      </c>
      <c r="J180" s="633" t="s">
        <v>1188</v>
      </c>
      <c r="K180" s="633" t="s">
        <v>1189</v>
      </c>
      <c r="L180" s="635">
        <v>751.00991727048836</v>
      </c>
      <c r="M180" s="635">
        <v>2</v>
      </c>
      <c r="N180" s="636">
        <v>1502.0198345409767</v>
      </c>
    </row>
    <row r="181" spans="1:14" ht="14.4" customHeight="1" x14ac:dyDescent="0.3">
      <c r="A181" s="631" t="s">
        <v>534</v>
      </c>
      <c r="B181" s="632" t="s">
        <v>536</v>
      </c>
      <c r="C181" s="633" t="s">
        <v>548</v>
      </c>
      <c r="D181" s="634" t="s">
        <v>549</v>
      </c>
      <c r="E181" s="633" t="s">
        <v>537</v>
      </c>
      <c r="F181" s="634" t="s">
        <v>538</v>
      </c>
      <c r="G181" s="633" t="s">
        <v>1039</v>
      </c>
      <c r="H181" s="633" t="s">
        <v>1190</v>
      </c>
      <c r="I181" s="633" t="s">
        <v>1191</v>
      </c>
      <c r="J181" s="633" t="s">
        <v>1192</v>
      </c>
      <c r="K181" s="633" t="s">
        <v>1193</v>
      </c>
      <c r="L181" s="635">
        <v>41.600129470101749</v>
      </c>
      <c r="M181" s="635">
        <v>2</v>
      </c>
      <c r="N181" s="636">
        <v>83.200258940203497</v>
      </c>
    </row>
    <row r="182" spans="1:14" ht="14.4" customHeight="1" x14ac:dyDescent="0.3">
      <c r="A182" s="631" t="s">
        <v>534</v>
      </c>
      <c r="B182" s="632" t="s">
        <v>536</v>
      </c>
      <c r="C182" s="633" t="s">
        <v>548</v>
      </c>
      <c r="D182" s="634" t="s">
        <v>549</v>
      </c>
      <c r="E182" s="633" t="s">
        <v>537</v>
      </c>
      <c r="F182" s="634" t="s">
        <v>538</v>
      </c>
      <c r="G182" s="633" t="s">
        <v>1039</v>
      </c>
      <c r="H182" s="633" t="s">
        <v>1194</v>
      </c>
      <c r="I182" s="633" t="s">
        <v>1195</v>
      </c>
      <c r="J182" s="633" t="s">
        <v>1196</v>
      </c>
      <c r="K182" s="633" t="s">
        <v>1197</v>
      </c>
      <c r="L182" s="635">
        <v>266.35000000000002</v>
      </c>
      <c r="M182" s="635">
        <v>8</v>
      </c>
      <c r="N182" s="636">
        <v>2130.8000000000002</v>
      </c>
    </row>
    <row r="183" spans="1:14" ht="14.4" customHeight="1" x14ac:dyDescent="0.3">
      <c r="A183" s="631" t="s">
        <v>534</v>
      </c>
      <c r="B183" s="632" t="s">
        <v>536</v>
      </c>
      <c r="C183" s="633" t="s">
        <v>548</v>
      </c>
      <c r="D183" s="634" t="s">
        <v>549</v>
      </c>
      <c r="E183" s="633" t="s">
        <v>537</v>
      </c>
      <c r="F183" s="634" t="s">
        <v>538</v>
      </c>
      <c r="G183" s="633" t="s">
        <v>1039</v>
      </c>
      <c r="H183" s="633" t="s">
        <v>1198</v>
      </c>
      <c r="I183" s="633" t="s">
        <v>1199</v>
      </c>
      <c r="J183" s="633" t="s">
        <v>1082</v>
      </c>
      <c r="K183" s="633" t="s">
        <v>1200</v>
      </c>
      <c r="L183" s="635">
        <v>356.49947154968191</v>
      </c>
      <c r="M183" s="635">
        <v>17</v>
      </c>
      <c r="N183" s="636">
        <v>6060.4910163445929</v>
      </c>
    </row>
    <row r="184" spans="1:14" ht="14.4" customHeight="1" x14ac:dyDescent="0.3">
      <c r="A184" s="631" t="s">
        <v>534</v>
      </c>
      <c r="B184" s="632" t="s">
        <v>536</v>
      </c>
      <c r="C184" s="633" t="s">
        <v>548</v>
      </c>
      <c r="D184" s="634" t="s">
        <v>549</v>
      </c>
      <c r="E184" s="633" t="s">
        <v>537</v>
      </c>
      <c r="F184" s="634" t="s">
        <v>538</v>
      </c>
      <c r="G184" s="633" t="s">
        <v>1039</v>
      </c>
      <c r="H184" s="633" t="s">
        <v>1201</v>
      </c>
      <c r="I184" s="633" t="s">
        <v>1202</v>
      </c>
      <c r="J184" s="633" t="s">
        <v>1082</v>
      </c>
      <c r="K184" s="633" t="s">
        <v>1203</v>
      </c>
      <c r="L184" s="635">
        <v>413.99991150930134</v>
      </c>
      <c r="M184" s="635">
        <v>10</v>
      </c>
      <c r="N184" s="636">
        <v>4139.9991150930136</v>
      </c>
    </row>
    <row r="185" spans="1:14" ht="14.4" customHeight="1" x14ac:dyDescent="0.3">
      <c r="A185" s="631" t="s">
        <v>534</v>
      </c>
      <c r="B185" s="632" t="s">
        <v>536</v>
      </c>
      <c r="C185" s="633" t="s">
        <v>548</v>
      </c>
      <c r="D185" s="634" t="s">
        <v>549</v>
      </c>
      <c r="E185" s="633" t="s">
        <v>537</v>
      </c>
      <c r="F185" s="634" t="s">
        <v>538</v>
      </c>
      <c r="G185" s="633" t="s">
        <v>1039</v>
      </c>
      <c r="H185" s="633" t="s">
        <v>1204</v>
      </c>
      <c r="I185" s="633" t="s">
        <v>1205</v>
      </c>
      <c r="J185" s="633" t="s">
        <v>1096</v>
      </c>
      <c r="K185" s="633" t="s">
        <v>1206</v>
      </c>
      <c r="L185" s="635">
        <v>250.82</v>
      </c>
      <c r="M185" s="635">
        <v>1</v>
      </c>
      <c r="N185" s="636">
        <v>250.82</v>
      </c>
    </row>
    <row r="186" spans="1:14" ht="14.4" customHeight="1" x14ac:dyDescent="0.3">
      <c r="A186" s="631" t="s">
        <v>534</v>
      </c>
      <c r="B186" s="632" t="s">
        <v>536</v>
      </c>
      <c r="C186" s="633" t="s">
        <v>548</v>
      </c>
      <c r="D186" s="634" t="s">
        <v>549</v>
      </c>
      <c r="E186" s="633" t="s">
        <v>537</v>
      </c>
      <c r="F186" s="634" t="s">
        <v>538</v>
      </c>
      <c r="G186" s="633" t="s">
        <v>1039</v>
      </c>
      <c r="H186" s="633" t="s">
        <v>1207</v>
      </c>
      <c r="I186" s="633" t="s">
        <v>1208</v>
      </c>
      <c r="J186" s="633" t="s">
        <v>1209</v>
      </c>
      <c r="K186" s="633" t="s">
        <v>1210</v>
      </c>
      <c r="L186" s="635">
        <v>151.24999999999994</v>
      </c>
      <c r="M186" s="635">
        <v>1</v>
      </c>
      <c r="N186" s="636">
        <v>151.24999999999994</v>
      </c>
    </row>
    <row r="187" spans="1:14" ht="14.4" customHeight="1" x14ac:dyDescent="0.3">
      <c r="A187" s="631" t="s">
        <v>534</v>
      </c>
      <c r="B187" s="632" t="s">
        <v>536</v>
      </c>
      <c r="C187" s="633" t="s">
        <v>548</v>
      </c>
      <c r="D187" s="634" t="s">
        <v>549</v>
      </c>
      <c r="E187" s="633" t="s">
        <v>537</v>
      </c>
      <c r="F187" s="634" t="s">
        <v>538</v>
      </c>
      <c r="G187" s="633" t="s">
        <v>1039</v>
      </c>
      <c r="H187" s="633" t="s">
        <v>1211</v>
      </c>
      <c r="I187" s="633" t="s">
        <v>1212</v>
      </c>
      <c r="J187" s="633" t="s">
        <v>1213</v>
      </c>
      <c r="K187" s="633" t="s">
        <v>1214</v>
      </c>
      <c r="L187" s="635">
        <v>82.72</v>
      </c>
      <c r="M187" s="635">
        <v>1</v>
      </c>
      <c r="N187" s="636">
        <v>82.72</v>
      </c>
    </row>
    <row r="188" spans="1:14" ht="14.4" customHeight="1" x14ac:dyDescent="0.3">
      <c r="A188" s="631" t="s">
        <v>534</v>
      </c>
      <c r="B188" s="632" t="s">
        <v>536</v>
      </c>
      <c r="C188" s="633" t="s">
        <v>548</v>
      </c>
      <c r="D188" s="634" t="s">
        <v>549</v>
      </c>
      <c r="E188" s="633" t="s">
        <v>537</v>
      </c>
      <c r="F188" s="634" t="s">
        <v>538</v>
      </c>
      <c r="G188" s="633" t="s">
        <v>1039</v>
      </c>
      <c r="H188" s="633" t="s">
        <v>1215</v>
      </c>
      <c r="I188" s="633" t="s">
        <v>1216</v>
      </c>
      <c r="J188" s="633" t="s">
        <v>1217</v>
      </c>
      <c r="K188" s="633" t="s">
        <v>1218</v>
      </c>
      <c r="L188" s="635">
        <v>101.83999999999996</v>
      </c>
      <c r="M188" s="635">
        <v>2</v>
      </c>
      <c r="N188" s="636">
        <v>203.67999999999992</v>
      </c>
    </row>
    <row r="189" spans="1:14" ht="14.4" customHeight="1" x14ac:dyDescent="0.3">
      <c r="A189" s="631" t="s">
        <v>534</v>
      </c>
      <c r="B189" s="632" t="s">
        <v>536</v>
      </c>
      <c r="C189" s="633" t="s">
        <v>548</v>
      </c>
      <c r="D189" s="634" t="s">
        <v>549</v>
      </c>
      <c r="E189" s="633" t="s">
        <v>537</v>
      </c>
      <c r="F189" s="634" t="s">
        <v>538</v>
      </c>
      <c r="G189" s="633" t="s">
        <v>1039</v>
      </c>
      <c r="H189" s="633" t="s">
        <v>1219</v>
      </c>
      <c r="I189" s="633" t="s">
        <v>1219</v>
      </c>
      <c r="J189" s="633" t="s">
        <v>1220</v>
      </c>
      <c r="K189" s="633" t="s">
        <v>1221</v>
      </c>
      <c r="L189" s="635">
        <v>104.17</v>
      </c>
      <c r="M189" s="635">
        <v>1</v>
      </c>
      <c r="N189" s="636">
        <v>104.17</v>
      </c>
    </row>
    <row r="190" spans="1:14" ht="14.4" customHeight="1" x14ac:dyDescent="0.3">
      <c r="A190" s="631" t="s">
        <v>534</v>
      </c>
      <c r="B190" s="632" t="s">
        <v>536</v>
      </c>
      <c r="C190" s="633" t="s">
        <v>548</v>
      </c>
      <c r="D190" s="634" t="s">
        <v>549</v>
      </c>
      <c r="E190" s="633" t="s">
        <v>539</v>
      </c>
      <c r="F190" s="634" t="s">
        <v>540</v>
      </c>
      <c r="G190" s="633" t="s">
        <v>562</v>
      </c>
      <c r="H190" s="633" t="s">
        <v>1222</v>
      </c>
      <c r="I190" s="633" t="s">
        <v>1223</v>
      </c>
      <c r="J190" s="633" t="s">
        <v>1224</v>
      </c>
      <c r="K190" s="633" t="s">
        <v>1225</v>
      </c>
      <c r="L190" s="635">
        <v>4368.0087146663673</v>
      </c>
      <c r="M190" s="635">
        <v>1</v>
      </c>
      <c r="N190" s="636">
        <v>4368.0087146663673</v>
      </c>
    </row>
    <row r="191" spans="1:14" ht="14.4" customHeight="1" x14ac:dyDescent="0.3">
      <c r="A191" s="631" t="s">
        <v>534</v>
      </c>
      <c r="B191" s="632" t="s">
        <v>536</v>
      </c>
      <c r="C191" s="633" t="s">
        <v>548</v>
      </c>
      <c r="D191" s="634" t="s">
        <v>549</v>
      </c>
      <c r="E191" s="633" t="s">
        <v>539</v>
      </c>
      <c r="F191" s="634" t="s">
        <v>540</v>
      </c>
      <c r="G191" s="633" t="s">
        <v>562</v>
      </c>
      <c r="H191" s="633" t="s">
        <v>1226</v>
      </c>
      <c r="I191" s="633" t="s">
        <v>246</v>
      </c>
      <c r="J191" s="633" t="s">
        <v>1227</v>
      </c>
      <c r="K191" s="633"/>
      <c r="L191" s="635">
        <v>177.68991754651299</v>
      </c>
      <c r="M191" s="635">
        <v>27</v>
      </c>
      <c r="N191" s="636">
        <v>4797.6277737558503</v>
      </c>
    </row>
    <row r="192" spans="1:14" ht="14.4" customHeight="1" x14ac:dyDescent="0.3">
      <c r="A192" s="631" t="s">
        <v>534</v>
      </c>
      <c r="B192" s="632" t="s">
        <v>536</v>
      </c>
      <c r="C192" s="633" t="s">
        <v>548</v>
      </c>
      <c r="D192" s="634" t="s">
        <v>549</v>
      </c>
      <c r="E192" s="633" t="s">
        <v>539</v>
      </c>
      <c r="F192" s="634" t="s">
        <v>540</v>
      </c>
      <c r="G192" s="633" t="s">
        <v>1039</v>
      </c>
      <c r="H192" s="633" t="s">
        <v>1228</v>
      </c>
      <c r="I192" s="633" t="s">
        <v>1229</v>
      </c>
      <c r="J192" s="633" t="s">
        <v>1230</v>
      </c>
      <c r="K192" s="633" t="s">
        <v>1231</v>
      </c>
      <c r="L192" s="635">
        <v>42.760000000000005</v>
      </c>
      <c r="M192" s="635">
        <v>15</v>
      </c>
      <c r="N192" s="636">
        <v>641.40000000000009</v>
      </c>
    </row>
    <row r="193" spans="1:14" ht="14.4" customHeight="1" x14ac:dyDescent="0.3">
      <c r="A193" s="631" t="s">
        <v>534</v>
      </c>
      <c r="B193" s="632" t="s">
        <v>536</v>
      </c>
      <c r="C193" s="633" t="s">
        <v>548</v>
      </c>
      <c r="D193" s="634" t="s">
        <v>549</v>
      </c>
      <c r="E193" s="633" t="s">
        <v>539</v>
      </c>
      <c r="F193" s="634" t="s">
        <v>540</v>
      </c>
      <c r="G193" s="633" t="s">
        <v>1039</v>
      </c>
      <c r="H193" s="633" t="s">
        <v>1232</v>
      </c>
      <c r="I193" s="633" t="s">
        <v>1233</v>
      </c>
      <c r="J193" s="633" t="s">
        <v>1234</v>
      </c>
      <c r="K193" s="633" t="s">
        <v>1235</v>
      </c>
      <c r="L193" s="635">
        <v>179.37000000000003</v>
      </c>
      <c r="M193" s="635">
        <v>4</v>
      </c>
      <c r="N193" s="636">
        <v>717.48000000000013</v>
      </c>
    </row>
    <row r="194" spans="1:14" ht="14.4" customHeight="1" x14ac:dyDescent="0.3">
      <c r="A194" s="631" t="s">
        <v>534</v>
      </c>
      <c r="B194" s="632" t="s">
        <v>536</v>
      </c>
      <c r="C194" s="633" t="s">
        <v>548</v>
      </c>
      <c r="D194" s="634" t="s">
        <v>549</v>
      </c>
      <c r="E194" s="633" t="s">
        <v>543</v>
      </c>
      <c r="F194" s="634" t="s">
        <v>544</v>
      </c>
      <c r="G194" s="633" t="s">
        <v>562</v>
      </c>
      <c r="H194" s="633" t="s">
        <v>1236</v>
      </c>
      <c r="I194" s="633" t="s">
        <v>1236</v>
      </c>
      <c r="J194" s="633" t="s">
        <v>1237</v>
      </c>
      <c r="K194" s="633" t="s">
        <v>1238</v>
      </c>
      <c r="L194" s="635">
        <v>72.840356375608266</v>
      </c>
      <c r="M194" s="635">
        <v>2</v>
      </c>
      <c r="N194" s="636">
        <v>145.68071275121653</v>
      </c>
    </row>
    <row r="195" spans="1:14" ht="14.4" customHeight="1" x14ac:dyDescent="0.3">
      <c r="A195" s="631" t="s">
        <v>534</v>
      </c>
      <c r="B195" s="632" t="s">
        <v>536</v>
      </c>
      <c r="C195" s="633" t="s">
        <v>548</v>
      </c>
      <c r="D195" s="634" t="s">
        <v>549</v>
      </c>
      <c r="E195" s="633" t="s">
        <v>543</v>
      </c>
      <c r="F195" s="634" t="s">
        <v>544</v>
      </c>
      <c r="G195" s="633" t="s">
        <v>562</v>
      </c>
      <c r="H195" s="633" t="s">
        <v>1239</v>
      </c>
      <c r="I195" s="633" t="s">
        <v>1240</v>
      </c>
      <c r="J195" s="633" t="s">
        <v>1241</v>
      </c>
      <c r="K195" s="633" t="s">
        <v>1242</v>
      </c>
      <c r="L195" s="635">
        <v>33.277142857142856</v>
      </c>
      <c r="M195" s="635">
        <v>14</v>
      </c>
      <c r="N195" s="636">
        <v>465.88</v>
      </c>
    </row>
    <row r="196" spans="1:14" ht="14.4" customHeight="1" x14ac:dyDescent="0.3">
      <c r="A196" s="631" t="s">
        <v>534</v>
      </c>
      <c r="B196" s="632" t="s">
        <v>536</v>
      </c>
      <c r="C196" s="633" t="s">
        <v>548</v>
      </c>
      <c r="D196" s="634" t="s">
        <v>549</v>
      </c>
      <c r="E196" s="633" t="s">
        <v>543</v>
      </c>
      <c r="F196" s="634" t="s">
        <v>544</v>
      </c>
      <c r="G196" s="633" t="s">
        <v>562</v>
      </c>
      <c r="H196" s="633" t="s">
        <v>1243</v>
      </c>
      <c r="I196" s="633" t="s">
        <v>1244</v>
      </c>
      <c r="J196" s="633" t="s">
        <v>1245</v>
      </c>
      <c r="K196" s="633" t="s">
        <v>1246</v>
      </c>
      <c r="L196" s="635">
        <v>181.84982002156175</v>
      </c>
      <c r="M196" s="635">
        <v>7</v>
      </c>
      <c r="N196" s="636">
        <v>1272.9487401509323</v>
      </c>
    </row>
    <row r="197" spans="1:14" ht="14.4" customHeight="1" x14ac:dyDescent="0.3">
      <c r="A197" s="631" t="s">
        <v>534</v>
      </c>
      <c r="B197" s="632" t="s">
        <v>536</v>
      </c>
      <c r="C197" s="633" t="s">
        <v>548</v>
      </c>
      <c r="D197" s="634" t="s">
        <v>549</v>
      </c>
      <c r="E197" s="633" t="s">
        <v>543</v>
      </c>
      <c r="F197" s="634" t="s">
        <v>544</v>
      </c>
      <c r="G197" s="633" t="s">
        <v>562</v>
      </c>
      <c r="H197" s="633" t="s">
        <v>1247</v>
      </c>
      <c r="I197" s="633" t="s">
        <v>1248</v>
      </c>
      <c r="J197" s="633" t="s">
        <v>1249</v>
      </c>
      <c r="K197" s="633" t="s">
        <v>1250</v>
      </c>
      <c r="L197" s="635">
        <v>240.74224241726904</v>
      </c>
      <c r="M197" s="635">
        <v>11</v>
      </c>
      <c r="N197" s="636">
        <v>2648.1646665899593</v>
      </c>
    </row>
    <row r="198" spans="1:14" ht="14.4" customHeight="1" x14ac:dyDescent="0.3">
      <c r="A198" s="631" t="s">
        <v>534</v>
      </c>
      <c r="B198" s="632" t="s">
        <v>536</v>
      </c>
      <c r="C198" s="633" t="s">
        <v>548</v>
      </c>
      <c r="D198" s="634" t="s">
        <v>549</v>
      </c>
      <c r="E198" s="633" t="s">
        <v>543</v>
      </c>
      <c r="F198" s="634" t="s">
        <v>544</v>
      </c>
      <c r="G198" s="633" t="s">
        <v>562</v>
      </c>
      <c r="H198" s="633" t="s">
        <v>1251</v>
      </c>
      <c r="I198" s="633" t="s">
        <v>1252</v>
      </c>
      <c r="J198" s="633" t="s">
        <v>1253</v>
      </c>
      <c r="K198" s="633" t="s">
        <v>1254</v>
      </c>
      <c r="L198" s="635">
        <v>517.50000000000011</v>
      </c>
      <c r="M198" s="635">
        <v>1</v>
      </c>
      <c r="N198" s="636">
        <v>517.50000000000011</v>
      </c>
    </row>
    <row r="199" spans="1:14" ht="14.4" customHeight="1" x14ac:dyDescent="0.3">
      <c r="A199" s="631" t="s">
        <v>534</v>
      </c>
      <c r="B199" s="632" t="s">
        <v>536</v>
      </c>
      <c r="C199" s="633" t="s">
        <v>548</v>
      </c>
      <c r="D199" s="634" t="s">
        <v>549</v>
      </c>
      <c r="E199" s="633" t="s">
        <v>543</v>
      </c>
      <c r="F199" s="634" t="s">
        <v>544</v>
      </c>
      <c r="G199" s="633" t="s">
        <v>1039</v>
      </c>
      <c r="H199" s="633" t="s">
        <v>1255</v>
      </c>
      <c r="I199" s="633" t="s">
        <v>1256</v>
      </c>
      <c r="J199" s="633" t="s">
        <v>1257</v>
      </c>
      <c r="K199" s="633" t="s">
        <v>1258</v>
      </c>
      <c r="L199" s="635">
        <v>169.53111111111104</v>
      </c>
      <c r="M199" s="635">
        <v>9</v>
      </c>
      <c r="N199" s="636">
        <v>1525.7799999999995</v>
      </c>
    </row>
    <row r="200" spans="1:14" ht="14.4" customHeight="1" x14ac:dyDescent="0.3">
      <c r="A200" s="631" t="s">
        <v>534</v>
      </c>
      <c r="B200" s="632" t="s">
        <v>536</v>
      </c>
      <c r="C200" s="633" t="s">
        <v>548</v>
      </c>
      <c r="D200" s="634" t="s">
        <v>549</v>
      </c>
      <c r="E200" s="633" t="s">
        <v>543</v>
      </c>
      <c r="F200" s="634" t="s">
        <v>544</v>
      </c>
      <c r="G200" s="633" t="s">
        <v>1039</v>
      </c>
      <c r="H200" s="633" t="s">
        <v>1259</v>
      </c>
      <c r="I200" s="633" t="s">
        <v>1260</v>
      </c>
      <c r="J200" s="633" t="s">
        <v>1261</v>
      </c>
      <c r="K200" s="633" t="s">
        <v>1262</v>
      </c>
      <c r="L200" s="635">
        <v>88.600035488997705</v>
      </c>
      <c r="M200" s="635">
        <v>45</v>
      </c>
      <c r="N200" s="636">
        <v>3987.0015970048967</v>
      </c>
    </row>
    <row r="201" spans="1:14" ht="14.4" customHeight="1" x14ac:dyDescent="0.3">
      <c r="A201" s="631" t="s">
        <v>534</v>
      </c>
      <c r="B201" s="632" t="s">
        <v>536</v>
      </c>
      <c r="C201" s="633" t="s">
        <v>548</v>
      </c>
      <c r="D201" s="634" t="s">
        <v>549</v>
      </c>
      <c r="E201" s="633" t="s">
        <v>543</v>
      </c>
      <c r="F201" s="634" t="s">
        <v>544</v>
      </c>
      <c r="G201" s="633" t="s">
        <v>1039</v>
      </c>
      <c r="H201" s="633" t="s">
        <v>1263</v>
      </c>
      <c r="I201" s="633" t="s">
        <v>1264</v>
      </c>
      <c r="J201" s="633" t="s">
        <v>1245</v>
      </c>
      <c r="K201" s="633" t="s">
        <v>1265</v>
      </c>
      <c r="L201" s="635">
        <v>45.846205297963458</v>
      </c>
      <c r="M201" s="635">
        <v>181</v>
      </c>
      <c r="N201" s="636">
        <v>8298.1631589313856</v>
      </c>
    </row>
    <row r="202" spans="1:14" ht="14.4" customHeight="1" x14ac:dyDescent="0.3">
      <c r="A202" s="631" t="s">
        <v>534</v>
      </c>
      <c r="B202" s="632" t="s">
        <v>536</v>
      </c>
      <c r="C202" s="633" t="s">
        <v>548</v>
      </c>
      <c r="D202" s="634" t="s">
        <v>549</v>
      </c>
      <c r="E202" s="633" t="s">
        <v>543</v>
      </c>
      <c r="F202" s="634" t="s">
        <v>544</v>
      </c>
      <c r="G202" s="633" t="s">
        <v>1039</v>
      </c>
      <c r="H202" s="633" t="s">
        <v>1266</v>
      </c>
      <c r="I202" s="633" t="s">
        <v>1267</v>
      </c>
      <c r="J202" s="633" t="s">
        <v>1268</v>
      </c>
      <c r="K202" s="633" t="s">
        <v>1269</v>
      </c>
      <c r="L202" s="635">
        <v>138.08931894664963</v>
      </c>
      <c r="M202" s="635">
        <v>1</v>
      </c>
      <c r="N202" s="636">
        <v>138.08931894664963</v>
      </c>
    </row>
    <row r="203" spans="1:14" ht="14.4" customHeight="1" x14ac:dyDescent="0.3">
      <c r="A203" s="631" t="s">
        <v>534</v>
      </c>
      <c r="B203" s="632" t="s">
        <v>536</v>
      </c>
      <c r="C203" s="633" t="s">
        <v>548</v>
      </c>
      <c r="D203" s="634" t="s">
        <v>549</v>
      </c>
      <c r="E203" s="633" t="s">
        <v>543</v>
      </c>
      <c r="F203" s="634" t="s">
        <v>544</v>
      </c>
      <c r="G203" s="633" t="s">
        <v>1039</v>
      </c>
      <c r="H203" s="633" t="s">
        <v>1270</v>
      </c>
      <c r="I203" s="633" t="s">
        <v>1271</v>
      </c>
      <c r="J203" s="633" t="s">
        <v>1272</v>
      </c>
      <c r="K203" s="633" t="s">
        <v>1269</v>
      </c>
      <c r="L203" s="635">
        <v>57.369891420123146</v>
      </c>
      <c r="M203" s="635">
        <v>3</v>
      </c>
      <c r="N203" s="636">
        <v>172.10967426036945</v>
      </c>
    </row>
    <row r="204" spans="1:14" ht="14.4" customHeight="1" x14ac:dyDescent="0.3">
      <c r="A204" s="631" t="s">
        <v>534</v>
      </c>
      <c r="B204" s="632" t="s">
        <v>536</v>
      </c>
      <c r="C204" s="633" t="s">
        <v>548</v>
      </c>
      <c r="D204" s="634" t="s">
        <v>549</v>
      </c>
      <c r="E204" s="633" t="s">
        <v>543</v>
      </c>
      <c r="F204" s="634" t="s">
        <v>544</v>
      </c>
      <c r="G204" s="633" t="s">
        <v>1039</v>
      </c>
      <c r="H204" s="633" t="s">
        <v>1273</v>
      </c>
      <c r="I204" s="633" t="s">
        <v>1274</v>
      </c>
      <c r="J204" s="633" t="s">
        <v>1275</v>
      </c>
      <c r="K204" s="633" t="s">
        <v>1276</v>
      </c>
      <c r="L204" s="635">
        <v>74.700066294265298</v>
      </c>
      <c r="M204" s="635">
        <v>24</v>
      </c>
      <c r="N204" s="636">
        <v>1792.8015910623672</v>
      </c>
    </row>
    <row r="205" spans="1:14" ht="14.4" customHeight="1" x14ac:dyDescent="0.3">
      <c r="A205" s="631" t="s">
        <v>534</v>
      </c>
      <c r="B205" s="632" t="s">
        <v>536</v>
      </c>
      <c r="C205" s="633" t="s">
        <v>548</v>
      </c>
      <c r="D205" s="634" t="s">
        <v>549</v>
      </c>
      <c r="E205" s="633" t="s">
        <v>543</v>
      </c>
      <c r="F205" s="634" t="s">
        <v>544</v>
      </c>
      <c r="G205" s="633" t="s">
        <v>1039</v>
      </c>
      <c r="H205" s="633" t="s">
        <v>1277</v>
      </c>
      <c r="I205" s="633" t="s">
        <v>1278</v>
      </c>
      <c r="J205" s="633" t="s">
        <v>1279</v>
      </c>
      <c r="K205" s="633" t="s">
        <v>1280</v>
      </c>
      <c r="L205" s="635">
        <v>214.171585960296</v>
      </c>
      <c r="M205" s="635">
        <v>16.799999999999997</v>
      </c>
      <c r="N205" s="636">
        <v>3598.0826441329723</v>
      </c>
    </row>
    <row r="206" spans="1:14" ht="14.4" customHeight="1" x14ac:dyDescent="0.3">
      <c r="A206" s="631" t="s">
        <v>534</v>
      </c>
      <c r="B206" s="632" t="s">
        <v>536</v>
      </c>
      <c r="C206" s="633" t="s">
        <v>548</v>
      </c>
      <c r="D206" s="634" t="s">
        <v>549</v>
      </c>
      <c r="E206" s="633" t="s">
        <v>543</v>
      </c>
      <c r="F206" s="634" t="s">
        <v>544</v>
      </c>
      <c r="G206" s="633" t="s">
        <v>1039</v>
      </c>
      <c r="H206" s="633" t="s">
        <v>1281</v>
      </c>
      <c r="I206" s="633" t="s">
        <v>1282</v>
      </c>
      <c r="J206" s="633" t="s">
        <v>1283</v>
      </c>
      <c r="K206" s="633" t="s">
        <v>1284</v>
      </c>
      <c r="L206" s="635">
        <v>119.11797782933506</v>
      </c>
      <c r="M206" s="635">
        <v>20</v>
      </c>
      <c r="N206" s="636">
        <v>2382.3595565867013</v>
      </c>
    </row>
    <row r="207" spans="1:14" ht="14.4" customHeight="1" x14ac:dyDescent="0.3">
      <c r="A207" s="631" t="s">
        <v>534</v>
      </c>
      <c r="B207" s="632" t="s">
        <v>536</v>
      </c>
      <c r="C207" s="633" t="s">
        <v>548</v>
      </c>
      <c r="D207" s="634" t="s">
        <v>549</v>
      </c>
      <c r="E207" s="633" t="s">
        <v>543</v>
      </c>
      <c r="F207" s="634" t="s">
        <v>544</v>
      </c>
      <c r="G207" s="633" t="s">
        <v>1039</v>
      </c>
      <c r="H207" s="633" t="s">
        <v>1285</v>
      </c>
      <c r="I207" s="633" t="s">
        <v>1285</v>
      </c>
      <c r="J207" s="633" t="s">
        <v>1286</v>
      </c>
      <c r="K207" s="633" t="s">
        <v>1287</v>
      </c>
      <c r="L207" s="635">
        <v>1495</v>
      </c>
      <c r="M207" s="635">
        <v>2</v>
      </c>
      <c r="N207" s="636">
        <v>2990</v>
      </c>
    </row>
    <row r="208" spans="1:14" ht="14.4" customHeight="1" x14ac:dyDescent="0.3">
      <c r="A208" s="631" t="s">
        <v>534</v>
      </c>
      <c r="B208" s="632" t="s">
        <v>536</v>
      </c>
      <c r="C208" s="633" t="s">
        <v>548</v>
      </c>
      <c r="D208" s="634" t="s">
        <v>549</v>
      </c>
      <c r="E208" s="633" t="s">
        <v>545</v>
      </c>
      <c r="F208" s="634" t="s">
        <v>546</v>
      </c>
      <c r="G208" s="633" t="s">
        <v>562</v>
      </c>
      <c r="H208" s="633" t="s">
        <v>1288</v>
      </c>
      <c r="I208" s="633" t="s">
        <v>1289</v>
      </c>
      <c r="J208" s="633" t="s">
        <v>1290</v>
      </c>
      <c r="K208" s="633" t="s">
        <v>1291</v>
      </c>
      <c r="L208" s="635">
        <v>89.029502424971128</v>
      </c>
      <c r="M208" s="635">
        <v>2</v>
      </c>
      <c r="N208" s="636">
        <v>178.05900484994226</v>
      </c>
    </row>
    <row r="209" spans="1:14" ht="14.4" customHeight="1" x14ac:dyDescent="0.3">
      <c r="A209" s="631" t="s">
        <v>534</v>
      </c>
      <c r="B209" s="632" t="s">
        <v>536</v>
      </c>
      <c r="C209" s="633" t="s">
        <v>548</v>
      </c>
      <c r="D209" s="634" t="s">
        <v>549</v>
      </c>
      <c r="E209" s="633" t="s">
        <v>545</v>
      </c>
      <c r="F209" s="634" t="s">
        <v>546</v>
      </c>
      <c r="G209" s="633" t="s">
        <v>1039</v>
      </c>
      <c r="H209" s="633" t="s">
        <v>1292</v>
      </c>
      <c r="I209" s="633" t="s">
        <v>1293</v>
      </c>
      <c r="J209" s="633" t="s">
        <v>1294</v>
      </c>
      <c r="K209" s="633"/>
      <c r="L209" s="635">
        <v>31.589999999999996</v>
      </c>
      <c r="M209" s="635">
        <v>10</v>
      </c>
      <c r="N209" s="636">
        <v>315.89999999999998</v>
      </c>
    </row>
    <row r="210" spans="1:14" ht="14.4" customHeight="1" x14ac:dyDescent="0.3">
      <c r="A210" s="631" t="s">
        <v>534</v>
      </c>
      <c r="B210" s="632" t="s">
        <v>536</v>
      </c>
      <c r="C210" s="633" t="s">
        <v>552</v>
      </c>
      <c r="D210" s="634" t="s">
        <v>553</v>
      </c>
      <c r="E210" s="633" t="s">
        <v>537</v>
      </c>
      <c r="F210" s="634" t="s">
        <v>538</v>
      </c>
      <c r="G210" s="633" t="s">
        <v>562</v>
      </c>
      <c r="H210" s="633" t="s">
        <v>592</v>
      </c>
      <c r="I210" s="633" t="s">
        <v>593</v>
      </c>
      <c r="J210" s="633" t="s">
        <v>594</v>
      </c>
      <c r="K210" s="633" t="s">
        <v>595</v>
      </c>
      <c r="L210" s="635">
        <v>60.84</v>
      </c>
      <c r="M210" s="635">
        <v>1</v>
      </c>
      <c r="N210" s="636">
        <v>60.84</v>
      </c>
    </row>
    <row r="211" spans="1:14" ht="14.4" customHeight="1" x14ac:dyDescent="0.3">
      <c r="A211" s="631" t="s">
        <v>534</v>
      </c>
      <c r="B211" s="632" t="s">
        <v>536</v>
      </c>
      <c r="C211" s="633" t="s">
        <v>552</v>
      </c>
      <c r="D211" s="634" t="s">
        <v>553</v>
      </c>
      <c r="E211" s="633" t="s">
        <v>537</v>
      </c>
      <c r="F211" s="634" t="s">
        <v>538</v>
      </c>
      <c r="G211" s="633" t="s">
        <v>562</v>
      </c>
      <c r="H211" s="633" t="s">
        <v>810</v>
      </c>
      <c r="I211" s="633" t="s">
        <v>246</v>
      </c>
      <c r="J211" s="633" t="s">
        <v>811</v>
      </c>
      <c r="K211" s="633"/>
      <c r="L211" s="635">
        <v>97.320307842361487</v>
      </c>
      <c r="M211" s="635">
        <v>3</v>
      </c>
      <c r="N211" s="636">
        <v>291.96092352708445</v>
      </c>
    </row>
    <row r="212" spans="1:14" ht="14.4" customHeight="1" x14ac:dyDescent="0.3">
      <c r="A212" s="631" t="s">
        <v>534</v>
      </c>
      <c r="B212" s="632" t="s">
        <v>536</v>
      </c>
      <c r="C212" s="633" t="s">
        <v>552</v>
      </c>
      <c r="D212" s="634" t="s">
        <v>553</v>
      </c>
      <c r="E212" s="633" t="s">
        <v>537</v>
      </c>
      <c r="F212" s="634" t="s">
        <v>538</v>
      </c>
      <c r="G212" s="633" t="s">
        <v>562</v>
      </c>
      <c r="H212" s="633" t="s">
        <v>1295</v>
      </c>
      <c r="I212" s="633" t="s">
        <v>246</v>
      </c>
      <c r="J212" s="633" t="s">
        <v>1296</v>
      </c>
      <c r="K212" s="633"/>
      <c r="L212" s="635">
        <v>97.320302065233093</v>
      </c>
      <c r="M212" s="635">
        <v>3</v>
      </c>
      <c r="N212" s="636">
        <v>291.96090619569929</v>
      </c>
    </row>
    <row r="213" spans="1:14" ht="14.4" customHeight="1" x14ac:dyDescent="0.3">
      <c r="A213" s="631" t="s">
        <v>534</v>
      </c>
      <c r="B213" s="632" t="s">
        <v>536</v>
      </c>
      <c r="C213" s="633" t="s">
        <v>552</v>
      </c>
      <c r="D213" s="634" t="s">
        <v>553</v>
      </c>
      <c r="E213" s="633" t="s">
        <v>537</v>
      </c>
      <c r="F213" s="634" t="s">
        <v>538</v>
      </c>
      <c r="G213" s="633" t="s">
        <v>562</v>
      </c>
      <c r="H213" s="633" t="s">
        <v>1014</v>
      </c>
      <c r="I213" s="633" t="s">
        <v>246</v>
      </c>
      <c r="J213" s="633" t="s">
        <v>1015</v>
      </c>
      <c r="K213" s="633"/>
      <c r="L213" s="635">
        <v>264.47716099855791</v>
      </c>
      <c r="M213" s="635">
        <v>1</v>
      </c>
      <c r="N213" s="636">
        <v>264.47716099855791</v>
      </c>
    </row>
    <row r="214" spans="1:14" ht="14.4" customHeight="1" x14ac:dyDescent="0.3">
      <c r="A214" s="631" t="s">
        <v>534</v>
      </c>
      <c r="B214" s="632" t="s">
        <v>536</v>
      </c>
      <c r="C214" s="633" t="s">
        <v>552</v>
      </c>
      <c r="D214" s="634" t="s">
        <v>553</v>
      </c>
      <c r="E214" s="633" t="s">
        <v>537</v>
      </c>
      <c r="F214" s="634" t="s">
        <v>538</v>
      </c>
      <c r="G214" s="633" t="s">
        <v>562</v>
      </c>
      <c r="H214" s="633" t="s">
        <v>1297</v>
      </c>
      <c r="I214" s="633" t="s">
        <v>246</v>
      </c>
      <c r="J214" s="633" t="s">
        <v>1298</v>
      </c>
      <c r="K214" s="633"/>
      <c r="L214" s="635">
        <v>59.900000000000013</v>
      </c>
      <c r="M214" s="635">
        <v>4</v>
      </c>
      <c r="N214" s="636">
        <v>239.60000000000005</v>
      </c>
    </row>
    <row r="215" spans="1:14" ht="14.4" customHeight="1" x14ac:dyDescent="0.3">
      <c r="A215" s="631" t="s">
        <v>534</v>
      </c>
      <c r="B215" s="632" t="s">
        <v>536</v>
      </c>
      <c r="C215" s="633" t="s">
        <v>552</v>
      </c>
      <c r="D215" s="634" t="s">
        <v>553</v>
      </c>
      <c r="E215" s="633" t="s">
        <v>537</v>
      </c>
      <c r="F215" s="634" t="s">
        <v>538</v>
      </c>
      <c r="G215" s="633" t="s">
        <v>1039</v>
      </c>
      <c r="H215" s="633" t="s">
        <v>1068</v>
      </c>
      <c r="I215" s="633" t="s">
        <v>1069</v>
      </c>
      <c r="J215" s="633" t="s">
        <v>1070</v>
      </c>
      <c r="K215" s="633" t="s">
        <v>1071</v>
      </c>
      <c r="L215" s="635">
        <v>144.529999702655</v>
      </c>
      <c r="M215" s="635">
        <v>2</v>
      </c>
      <c r="N215" s="636">
        <v>289.05999940531001</v>
      </c>
    </row>
    <row r="216" spans="1:14" ht="14.4" customHeight="1" x14ac:dyDescent="0.3">
      <c r="A216" s="631" t="s">
        <v>534</v>
      </c>
      <c r="B216" s="632" t="s">
        <v>536</v>
      </c>
      <c r="C216" s="633" t="s">
        <v>554</v>
      </c>
      <c r="D216" s="634" t="s">
        <v>555</v>
      </c>
      <c r="E216" s="633" t="s">
        <v>537</v>
      </c>
      <c r="F216" s="634" t="s">
        <v>538</v>
      </c>
      <c r="G216" s="633"/>
      <c r="H216" s="633" t="s">
        <v>1299</v>
      </c>
      <c r="I216" s="633" t="s">
        <v>1300</v>
      </c>
      <c r="J216" s="633" t="s">
        <v>1301</v>
      </c>
      <c r="K216" s="633" t="s">
        <v>1302</v>
      </c>
      <c r="L216" s="635">
        <v>260.73</v>
      </c>
      <c r="M216" s="635">
        <v>40</v>
      </c>
      <c r="N216" s="636">
        <v>10429.200000000001</v>
      </c>
    </row>
    <row r="217" spans="1:14" ht="14.4" customHeight="1" x14ac:dyDescent="0.3">
      <c r="A217" s="631" t="s">
        <v>534</v>
      </c>
      <c r="B217" s="632" t="s">
        <v>536</v>
      </c>
      <c r="C217" s="633" t="s">
        <v>554</v>
      </c>
      <c r="D217" s="634" t="s">
        <v>555</v>
      </c>
      <c r="E217" s="633" t="s">
        <v>537</v>
      </c>
      <c r="F217" s="634" t="s">
        <v>538</v>
      </c>
      <c r="G217" s="633" t="s">
        <v>562</v>
      </c>
      <c r="H217" s="633" t="s">
        <v>563</v>
      </c>
      <c r="I217" s="633" t="s">
        <v>563</v>
      </c>
      <c r="J217" s="633" t="s">
        <v>564</v>
      </c>
      <c r="K217" s="633" t="s">
        <v>565</v>
      </c>
      <c r="L217" s="635">
        <v>179.39999999999998</v>
      </c>
      <c r="M217" s="635">
        <v>18</v>
      </c>
      <c r="N217" s="636">
        <v>3229.2</v>
      </c>
    </row>
    <row r="218" spans="1:14" ht="14.4" customHeight="1" x14ac:dyDescent="0.3">
      <c r="A218" s="631" t="s">
        <v>534</v>
      </c>
      <c r="B218" s="632" t="s">
        <v>536</v>
      </c>
      <c r="C218" s="633" t="s">
        <v>554</v>
      </c>
      <c r="D218" s="634" t="s">
        <v>555</v>
      </c>
      <c r="E218" s="633" t="s">
        <v>537</v>
      </c>
      <c r="F218" s="634" t="s">
        <v>538</v>
      </c>
      <c r="G218" s="633" t="s">
        <v>562</v>
      </c>
      <c r="H218" s="633" t="s">
        <v>566</v>
      </c>
      <c r="I218" s="633" t="s">
        <v>566</v>
      </c>
      <c r="J218" s="633" t="s">
        <v>567</v>
      </c>
      <c r="K218" s="633" t="s">
        <v>568</v>
      </c>
      <c r="L218" s="635">
        <v>181.59</v>
      </c>
      <c r="M218" s="635">
        <v>12</v>
      </c>
      <c r="N218" s="636">
        <v>2179.08</v>
      </c>
    </row>
    <row r="219" spans="1:14" ht="14.4" customHeight="1" x14ac:dyDescent="0.3">
      <c r="A219" s="631" t="s">
        <v>534</v>
      </c>
      <c r="B219" s="632" t="s">
        <v>536</v>
      </c>
      <c r="C219" s="633" t="s">
        <v>554</v>
      </c>
      <c r="D219" s="634" t="s">
        <v>555</v>
      </c>
      <c r="E219" s="633" t="s">
        <v>537</v>
      </c>
      <c r="F219" s="634" t="s">
        <v>538</v>
      </c>
      <c r="G219" s="633" t="s">
        <v>562</v>
      </c>
      <c r="H219" s="633" t="s">
        <v>1303</v>
      </c>
      <c r="I219" s="633" t="s">
        <v>1303</v>
      </c>
      <c r="J219" s="633" t="s">
        <v>570</v>
      </c>
      <c r="K219" s="633" t="s">
        <v>568</v>
      </c>
      <c r="L219" s="635">
        <v>149.5</v>
      </c>
      <c r="M219" s="635">
        <v>7</v>
      </c>
      <c r="N219" s="636">
        <v>1046.5</v>
      </c>
    </row>
    <row r="220" spans="1:14" ht="14.4" customHeight="1" x14ac:dyDescent="0.3">
      <c r="A220" s="631" t="s">
        <v>534</v>
      </c>
      <c r="B220" s="632" t="s">
        <v>536</v>
      </c>
      <c r="C220" s="633" t="s">
        <v>554</v>
      </c>
      <c r="D220" s="634" t="s">
        <v>555</v>
      </c>
      <c r="E220" s="633" t="s">
        <v>537</v>
      </c>
      <c r="F220" s="634" t="s">
        <v>538</v>
      </c>
      <c r="G220" s="633" t="s">
        <v>562</v>
      </c>
      <c r="H220" s="633" t="s">
        <v>569</v>
      </c>
      <c r="I220" s="633" t="s">
        <v>569</v>
      </c>
      <c r="J220" s="633" t="s">
        <v>570</v>
      </c>
      <c r="K220" s="633" t="s">
        <v>571</v>
      </c>
      <c r="L220" s="635">
        <v>232.3</v>
      </c>
      <c r="M220" s="635">
        <v>5</v>
      </c>
      <c r="N220" s="636">
        <v>1161.5</v>
      </c>
    </row>
    <row r="221" spans="1:14" ht="14.4" customHeight="1" x14ac:dyDescent="0.3">
      <c r="A221" s="631" t="s">
        <v>534</v>
      </c>
      <c r="B221" s="632" t="s">
        <v>536</v>
      </c>
      <c r="C221" s="633" t="s">
        <v>554</v>
      </c>
      <c r="D221" s="634" t="s">
        <v>555</v>
      </c>
      <c r="E221" s="633" t="s">
        <v>537</v>
      </c>
      <c r="F221" s="634" t="s">
        <v>538</v>
      </c>
      <c r="G221" s="633" t="s">
        <v>562</v>
      </c>
      <c r="H221" s="633" t="s">
        <v>572</v>
      </c>
      <c r="I221" s="633" t="s">
        <v>572</v>
      </c>
      <c r="J221" s="633" t="s">
        <v>564</v>
      </c>
      <c r="K221" s="633" t="s">
        <v>573</v>
      </c>
      <c r="L221" s="635">
        <v>97.17979260618867</v>
      </c>
      <c r="M221" s="635">
        <v>38</v>
      </c>
      <c r="N221" s="636">
        <v>3692.8321190351694</v>
      </c>
    </row>
    <row r="222" spans="1:14" ht="14.4" customHeight="1" x14ac:dyDescent="0.3">
      <c r="A222" s="631" t="s">
        <v>534</v>
      </c>
      <c r="B222" s="632" t="s">
        <v>536</v>
      </c>
      <c r="C222" s="633" t="s">
        <v>554</v>
      </c>
      <c r="D222" s="634" t="s">
        <v>555</v>
      </c>
      <c r="E222" s="633" t="s">
        <v>537</v>
      </c>
      <c r="F222" s="634" t="s">
        <v>538</v>
      </c>
      <c r="G222" s="633" t="s">
        <v>562</v>
      </c>
      <c r="H222" s="633" t="s">
        <v>574</v>
      </c>
      <c r="I222" s="633" t="s">
        <v>574</v>
      </c>
      <c r="J222" s="633" t="s">
        <v>564</v>
      </c>
      <c r="K222" s="633" t="s">
        <v>575</v>
      </c>
      <c r="L222" s="635">
        <v>97.75</v>
      </c>
      <c r="M222" s="635">
        <v>2</v>
      </c>
      <c r="N222" s="636">
        <v>195.5</v>
      </c>
    </row>
    <row r="223" spans="1:14" ht="14.4" customHeight="1" x14ac:dyDescent="0.3">
      <c r="A223" s="631" t="s">
        <v>534</v>
      </c>
      <c r="B223" s="632" t="s">
        <v>536</v>
      </c>
      <c r="C223" s="633" t="s">
        <v>554</v>
      </c>
      <c r="D223" s="634" t="s">
        <v>555</v>
      </c>
      <c r="E223" s="633" t="s">
        <v>537</v>
      </c>
      <c r="F223" s="634" t="s">
        <v>538</v>
      </c>
      <c r="G223" s="633" t="s">
        <v>562</v>
      </c>
      <c r="H223" s="633" t="s">
        <v>576</v>
      </c>
      <c r="I223" s="633" t="s">
        <v>577</v>
      </c>
      <c r="J223" s="633" t="s">
        <v>578</v>
      </c>
      <c r="K223" s="633" t="s">
        <v>579</v>
      </c>
      <c r="L223" s="635">
        <v>84.569999999999951</v>
      </c>
      <c r="M223" s="635">
        <v>5</v>
      </c>
      <c r="N223" s="636">
        <v>422.84999999999974</v>
      </c>
    </row>
    <row r="224" spans="1:14" ht="14.4" customHeight="1" x14ac:dyDescent="0.3">
      <c r="A224" s="631" t="s">
        <v>534</v>
      </c>
      <c r="B224" s="632" t="s">
        <v>536</v>
      </c>
      <c r="C224" s="633" t="s">
        <v>554</v>
      </c>
      <c r="D224" s="634" t="s">
        <v>555</v>
      </c>
      <c r="E224" s="633" t="s">
        <v>537</v>
      </c>
      <c r="F224" s="634" t="s">
        <v>538</v>
      </c>
      <c r="G224" s="633" t="s">
        <v>562</v>
      </c>
      <c r="H224" s="633" t="s">
        <v>580</v>
      </c>
      <c r="I224" s="633" t="s">
        <v>581</v>
      </c>
      <c r="J224" s="633" t="s">
        <v>582</v>
      </c>
      <c r="K224" s="633" t="s">
        <v>583</v>
      </c>
      <c r="L224" s="635">
        <v>99.606821755384246</v>
      </c>
      <c r="M224" s="635">
        <v>60</v>
      </c>
      <c r="N224" s="636">
        <v>5976.4093053230545</v>
      </c>
    </row>
    <row r="225" spans="1:14" ht="14.4" customHeight="1" x14ac:dyDescent="0.3">
      <c r="A225" s="631" t="s">
        <v>534</v>
      </c>
      <c r="B225" s="632" t="s">
        <v>536</v>
      </c>
      <c r="C225" s="633" t="s">
        <v>554</v>
      </c>
      <c r="D225" s="634" t="s">
        <v>555</v>
      </c>
      <c r="E225" s="633" t="s">
        <v>537</v>
      </c>
      <c r="F225" s="634" t="s">
        <v>538</v>
      </c>
      <c r="G225" s="633" t="s">
        <v>562</v>
      </c>
      <c r="H225" s="633" t="s">
        <v>588</v>
      </c>
      <c r="I225" s="633" t="s">
        <v>589</v>
      </c>
      <c r="J225" s="633" t="s">
        <v>590</v>
      </c>
      <c r="K225" s="633" t="s">
        <v>591</v>
      </c>
      <c r="L225" s="635">
        <v>63.191111111111113</v>
      </c>
      <c r="M225" s="635">
        <v>9</v>
      </c>
      <c r="N225" s="636">
        <v>568.72</v>
      </c>
    </row>
    <row r="226" spans="1:14" ht="14.4" customHeight="1" x14ac:dyDescent="0.3">
      <c r="A226" s="631" t="s">
        <v>534</v>
      </c>
      <c r="B226" s="632" t="s">
        <v>536</v>
      </c>
      <c r="C226" s="633" t="s">
        <v>554</v>
      </c>
      <c r="D226" s="634" t="s">
        <v>555</v>
      </c>
      <c r="E226" s="633" t="s">
        <v>537</v>
      </c>
      <c r="F226" s="634" t="s">
        <v>538</v>
      </c>
      <c r="G226" s="633" t="s">
        <v>562</v>
      </c>
      <c r="H226" s="633" t="s">
        <v>592</v>
      </c>
      <c r="I226" s="633" t="s">
        <v>593</v>
      </c>
      <c r="J226" s="633" t="s">
        <v>594</v>
      </c>
      <c r="K226" s="633" t="s">
        <v>595</v>
      </c>
      <c r="L226" s="635">
        <v>59.344000000000008</v>
      </c>
      <c r="M226" s="635">
        <v>5</v>
      </c>
      <c r="N226" s="636">
        <v>296.72000000000003</v>
      </c>
    </row>
    <row r="227" spans="1:14" ht="14.4" customHeight="1" x14ac:dyDescent="0.3">
      <c r="A227" s="631" t="s">
        <v>534</v>
      </c>
      <c r="B227" s="632" t="s">
        <v>536</v>
      </c>
      <c r="C227" s="633" t="s">
        <v>554</v>
      </c>
      <c r="D227" s="634" t="s">
        <v>555</v>
      </c>
      <c r="E227" s="633" t="s">
        <v>537</v>
      </c>
      <c r="F227" s="634" t="s">
        <v>538</v>
      </c>
      <c r="G227" s="633" t="s">
        <v>562</v>
      </c>
      <c r="H227" s="633" t="s">
        <v>596</v>
      </c>
      <c r="I227" s="633" t="s">
        <v>597</v>
      </c>
      <c r="J227" s="633" t="s">
        <v>598</v>
      </c>
      <c r="K227" s="633" t="s">
        <v>599</v>
      </c>
      <c r="L227" s="635">
        <v>55.797457010446969</v>
      </c>
      <c r="M227" s="635">
        <v>12</v>
      </c>
      <c r="N227" s="636">
        <v>669.5694841253636</v>
      </c>
    </row>
    <row r="228" spans="1:14" ht="14.4" customHeight="1" x14ac:dyDescent="0.3">
      <c r="A228" s="631" t="s">
        <v>534</v>
      </c>
      <c r="B228" s="632" t="s">
        <v>536</v>
      </c>
      <c r="C228" s="633" t="s">
        <v>554</v>
      </c>
      <c r="D228" s="634" t="s">
        <v>555</v>
      </c>
      <c r="E228" s="633" t="s">
        <v>537</v>
      </c>
      <c r="F228" s="634" t="s">
        <v>538</v>
      </c>
      <c r="G228" s="633" t="s">
        <v>562</v>
      </c>
      <c r="H228" s="633" t="s">
        <v>600</v>
      </c>
      <c r="I228" s="633" t="s">
        <v>601</v>
      </c>
      <c r="J228" s="633" t="s">
        <v>602</v>
      </c>
      <c r="K228" s="633" t="s">
        <v>603</v>
      </c>
      <c r="L228" s="635">
        <v>84.890105091795931</v>
      </c>
      <c r="M228" s="635">
        <v>8</v>
      </c>
      <c r="N228" s="636">
        <v>679.12084073436745</v>
      </c>
    </row>
    <row r="229" spans="1:14" ht="14.4" customHeight="1" x14ac:dyDescent="0.3">
      <c r="A229" s="631" t="s">
        <v>534</v>
      </c>
      <c r="B229" s="632" t="s">
        <v>536</v>
      </c>
      <c r="C229" s="633" t="s">
        <v>554</v>
      </c>
      <c r="D229" s="634" t="s">
        <v>555</v>
      </c>
      <c r="E229" s="633" t="s">
        <v>537</v>
      </c>
      <c r="F229" s="634" t="s">
        <v>538</v>
      </c>
      <c r="G229" s="633" t="s">
        <v>562</v>
      </c>
      <c r="H229" s="633" t="s">
        <v>604</v>
      </c>
      <c r="I229" s="633" t="s">
        <v>605</v>
      </c>
      <c r="J229" s="633" t="s">
        <v>606</v>
      </c>
      <c r="K229" s="633" t="s">
        <v>607</v>
      </c>
      <c r="L229" s="635">
        <v>66.65000000000002</v>
      </c>
      <c r="M229" s="635">
        <v>1</v>
      </c>
      <c r="N229" s="636">
        <v>66.65000000000002</v>
      </c>
    </row>
    <row r="230" spans="1:14" ht="14.4" customHeight="1" x14ac:dyDescent="0.3">
      <c r="A230" s="631" t="s">
        <v>534</v>
      </c>
      <c r="B230" s="632" t="s">
        <v>536</v>
      </c>
      <c r="C230" s="633" t="s">
        <v>554</v>
      </c>
      <c r="D230" s="634" t="s">
        <v>555</v>
      </c>
      <c r="E230" s="633" t="s">
        <v>537</v>
      </c>
      <c r="F230" s="634" t="s">
        <v>538</v>
      </c>
      <c r="G230" s="633" t="s">
        <v>562</v>
      </c>
      <c r="H230" s="633" t="s">
        <v>608</v>
      </c>
      <c r="I230" s="633" t="s">
        <v>609</v>
      </c>
      <c r="J230" s="633" t="s">
        <v>610</v>
      </c>
      <c r="K230" s="633" t="s">
        <v>611</v>
      </c>
      <c r="L230" s="635">
        <v>27.607188162148478</v>
      </c>
      <c r="M230" s="635">
        <v>145</v>
      </c>
      <c r="N230" s="636">
        <v>4003.0422835115296</v>
      </c>
    </row>
    <row r="231" spans="1:14" ht="14.4" customHeight="1" x14ac:dyDescent="0.3">
      <c r="A231" s="631" t="s">
        <v>534</v>
      </c>
      <c r="B231" s="632" t="s">
        <v>536</v>
      </c>
      <c r="C231" s="633" t="s">
        <v>554</v>
      </c>
      <c r="D231" s="634" t="s">
        <v>555</v>
      </c>
      <c r="E231" s="633" t="s">
        <v>537</v>
      </c>
      <c r="F231" s="634" t="s">
        <v>538</v>
      </c>
      <c r="G231" s="633" t="s">
        <v>562</v>
      </c>
      <c r="H231" s="633" t="s">
        <v>620</v>
      </c>
      <c r="I231" s="633" t="s">
        <v>621</v>
      </c>
      <c r="J231" s="633" t="s">
        <v>622</v>
      </c>
      <c r="K231" s="633" t="s">
        <v>623</v>
      </c>
      <c r="L231" s="635">
        <v>176.31</v>
      </c>
      <c r="M231" s="635">
        <v>1</v>
      </c>
      <c r="N231" s="636">
        <v>176.31</v>
      </c>
    </row>
    <row r="232" spans="1:14" ht="14.4" customHeight="1" x14ac:dyDescent="0.3">
      <c r="A232" s="631" t="s">
        <v>534</v>
      </c>
      <c r="B232" s="632" t="s">
        <v>536</v>
      </c>
      <c r="C232" s="633" t="s">
        <v>554</v>
      </c>
      <c r="D232" s="634" t="s">
        <v>555</v>
      </c>
      <c r="E232" s="633" t="s">
        <v>537</v>
      </c>
      <c r="F232" s="634" t="s">
        <v>538</v>
      </c>
      <c r="G232" s="633" t="s">
        <v>562</v>
      </c>
      <c r="H232" s="633" t="s">
        <v>628</v>
      </c>
      <c r="I232" s="633" t="s">
        <v>629</v>
      </c>
      <c r="J232" s="633" t="s">
        <v>630</v>
      </c>
      <c r="K232" s="633" t="s">
        <v>599</v>
      </c>
      <c r="L232" s="635">
        <v>67.438236689322707</v>
      </c>
      <c r="M232" s="635">
        <v>12</v>
      </c>
      <c r="N232" s="636">
        <v>809.25884027187249</v>
      </c>
    </row>
    <row r="233" spans="1:14" ht="14.4" customHeight="1" x14ac:dyDescent="0.3">
      <c r="A233" s="631" t="s">
        <v>534</v>
      </c>
      <c r="B233" s="632" t="s">
        <v>536</v>
      </c>
      <c r="C233" s="633" t="s">
        <v>554</v>
      </c>
      <c r="D233" s="634" t="s">
        <v>555</v>
      </c>
      <c r="E233" s="633" t="s">
        <v>537</v>
      </c>
      <c r="F233" s="634" t="s">
        <v>538</v>
      </c>
      <c r="G233" s="633" t="s">
        <v>562</v>
      </c>
      <c r="H233" s="633" t="s">
        <v>631</v>
      </c>
      <c r="I233" s="633" t="s">
        <v>632</v>
      </c>
      <c r="J233" s="633" t="s">
        <v>633</v>
      </c>
      <c r="K233" s="633" t="s">
        <v>634</v>
      </c>
      <c r="L233" s="635">
        <v>59.32</v>
      </c>
      <c r="M233" s="635">
        <v>2</v>
      </c>
      <c r="N233" s="636">
        <v>118.64</v>
      </c>
    </row>
    <row r="234" spans="1:14" ht="14.4" customHeight="1" x14ac:dyDescent="0.3">
      <c r="A234" s="631" t="s">
        <v>534</v>
      </c>
      <c r="B234" s="632" t="s">
        <v>536</v>
      </c>
      <c r="C234" s="633" t="s">
        <v>554</v>
      </c>
      <c r="D234" s="634" t="s">
        <v>555</v>
      </c>
      <c r="E234" s="633" t="s">
        <v>537</v>
      </c>
      <c r="F234" s="634" t="s">
        <v>538</v>
      </c>
      <c r="G234" s="633" t="s">
        <v>562</v>
      </c>
      <c r="H234" s="633" t="s">
        <v>635</v>
      </c>
      <c r="I234" s="633" t="s">
        <v>636</v>
      </c>
      <c r="J234" s="633" t="s">
        <v>637</v>
      </c>
      <c r="K234" s="633" t="s">
        <v>638</v>
      </c>
      <c r="L234" s="635">
        <v>369.96496833072666</v>
      </c>
      <c r="M234" s="635">
        <v>121</v>
      </c>
      <c r="N234" s="636">
        <v>44765.761168017925</v>
      </c>
    </row>
    <row r="235" spans="1:14" ht="14.4" customHeight="1" x14ac:dyDescent="0.3">
      <c r="A235" s="631" t="s">
        <v>534</v>
      </c>
      <c r="B235" s="632" t="s">
        <v>536</v>
      </c>
      <c r="C235" s="633" t="s">
        <v>554</v>
      </c>
      <c r="D235" s="634" t="s">
        <v>555</v>
      </c>
      <c r="E235" s="633" t="s">
        <v>537</v>
      </c>
      <c r="F235" s="634" t="s">
        <v>538</v>
      </c>
      <c r="G235" s="633" t="s">
        <v>562</v>
      </c>
      <c r="H235" s="633" t="s">
        <v>639</v>
      </c>
      <c r="I235" s="633" t="s">
        <v>640</v>
      </c>
      <c r="J235" s="633" t="s">
        <v>641</v>
      </c>
      <c r="K235" s="633" t="s">
        <v>642</v>
      </c>
      <c r="L235" s="635">
        <v>60.350148400047281</v>
      </c>
      <c r="M235" s="635">
        <v>48</v>
      </c>
      <c r="N235" s="636">
        <v>2896.8071232022694</v>
      </c>
    </row>
    <row r="236" spans="1:14" ht="14.4" customHeight="1" x14ac:dyDescent="0.3">
      <c r="A236" s="631" t="s">
        <v>534</v>
      </c>
      <c r="B236" s="632" t="s">
        <v>536</v>
      </c>
      <c r="C236" s="633" t="s">
        <v>554</v>
      </c>
      <c r="D236" s="634" t="s">
        <v>555</v>
      </c>
      <c r="E236" s="633" t="s">
        <v>537</v>
      </c>
      <c r="F236" s="634" t="s">
        <v>538</v>
      </c>
      <c r="G236" s="633" t="s">
        <v>562</v>
      </c>
      <c r="H236" s="633" t="s">
        <v>1304</v>
      </c>
      <c r="I236" s="633" t="s">
        <v>1305</v>
      </c>
      <c r="J236" s="633" t="s">
        <v>1306</v>
      </c>
      <c r="K236" s="633" t="s">
        <v>1307</v>
      </c>
      <c r="L236" s="635">
        <v>112.13466649897333</v>
      </c>
      <c r="M236" s="635">
        <v>4</v>
      </c>
      <c r="N236" s="636">
        <v>448.53866599589333</v>
      </c>
    </row>
    <row r="237" spans="1:14" ht="14.4" customHeight="1" x14ac:dyDescent="0.3">
      <c r="A237" s="631" t="s">
        <v>534</v>
      </c>
      <c r="B237" s="632" t="s">
        <v>536</v>
      </c>
      <c r="C237" s="633" t="s">
        <v>554</v>
      </c>
      <c r="D237" s="634" t="s">
        <v>555</v>
      </c>
      <c r="E237" s="633" t="s">
        <v>537</v>
      </c>
      <c r="F237" s="634" t="s">
        <v>538</v>
      </c>
      <c r="G237" s="633" t="s">
        <v>562</v>
      </c>
      <c r="H237" s="633" t="s">
        <v>651</v>
      </c>
      <c r="I237" s="633" t="s">
        <v>652</v>
      </c>
      <c r="J237" s="633" t="s">
        <v>653</v>
      </c>
      <c r="K237" s="633" t="s">
        <v>654</v>
      </c>
      <c r="L237" s="635">
        <v>151.13783521940499</v>
      </c>
      <c r="M237" s="635">
        <v>1</v>
      </c>
      <c r="N237" s="636">
        <v>151.13783521940499</v>
      </c>
    </row>
    <row r="238" spans="1:14" ht="14.4" customHeight="1" x14ac:dyDescent="0.3">
      <c r="A238" s="631" t="s">
        <v>534</v>
      </c>
      <c r="B238" s="632" t="s">
        <v>536</v>
      </c>
      <c r="C238" s="633" t="s">
        <v>554</v>
      </c>
      <c r="D238" s="634" t="s">
        <v>555</v>
      </c>
      <c r="E238" s="633" t="s">
        <v>537</v>
      </c>
      <c r="F238" s="634" t="s">
        <v>538</v>
      </c>
      <c r="G238" s="633" t="s">
        <v>562</v>
      </c>
      <c r="H238" s="633" t="s">
        <v>663</v>
      </c>
      <c r="I238" s="633" t="s">
        <v>663</v>
      </c>
      <c r="J238" s="633" t="s">
        <v>664</v>
      </c>
      <c r="K238" s="633" t="s">
        <v>665</v>
      </c>
      <c r="L238" s="635">
        <v>38.207347472131076</v>
      </c>
      <c r="M238" s="635">
        <v>46</v>
      </c>
      <c r="N238" s="636">
        <v>1757.5379837180294</v>
      </c>
    </row>
    <row r="239" spans="1:14" ht="14.4" customHeight="1" x14ac:dyDescent="0.3">
      <c r="A239" s="631" t="s">
        <v>534</v>
      </c>
      <c r="B239" s="632" t="s">
        <v>536</v>
      </c>
      <c r="C239" s="633" t="s">
        <v>554</v>
      </c>
      <c r="D239" s="634" t="s">
        <v>555</v>
      </c>
      <c r="E239" s="633" t="s">
        <v>537</v>
      </c>
      <c r="F239" s="634" t="s">
        <v>538</v>
      </c>
      <c r="G239" s="633" t="s">
        <v>562</v>
      </c>
      <c r="H239" s="633" t="s">
        <v>666</v>
      </c>
      <c r="I239" s="633" t="s">
        <v>667</v>
      </c>
      <c r="J239" s="633" t="s">
        <v>668</v>
      </c>
      <c r="K239" s="633" t="s">
        <v>669</v>
      </c>
      <c r="L239" s="635">
        <v>238.17499999999998</v>
      </c>
      <c r="M239" s="635">
        <v>4</v>
      </c>
      <c r="N239" s="636">
        <v>952.69999999999993</v>
      </c>
    </row>
    <row r="240" spans="1:14" ht="14.4" customHeight="1" x14ac:dyDescent="0.3">
      <c r="A240" s="631" t="s">
        <v>534</v>
      </c>
      <c r="B240" s="632" t="s">
        <v>536</v>
      </c>
      <c r="C240" s="633" t="s">
        <v>554</v>
      </c>
      <c r="D240" s="634" t="s">
        <v>555</v>
      </c>
      <c r="E240" s="633" t="s">
        <v>537</v>
      </c>
      <c r="F240" s="634" t="s">
        <v>538</v>
      </c>
      <c r="G240" s="633" t="s">
        <v>562</v>
      </c>
      <c r="H240" s="633" t="s">
        <v>1308</v>
      </c>
      <c r="I240" s="633" t="s">
        <v>1309</v>
      </c>
      <c r="J240" s="633" t="s">
        <v>1310</v>
      </c>
      <c r="K240" s="633" t="s">
        <v>1311</v>
      </c>
      <c r="L240" s="635">
        <v>53.84</v>
      </c>
      <c r="M240" s="635">
        <v>1</v>
      </c>
      <c r="N240" s="636">
        <v>53.84</v>
      </c>
    </row>
    <row r="241" spans="1:14" ht="14.4" customHeight="1" x14ac:dyDescent="0.3">
      <c r="A241" s="631" t="s">
        <v>534</v>
      </c>
      <c r="B241" s="632" t="s">
        <v>536</v>
      </c>
      <c r="C241" s="633" t="s">
        <v>554</v>
      </c>
      <c r="D241" s="634" t="s">
        <v>555</v>
      </c>
      <c r="E241" s="633" t="s">
        <v>537</v>
      </c>
      <c r="F241" s="634" t="s">
        <v>538</v>
      </c>
      <c r="G241" s="633" t="s">
        <v>562</v>
      </c>
      <c r="H241" s="633" t="s">
        <v>690</v>
      </c>
      <c r="I241" s="633" t="s">
        <v>691</v>
      </c>
      <c r="J241" s="633" t="s">
        <v>692</v>
      </c>
      <c r="K241" s="633" t="s">
        <v>693</v>
      </c>
      <c r="L241" s="635">
        <v>340.6781316966983</v>
      </c>
      <c r="M241" s="635">
        <v>17</v>
      </c>
      <c r="N241" s="636">
        <v>5791.5282388438709</v>
      </c>
    </row>
    <row r="242" spans="1:14" ht="14.4" customHeight="1" x14ac:dyDescent="0.3">
      <c r="A242" s="631" t="s">
        <v>534</v>
      </c>
      <c r="B242" s="632" t="s">
        <v>536</v>
      </c>
      <c r="C242" s="633" t="s">
        <v>554</v>
      </c>
      <c r="D242" s="634" t="s">
        <v>555</v>
      </c>
      <c r="E242" s="633" t="s">
        <v>537</v>
      </c>
      <c r="F242" s="634" t="s">
        <v>538</v>
      </c>
      <c r="G242" s="633" t="s">
        <v>562</v>
      </c>
      <c r="H242" s="633" t="s">
        <v>701</v>
      </c>
      <c r="I242" s="633" t="s">
        <v>702</v>
      </c>
      <c r="J242" s="633" t="s">
        <v>703</v>
      </c>
      <c r="K242" s="633" t="s">
        <v>704</v>
      </c>
      <c r="L242" s="635">
        <v>87.11597807187519</v>
      </c>
      <c r="M242" s="635">
        <v>3</v>
      </c>
      <c r="N242" s="636">
        <v>261.34793421562557</v>
      </c>
    </row>
    <row r="243" spans="1:14" ht="14.4" customHeight="1" x14ac:dyDescent="0.3">
      <c r="A243" s="631" t="s">
        <v>534</v>
      </c>
      <c r="B243" s="632" t="s">
        <v>536</v>
      </c>
      <c r="C243" s="633" t="s">
        <v>554</v>
      </c>
      <c r="D243" s="634" t="s">
        <v>555</v>
      </c>
      <c r="E243" s="633" t="s">
        <v>537</v>
      </c>
      <c r="F243" s="634" t="s">
        <v>538</v>
      </c>
      <c r="G243" s="633" t="s">
        <v>562</v>
      </c>
      <c r="H243" s="633" t="s">
        <v>705</v>
      </c>
      <c r="I243" s="633" t="s">
        <v>706</v>
      </c>
      <c r="J243" s="633" t="s">
        <v>641</v>
      </c>
      <c r="K243" s="633" t="s">
        <v>707</v>
      </c>
      <c r="L243" s="635">
        <v>22.480299322375501</v>
      </c>
      <c r="M243" s="635">
        <v>1</v>
      </c>
      <c r="N243" s="636">
        <v>22.480299322375501</v>
      </c>
    </row>
    <row r="244" spans="1:14" ht="14.4" customHeight="1" x14ac:dyDescent="0.3">
      <c r="A244" s="631" t="s">
        <v>534</v>
      </c>
      <c r="B244" s="632" t="s">
        <v>536</v>
      </c>
      <c r="C244" s="633" t="s">
        <v>554</v>
      </c>
      <c r="D244" s="634" t="s">
        <v>555</v>
      </c>
      <c r="E244" s="633" t="s">
        <v>537</v>
      </c>
      <c r="F244" s="634" t="s">
        <v>538</v>
      </c>
      <c r="G244" s="633" t="s">
        <v>562</v>
      </c>
      <c r="H244" s="633" t="s">
        <v>708</v>
      </c>
      <c r="I244" s="633" t="s">
        <v>709</v>
      </c>
      <c r="J244" s="633" t="s">
        <v>710</v>
      </c>
      <c r="K244" s="633" t="s">
        <v>711</v>
      </c>
      <c r="L244" s="635">
        <v>77.074999999999989</v>
      </c>
      <c r="M244" s="635">
        <v>2</v>
      </c>
      <c r="N244" s="636">
        <v>154.14999999999998</v>
      </c>
    </row>
    <row r="245" spans="1:14" ht="14.4" customHeight="1" x14ac:dyDescent="0.3">
      <c r="A245" s="631" t="s">
        <v>534</v>
      </c>
      <c r="B245" s="632" t="s">
        <v>536</v>
      </c>
      <c r="C245" s="633" t="s">
        <v>554</v>
      </c>
      <c r="D245" s="634" t="s">
        <v>555</v>
      </c>
      <c r="E245" s="633" t="s">
        <v>537</v>
      </c>
      <c r="F245" s="634" t="s">
        <v>538</v>
      </c>
      <c r="G245" s="633" t="s">
        <v>562</v>
      </c>
      <c r="H245" s="633" t="s">
        <v>712</v>
      </c>
      <c r="I245" s="633" t="s">
        <v>713</v>
      </c>
      <c r="J245" s="633" t="s">
        <v>714</v>
      </c>
      <c r="K245" s="633" t="s">
        <v>715</v>
      </c>
      <c r="L245" s="635">
        <v>157.93961285757135</v>
      </c>
      <c r="M245" s="635">
        <v>3</v>
      </c>
      <c r="N245" s="636">
        <v>473.81883857271407</v>
      </c>
    </row>
    <row r="246" spans="1:14" ht="14.4" customHeight="1" x14ac:dyDescent="0.3">
      <c r="A246" s="631" t="s">
        <v>534</v>
      </c>
      <c r="B246" s="632" t="s">
        <v>536</v>
      </c>
      <c r="C246" s="633" t="s">
        <v>554</v>
      </c>
      <c r="D246" s="634" t="s">
        <v>555</v>
      </c>
      <c r="E246" s="633" t="s">
        <v>537</v>
      </c>
      <c r="F246" s="634" t="s">
        <v>538</v>
      </c>
      <c r="G246" s="633" t="s">
        <v>562</v>
      </c>
      <c r="H246" s="633" t="s">
        <v>724</v>
      </c>
      <c r="I246" s="633" t="s">
        <v>725</v>
      </c>
      <c r="J246" s="633" t="s">
        <v>726</v>
      </c>
      <c r="K246" s="633" t="s">
        <v>727</v>
      </c>
      <c r="L246" s="635">
        <v>193.8</v>
      </c>
      <c r="M246" s="635">
        <v>1</v>
      </c>
      <c r="N246" s="636">
        <v>193.8</v>
      </c>
    </row>
    <row r="247" spans="1:14" ht="14.4" customHeight="1" x14ac:dyDescent="0.3">
      <c r="A247" s="631" t="s">
        <v>534</v>
      </c>
      <c r="B247" s="632" t="s">
        <v>536</v>
      </c>
      <c r="C247" s="633" t="s">
        <v>554</v>
      </c>
      <c r="D247" s="634" t="s">
        <v>555</v>
      </c>
      <c r="E247" s="633" t="s">
        <v>537</v>
      </c>
      <c r="F247" s="634" t="s">
        <v>538</v>
      </c>
      <c r="G247" s="633" t="s">
        <v>562</v>
      </c>
      <c r="H247" s="633" t="s">
        <v>736</v>
      </c>
      <c r="I247" s="633" t="s">
        <v>737</v>
      </c>
      <c r="J247" s="633" t="s">
        <v>738</v>
      </c>
      <c r="K247" s="633" t="s">
        <v>739</v>
      </c>
      <c r="L247" s="635">
        <v>376.74946668336605</v>
      </c>
      <c r="M247" s="635">
        <v>6</v>
      </c>
      <c r="N247" s="636">
        <v>2260.4968001001962</v>
      </c>
    </row>
    <row r="248" spans="1:14" ht="14.4" customHeight="1" x14ac:dyDescent="0.3">
      <c r="A248" s="631" t="s">
        <v>534</v>
      </c>
      <c r="B248" s="632" t="s">
        <v>536</v>
      </c>
      <c r="C248" s="633" t="s">
        <v>554</v>
      </c>
      <c r="D248" s="634" t="s">
        <v>555</v>
      </c>
      <c r="E248" s="633" t="s">
        <v>537</v>
      </c>
      <c r="F248" s="634" t="s">
        <v>538</v>
      </c>
      <c r="G248" s="633" t="s">
        <v>562</v>
      </c>
      <c r="H248" s="633" t="s">
        <v>1312</v>
      </c>
      <c r="I248" s="633" t="s">
        <v>1313</v>
      </c>
      <c r="J248" s="633" t="s">
        <v>1314</v>
      </c>
      <c r="K248" s="633" t="s">
        <v>1315</v>
      </c>
      <c r="L248" s="635">
        <v>105.59999999999994</v>
      </c>
      <c r="M248" s="635">
        <v>4</v>
      </c>
      <c r="N248" s="636">
        <v>422.39999999999975</v>
      </c>
    </row>
    <row r="249" spans="1:14" ht="14.4" customHeight="1" x14ac:dyDescent="0.3">
      <c r="A249" s="631" t="s">
        <v>534</v>
      </c>
      <c r="B249" s="632" t="s">
        <v>536</v>
      </c>
      <c r="C249" s="633" t="s">
        <v>554</v>
      </c>
      <c r="D249" s="634" t="s">
        <v>555</v>
      </c>
      <c r="E249" s="633" t="s">
        <v>537</v>
      </c>
      <c r="F249" s="634" t="s">
        <v>538</v>
      </c>
      <c r="G249" s="633" t="s">
        <v>562</v>
      </c>
      <c r="H249" s="633" t="s">
        <v>1316</v>
      </c>
      <c r="I249" s="633" t="s">
        <v>1317</v>
      </c>
      <c r="J249" s="633" t="s">
        <v>1318</v>
      </c>
      <c r="K249" s="633" t="s">
        <v>1319</v>
      </c>
      <c r="L249" s="635">
        <v>169.64016735531101</v>
      </c>
      <c r="M249" s="635">
        <v>1</v>
      </c>
      <c r="N249" s="636">
        <v>169.64016735531101</v>
      </c>
    </row>
    <row r="250" spans="1:14" ht="14.4" customHeight="1" x14ac:dyDescent="0.3">
      <c r="A250" s="631" t="s">
        <v>534</v>
      </c>
      <c r="B250" s="632" t="s">
        <v>536</v>
      </c>
      <c r="C250" s="633" t="s">
        <v>554</v>
      </c>
      <c r="D250" s="634" t="s">
        <v>555</v>
      </c>
      <c r="E250" s="633" t="s">
        <v>537</v>
      </c>
      <c r="F250" s="634" t="s">
        <v>538</v>
      </c>
      <c r="G250" s="633" t="s">
        <v>562</v>
      </c>
      <c r="H250" s="633" t="s">
        <v>1320</v>
      </c>
      <c r="I250" s="633" t="s">
        <v>1321</v>
      </c>
      <c r="J250" s="633" t="s">
        <v>750</v>
      </c>
      <c r="K250" s="633" t="s">
        <v>1322</v>
      </c>
      <c r="L250" s="635">
        <v>121.22999999999996</v>
      </c>
      <c r="M250" s="635">
        <v>1</v>
      </c>
      <c r="N250" s="636">
        <v>121.22999999999996</v>
      </c>
    </row>
    <row r="251" spans="1:14" ht="14.4" customHeight="1" x14ac:dyDescent="0.3">
      <c r="A251" s="631" t="s">
        <v>534</v>
      </c>
      <c r="B251" s="632" t="s">
        <v>536</v>
      </c>
      <c r="C251" s="633" t="s">
        <v>554</v>
      </c>
      <c r="D251" s="634" t="s">
        <v>555</v>
      </c>
      <c r="E251" s="633" t="s">
        <v>537</v>
      </c>
      <c r="F251" s="634" t="s">
        <v>538</v>
      </c>
      <c r="G251" s="633" t="s">
        <v>562</v>
      </c>
      <c r="H251" s="633" t="s">
        <v>748</v>
      </c>
      <c r="I251" s="633" t="s">
        <v>749</v>
      </c>
      <c r="J251" s="633" t="s">
        <v>750</v>
      </c>
      <c r="K251" s="633" t="s">
        <v>751</v>
      </c>
      <c r="L251" s="635">
        <v>144.57006277301593</v>
      </c>
      <c r="M251" s="635">
        <v>5</v>
      </c>
      <c r="N251" s="636">
        <v>722.85031386507967</v>
      </c>
    </row>
    <row r="252" spans="1:14" ht="14.4" customHeight="1" x14ac:dyDescent="0.3">
      <c r="A252" s="631" t="s">
        <v>534</v>
      </c>
      <c r="B252" s="632" t="s">
        <v>536</v>
      </c>
      <c r="C252" s="633" t="s">
        <v>554</v>
      </c>
      <c r="D252" s="634" t="s">
        <v>555</v>
      </c>
      <c r="E252" s="633" t="s">
        <v>537</v>
      </c>
      <c r="F252" s="634" t="s">
        <v>538</v>
      </c>
      <c r="G252" s="633" t="s">
        <v>562</v>
      </c>
      <c r="H252" s="633" t="s">
        <v>756</v>
      </c>
      <c r="I252" s="633" t="s">
        <v>757</v>
      </c>
      <c r="J252" s="633" t="s">
        <v>758</v>
      </c>
      <c r="K252" s="633" t="s">
        <v>759</v>
      </c>
      <c r="L252" s="635">
        <v>47.01</v>
      </c>
      <c r="M252" s="635">
        <v>5</v>
      </c>
      <c r="N252" s="636">
        <v>235.04999999999998</v>
      </c>
    </row>
    <row r="253" spans="1:14" ht="14.4" customHeight="1" x14ac:dyDescent="0.3">
      <c r="A253" s="631" t="s">
        <v>534</v>
      </c>
      <c r="B253" s="632" t="s">
        <v>536</v>
      </c>
      <c r="C253" s="633" t="s">
        <v>554</v>
      </c>
      <c r="D253" s="634" t="s">
        <v>555</v>
      </c>
      <c r="E253" s="633" t="s">
        <v>537</v>
      </c>
      <c r="F253" s="634" t="s">
        <v>538</v>
      </c>
      <c r="G253" s="633" t="s">
        <v>562</v>
      </c>
      <c r="H253" s="633" t="s">
        <v>1323</v>
      </c>
      <c r="I253" s="633" t="s">
        <v>1324</v>
      </c>
      <c r="J253" s="633" t="s">
        <v>1325</v>
      </c>
      <c r="K253" s="633" t="s">
        <v>1326</v>
      </c>
      <c r="L253" s="635">
        <v>47.820198946129601</v>
      </c>
      <c r="M253" s="635">
        <v>2</v>
      </c>
      <c r="N253" s="636">
        <v>95.640397892259202</v>
      </c>
    </row>
    <row r="254" spans="1:14" ht="14.4" customHeight="1" x14ac:dyDescent="0.3">
      <c r="A254" s="631" t="s">
        <v>534</v>
      </c>
      <c r="B254" s="632" t="s">
        <v>536</v>
      </c>
      <c r="C254" s="633" t="s">
        <v>554</v>
      </c>
      <c r="D254" s="634" t="s">
        <v>555</v>
      </c>
      <c r="E254" s="633" t="s">
        <v>537</v>
      </c>
      <c r="F254" s="634" t="s">
        <v>538</v>
      </c>
      <c r="G254" s="633" t="s">
        <v>562</v>
      </c>
      <c r="H254" s="633" t="s">
        <v>768</v>
      </c>
      <c r="I254" s="633" t="s">
        <v>768</v>
      </c>
      <c r="J254" s="633" t="s">
        <v>645</v>
      </c>
      <c r="K254" s="633" t="s">
        <v>769</v>
      </c>
      <c r="L254" s="635">
        <v>106.98</v>
      </c>
      <c r="M254" s="635">
        <v>1</v>
      </c>
      <c r="N254" s="636">
        <v>106.98</v>
      </c>
    </row>
    <row r="255" spans="1:14" ht="14.4" customHeight="1" x14ac:dyDescent="0.3">
      <c r="A255" s="631" t="s">
        <v>534</v>
      </c>
      <c r="B255" s="632" t="s">
        <v>536</v>
      </c>
      <c r="C255" s="633" t="s">
        <v>554</v>
      </c>
      <c r="D255" s="634" t="s">
        <v>555</v>
      </c>
      <c r="E255" s="633" t="s">
        <v>537</v>
      </c>
      <c r="F255" s="634" t="s">
        <v>538</v>
      </c>
      <c r="G255" s="633" t="s">
        <v>562</v>
      </c>
      <c r="H255" s="633" t="s">
        <v>774</v>
      </c>
      <c r="I255" s="633" t="s">
        <v>775</v>
      </c>
      <c r="J255" s="633" t="s">
        <v>772</v>
      </c>
      <c r="K255" s="633" t="s">
        <v>776</v>
      </c>
      <c r="L255" s="635">
        <v>292.47000000000003</v>
      </c>
      <c r="M255" s="635">
        <v>2</v>
      </c>
      <c r="N255" s="636">
        <v>584.94000000000005</v>
      </c>
    </row>
    <row r="256" spans="1:14" ht="14.4" customHeight="1" x14ac:dyDescent="0.3">
      <c r="A256" s="631" t="s">
        <v>534</v>
      </c>
      <c r="B256" s="632" t="s">
        <v>536</v>
      </c>
      <c r="C256" s="633" t="s">
        <v>554</v>
      </c>
      <c r="D256" s="634" t="s">
        <v>555</v>
      </c>
      <c r="E256" s="633" t="s">
        <v>537</v>
      </c>
      <c r="F256" s="634" t="s">
        <v>538</v>
      </c>
      <c r="G256" s="633" t="s">
        <v>562</v>
      </c>
      <c r="H256" s="633" t="s">
        <v>781</v>
      </c>
      <c r="I256" s="633" t="s">
        <v>782</v>
      </c>
      <c r="J256" s="633" t="s">
        <v>783</v>
      </c>
      <c r="K256" s="633" t="s">
        <v>784</v>
      </c>
      <c r="L256" s="635">
        <v>392.88910871621249</v>
      </c>
      <c r="M256" s="635">
        <v>34</v>
      </c>
      <c r="N256" s="636">
        <v>13358.229696351225</v>
      </c>
    </row>
    <row r="257" spans="1:14" ht="14.4" customHeight="1" x14ac:dyDescent="0.3">
      <c r="A257" s="631" t="s">
        <v>534</v>
      </c>
      <c r="B257" s="632" t="s">
        <v>536</v>
      </c>
      <c r="C257" s="633" t="s">
        <v>554</v>
      </c>
      <c r="D257" s="634" t="s">
        <v>555</v>
      </c>
      <c r="E257" s="633" t="s">
        <v>537</v>
      </c>
      <c r="F257" s="634" t="s">
        <v>538</v>
      </c>
      <c r="G257" s="633" t="s">
        <v>562</v>
      </c>
      <c r="H257" s="633" t="s">
        <v>1327</v>
      </c>
      <c r="I257" s="633" t="s">
        <v>1328</v>
      </c>
      <c r="J257" s="633" t="s">
        <v>1329</v>
      </c>
      <c r="K257" s="633" t="s">
        <v>1330</v>
      </c>
      <c r="L257" s="635">
        <v>91.569999999999951</v>
      </c>
      <c r="M257" s="635">
        <v>1</v>
      </c>
      <c r="N257" s="636">
        <v>91.569999999999951</v>
      </c>
    </row>
    <row r="258" spans="1:14" ht="14.4" customHeight="1" x14ac:dyDescent="0.3">
      <c r="A258" s="631" t="s">
        <v>534</v>
      </c>
      <c r="B258" s="632" t="s">
        <v>536</v>
      </c>
      <c r="C258" s="633" t="s">
        <v>554</v>
      </c>
      <c r="D258" s="634" t="s">
        <v>555</v>
      </c>
      <c r="E258" s="633" t="s">
        <v>537</v>
      </c>
      <c r="F258" s="634" t="s">
        <v>538</v>
      </c>
      <c r="G258" s="633" t="s">
        <v>562</v>
      </c>
      <c r="H258" s="633" t="s">
        <v>1331</v>
      </c>
      <c r="I258" s="633" t="s">
        <v>1332</v>
      </c>
      <c r="J258" s="633" t="s">
        <v>1333</v>
      </c>
      <c r="K258" s="633" t="s">
        <v>1334</v>
      </c>
      <c r="L258" s="635">
        <v>220.97558686633346</v>
      </c>
      <c r="M258" s="635">
        <v>55</v>
      </c>
      <c r="N258" s="636">
        <v>12153.657277648341</v>
      </c>
    </row>
    <row r="259" spans="1:14" ht="14.4" customHeight="1" x14ac:dyDescent="0.3">
      <c r="A259" s="631" t="s">
        <v>534</v>
      </c>
      <c r="B259" s="632" t="s">
        <v>536</v>
      </c>
      <c r="C259" s="633" t="s">
        <v>554</v>
      </c>
      <c r="D259" s="634" t="s">
        <v>555</v>
      </c>
      <c r="E259" s="633" t="s">
        <v>537</v>
      </c>
      <c r="F259" s="634" t="s">
        <v>538</v>
      </c>
      <c r="G259" s="633" t="s">
        <v>562</v>
      </c>
      <c r="H259" s="633" t="s">
        <v>806</v>
      </c>
      <c r="I259" s="633" t="s">
        <v>807</v>
      </c>
      <c r="J259" s="633" t="s">
        <v>808</v>
      </c>
      <c r="K259" s="633" t="s">
        <v>809</v>
      </c>
      <c r="L259" s="635">
        <v>152.02666666666667</v>
      </c>
      <c r="M259" s="635">
        <v>6</v>
      </c>
      <c r="N259" s="636">
        <v>912.16000000000008</v>
      </c>
    </row>
    <row r="260" spans="1:14" ht="14.4" customHeight="1" x14ac:dyDescent="0.3">
      <c r="A260" s="631" t="s">
        <v>534</v>
      </c>
      <c r="B260" s="632" t="s">
        <v>536</v>
      </c>
      <c r="C260" s="633" t="s">
        <v>554</v>
      </c>
      <c r="D260" s="634" t="s">
        <v>555</v>
      </c>
      <c r="E260" s="633" t="s">
        <v>537</v>
      </c>
      <c r="F260" s="634" t="s">
        <v>538</v>
      </c>
      <c r="G260" s="633" t="s">
        <v>562</v>
      </c>
      <c r="H260" s="633" t="s">
        <v>814</v>
      </c>
      <c r="I260" s="633" t="s">
        <v>246</v>
      </c>
      <c r="J260" s="633" t="s">
        <v>815</v>
      </c>
      <c r="K260" s="633"/>
      <c r="L260" s="635">
        <v>100.68000000000002</v>
      </c>
      <c r="M260" s="635">
        <v>10</v>
      </c>
      <c r="N260" s="636">
        <v>1006.8000000000002</v>
      </c>
    </row>
    <row r="261" spans="1:14" ht="14.4" customHeight="1" x14ac:dyDescent="0.3">
      <c r="A261" s="631" t="s">
        <v>534</v>
      </c>
      <c r="B261" s="632" t="s">
        <v>536</v>
      </c>
      <c r="C261" s="633" t="s">
        <v>554</v>
      </c>
      <c r="D261" s="634" t="s">
        <v>555</v>
      </c>
      <c r="E261" s="633" t="s">
        <v>537</v>
      </c>
      <c r="F261" s="634" t="s">
        <v>538</v>
      </c>
      <c r="G261" s="633" t="s">
        <v>562</v>
      </c>
      <c r="H261" s="633" t="s">
        <v>1335</v>
      </c>
      <c r="I261" s="633" t="s">
        <v>1336</v>
      </c>
      <c r="J261" s="633" t="s">
        <v>1337</v>
      </c>
      <c r="K261" s="633" t="s">
        <v>1338</v>
      </c>
      <c r="L261" s="635">
        <v>69.991141210810511</v>
      </c>
      <c r="M261" s="635">
        <v>7</v>
      </c>
      <c r="N261" s="636">
        <v>489.93798847567359</v>
      </c>
    </row>
    <row r="262" spans="1:14" ht="14.4" customHeight="1" x14ac:dyDescent="0.3">
      <c r="A262" s="631" t="s">
        <v>534</v>
      </c>
      <c r="B262" s="632" t="s">
        <v>536</v>
      </c>
      <c r="C262" s="633" t="s">
        <v>554</v>
      </c>
      <c r="D262" s="634" t="s">
        <v>555</v>
      </c>
      <c r="E262" s="633" t="s">
        <v>537</v>
      </c>
      <c r="F262" s="634" t="s">
        <v>538</v>
      </c>
      <c r="G262" s="633" t="s">
        <v>562</v>
      </c>
      <c r="H262" s="633" t="s">
        <v>1339</v>
      </c>
      <c r="I262" s="633" t="s">
        <v>246</v>
      </c>
      <c r="J262" s="633" t="s">
        <v>1340</v>
      </c>
      <c r="K262" s="633" t="s">
        <v>1341</v>
      </c>
      <c r="L262" s="635">
        <v>1440.12</v>
      </c>
      <c r="M262" s="635">
        <v>1</v>
      </c>
      <c r="N262" s="636">
        <v>1440.12</v>
      </c>
    </row>
    <row r="263" spans="1:14" ht="14.4" customHeight="1" x14ac:dyDescent="0.3">
      <c r="A263" s="631" t="s">
        <v>534</v>
      </c>
      <c r="B263" s="632" t="s">
        <v>536</v>
      </c>
      <c r="C263" s="633" t="s">
        <v>554</v>
      </c>
      <c r="D263" s="634" t="s">
        <v>555</v>
      </c>
      <c r="E263" s="633" t="s">
        <v>537</v>
      </c>
      <c r="F263" s="634" t="s">
        <v>538</v>
      </c>
      <c r="G263" s="633" t="s">
        <v>562</v>
      </c>
      <c r="H263" s="633" t="s">
        <v>1342</v>
      </c>
      <c r="I263" s="633" t="s">
        <v>1343</v>
      </c>
      <c r="J263" s="633" t="s">
        <v>802</v>
      </c>
      <c r="K263" s="633" t="s">
        <v>1344</v>
      </c>
      <c r="L263" s="635">
        <v>59.380239933417869</v>
      </c>
      <c r="M263" s="635">
        <v>3</v>
      </c>
      <c r="N263" s="636">
        <v>178.14071980025361</v>
      </c>
    </row>
    <row r="264" spans="1:14" ht="14.4" customHeight="1" x14ac:dyDescent="0.3">
      <c r="A264" s="631" t="s">
        <v>534</v>
      </c>
      <c r="B264" s="632" t="s">
        <v>536</v>
      </c>
      <c r="C264" s="633" t="s">
        <v>554</v>
      </c>
      <c r="D264" s="634" t="s">
        <v>555</v>
      </c>
      <c r="E264" s="633" t="s">
        <v>537</v>
      </c>
      <c r="F264" s="634" t="s">
        <v>538</v>
      </c>
      <c r="G264" s="633" t="s">
        <v>562</v>
      </c>
      <c r="H264" s="633" t="s">
        <v>835</v>
      </c>
      <c r="I264" s="633" t="s">
        <v>836</v>
      </c>
      <c r="J264" s="633" t="s">
        <v>837</v>
      </c>
      <c r="K264" s="633"/>
      <c r="L264" s="635">
        <v>140.19998794141245</v>
      </c>
      <c r="M264" s="635">
        <v>65</v>
      </c>
      <c r="N264" s="636">
        <v>9112.999216191809</v>
      </c>
    </row>
    <row r="265" spans="1:14" ht="14.4" customHeight="1" x14ac:dyDescent="0.3">
      <c r="A265" s="631" t="s">
        <v>534</v>
      </c>
      <c r="B265" s="632" t="s">
        <v>536</v>
      </c>
      <c r="C265" s="633" t="s">
        <v>554</v>
      </c>
      <c r="D265" s="634" t="s">
        <v>555</v>
      </c>
      <c r="E265" s="633" t="s">
        <v>537</v>
      </c>
      <c r="F265" s="634" t="s">
        <v>538</v>
      </c>
      <c r="G265" s="633" t="s">
        <v>562</v>
      </c>
      <c r="H265" s="633" t="s">
        <v>842</v>
      </c>
      <c r="I265" s="633" t="s">
        <v>843</v>
      </c>
      <c r="J265" s="633" t="s">
        <v>844</v>
      </c>
      <c r="K265" s="633" t="s">
        <v>845</v>
      </c>
      <c r="L265" s="635">
        <v>668.77</v>
      </c>
      <c r="M265" s="635">
        <v>1</v>
      </c>
      <c r="N265" s="636">
        <v>668.77</v>
      </c>
    </row>
    <row r="266" spans="1:14" ht="14.4" customHeight="1" x14ac:dyDescent="0.3">
      <c r="A266" s="631" t="s">
        <v>534</v>
      </c>
      <c r="B266" s="632" t="s">
        <v>536</v>
      </c>
      <c r="C266" s="633" t="s">
        <v>554</v>
      </c>
      <c r="D266" s="634" t="s">
        <v>555</v>
      </c>
      <c r="E266" s="633" t="s">
        <v>537</v>
      </c>
      <c r="F266" s="634" t="s">
        <v>538</v>
      </c>
      <c r="G266" s="633" t="s">
        <v>562</v>
      </c>
      <c r="H266" s="633" t="s">
        <v>846</v>
      </c>
      <c r="I266" s="633" t="s">
        <v>847</v>
      </c>
      <c r="J266" s="633" t="s">
        <v>848</v>
      </c>
      <c r="K266" s="633" t="s">
        <v>849</v>
      </c>
      <c r="L266" s="635">
        <v>59.21</v>
      </c>
      <c r="M266" s="635">
        <v>1</v>
      </c>
      <c r="N266" s="636">
        <v>59.21</v>
      </c>
    </row>
    <row r="267" spans="1:14" ht="14.4" customHeight="1" x14ac:dyDescent="0.3">
      <c r="A267" s="631" t="s">
        <v>534</v>
      </c>
      <c r="B267" s="632" t="s">
        <v>536</v>
      </c>
      <c r="C267" s="633" t="s">
        <v>554</v>
      </c>
      <c r="D267" s="634" t="s">
        <v>555</v>
      </c>
      <c r="E267" s="633" t="s">
        <v>537</v>
      </c>
      <c r="F267" s="634" t="s">
        <v>538</v>
      </c>
      <c r="G267" s="633" t="s">
        <v>562</v>
      </c>
      <c r="H267" s="633" t="s">
        <v>858</v>
      </c>
      <c r="I267" s="633" t="s">
        <v>859</v>
      </c>
      <c r="J267" s="633" t="s">
        <v>860</v>
      </c>
      <c r="K267" s="633" t="s">
        <v>861</v>
      </c>
      <c r="L267" s="635">
        <v>61.3799616138893</v>
      </c>
      <c r="M267" s="635">
        <v>31</v>
      </c>
      <c r="N267" s="636">
        <v>1902.7788100305684</v>
      </c>
    </row>
    <row r="268" spans="1:14" ht="14.4" customHeight="1" x14ac:dyDescent="0.3">
      <c r="A268" s="631" t="s">
        <v>534</v>
      </c>
      <c r="B268" s="632" t="s">
        <v>536</v>
      </c>
      <c r="C268" s="633" t="s">
        <v>554</v>
      </c>
      <c r="D268" s="634" t="s">
        <v>555</v>
      </c>
      <c r="E268" s="633" t="s">
        <v>537</v>
      </c>
      <c r="F268" s="634" t="s">
        <v>538</v>
      </c>
      <c r="G268" s="633" t="s">
        <v>562</v>
      </c>
      <c r="H268" s="633" t="s">
        <v>877</v>
      </c>
      <c r="I268" s="633" t="s">
        <v>878</v>
      </c>
      <c r="J268" s="633" t="s">
        <v>879</v>
      </c>
      <c r="K268" s="633" t="s">
        <v>880</v>
      </c>
      <c r="L268" s="635">
        <v>100.97499999999999</v>
      </c>
      <c r="M268" s="635">
        <v>2</v>
      </c>
      <c r="N268" s="636">
        <v>201.95</v>
      </c>
    </row>
    <row r="269" spans="1:14" ht="14.4" customHeight="1" x14ac:dyDescent="0.3">
      <c r="A269" s="631" t="s">
        <v>534</v>
      </c>
      <c r="B269" s="632" t="s">
        <v>536</v>
      </c>
      <c r="C269" s="633" t="s">
        <v>554</v>
      </c>
      <c r="D269" s="634" t="s">
        <v>555</v>
      </c>
      <c r="E269" s="633" t="s">
        <v>537</v>
      </c>
      <c r="F269" s="634" t="s">
        <v>538</v>
      </c>
      <c r="G269" s="633" t="s">
        <v>562</v>
      </c>
      <c r="H269" s="633" t="s">
        <v>1345</v>
      </c>
      <c r="I269" s="633" t="s">
        <v>246</v>
      </c>
      <c r="J269" s="633" t="s">
        <v>1346</v>
      </c>
      <c r="K269" s="633" t="s">
        <v>1347</v>
      </c>
      <c r="L269" s="635">
        <v>166.49960042849054</v>
      </c>
      <c r="M269" s="635">
        <v>7</v>
      </c>
      <c r="N269" s="636">
        <v>1165.4972029994337</v>
      </c>
    </row>
    <row r="270" spans="1:14" ht="14.4" customHeight="1" x14ac:dyDescent="0.3">
      <c r="A270" s="631" t="s">
        <v>534</v>
      </c>
      <c r="B270" s="632" t="s">
        <v>536</v>
      </c>
      <c r="C270" s="633" t="s">
        <v>554</v>
      </c>
      <c r="D270" s="634" t="s">
        <v>555</v>
      </c>
      <c r="E270" s="633" t="s">
        <v>537</v>
      </c>
      <c r="F270" s="634" t="s">
        <v>538</v>
      </c>
      <c r="G270" s="633" t="s">
        <v>562</v>
      </c>
      <c r="H270" s="633" t="s">
        <v>881</v>
      </c>
      <c r="I270" s="633" t="s">
        <v>882</v>
      </c>
      <c r="J270" s="633" t="s">
        <v>883</v>
      </c>
      <c r="K270" s="633" t="s">
        <v>884</v>
      </c>
      <c r="L270" s="635">
        <v>218.178</v>
      </c>
      <c r="M270" s="635">
        <v>1</v>
      </c>
      <c r="N270" s="636">
        <v>218.178</v>
      </c>
    </row>
    <row r="271" spans="1:14" ht="14.4" customHeight="1" x14ac:dyDescent="0.3">
      <c r="A271" s="631" t="s">
        <v>534</v>
      </c>
      <c r="B271" s="632" t="s">
        <v>536</v>
      </c>
      <c r="C271" s="633" t="s">
        <v>554</v>
      </c>
      <c r="D271" s="634" t="s">
        <v>555</v>
      </c>
      <c r="E271" s="633" t="s">
        <v>537</v>
      </c>
      <c r="F271" s="634" t="s">
        <v>538</v>
      </c>
      <c r="G271" s="633" t="s">
        <v>562</v>
      </c>
      <c r="H271" s="633" t="s">
        <v>885</v>
      </c>
      <c r="I271" s="633" t="s">
        <v>885</v>
      </c>
      <c r="J271" s="633" t="s">
        <v>564</v>
      </c>
      <c r="K271" s="633" t="s">
        <v>886</v>
      </c>
      <c r="L271" s="635">
        <v>201.25</v>
      </c>
      <c r="M271" s="635">
        <v>5</v>
      </c>
      <c r="N271" s="636">
        <v>1006.25</v>
      </c>
    </row>
    <row r="272" spans="1:14" ht="14.4" customHeight="1" x14ac:dyDescent="0.3">
      <c r="A272" s="631" t="s">
        <v>534</v>
      </c>
      <c r="B272" s="632" t="s">
        <v>536</v>
      </c>
      <c r="C272" s="633" t="s">
        <v>554</v>
      </c>
      <c r="D272" s="634" t="s">
        <v>555</v>
      </c>
      <c r="E272" s="633" t="s">
        <v>537</v>
      </c>
      <c r="F272" s="634" t="s">
        <v>538</v>
      </c>
      <c r="G272" s="633" t="s">
        <v>562</v>
      </c>
      <c r="H272" s="633" t="s">
        <v>891</v>
      </c>
      <c r="I272" s="633" t="s">
        <v>892</v>
      </c>
      <c r="J272" s="633" t="s">
        <v>893</v>
      </c>
      <c r="K272" s="633" t="s">
        <v>579</v>
      </c>
      <c r="L272" s="635">
        <v>121.89397446722155</v>
      </c>
      <c r="M272" s="635">
        <v>190</v>
      </c>
      <c r="N272" s="636">
        <v>23159.855148772094</v>
      </c>
    </row>
    <row r="273" spans="1:14" ht="14.4" customHeight="1" x14ac:dyDescent="0.3">
      <c r="A273" s="631" t="s">
        <v>534</v>
      </c>
      <c r="B273" s="632" t="s">
        <v>536</v>
      </c>
      <c r="C273" s="633" t="s">
        <v>554</v>
      </c>
      <c r="D273" s="634" t="s">
        <v>555</v>
      </c>
      <c r="E273" s="633" t="s">
        <v>537</v>
      </c>
      <c r="F273" s="634" t="s">
        <v>538</v>
      </c>
      <c r="G273" s="633" t="s">
        <v>562</v>
      </c>
      <c r="H273" s="633" t="s">
        <v>894</v>
      </c>
      <c r="I273" s="633" t="s">
        <v>895</v>
      </c>
      <c r="J273" s="633" t="s">
        <v>896</v>
      </c>
      <c r="K273" s="633" t="s">
        <v>897</v>
      </c>
      <c r="L273" s="635">
        <v>59.650090774896505</v>
      </c>
      <c r="M273" s="635">
        <v>6</v>
      </c>
      <c r="N273" s="636">
        <v>357.90054464937901</v>
      </c>
    </row>
    <row r="274" spans="1:14" ht="14.4" customHeight="1" x14ac:dyDescent="0.3">
      <c r="A274" s="631" t="s">
        <v>534</v>
      </c>
      <c r="B274" s="632" t="s">
        <v>536</v>
      </c>
      <c r="C274" s="633" t="s">
        <v>554</v>
      </c>
      <c r="D274" s="634" t="s">
        <v>555</v>
      </c>
      <c r="E274" s="633" t="s">
        <v>537</v>
      </c>
      <c r="F274" s="634" t="s">
        <v>538</v>
      </c>
      <c r="G274" s="633" t="s">
        <v>562</v>
      </c>
      <c r="H274" s="633" t="s">
        <v>898</v>
      </c>
      <c r="I274" s="633" t="s">
        <v>899</v>
      </c>
      <c r="J274" s="633" t="s">
        <v>900</v>
      </c>
      <c r="K274" s="633" t="s">
        <v>901</v>
      </c>
      <c r="L274" s="635">
        <v>707</v>
      </c>
      <c r="M274" s="635">
        <v>1</v>
      </c>
      <c r="N274" s="636">
        <v>707</v>
      </c>
    </row>
    <row r="275" spans="1:14" ht="14.4" customHeight="1" x14ac:dyDescent="0.3">
      <c r="A275" s="631" t="s">
        <v>534</v>
      </c>
      <c r="B275" s="632" t="s">
        <v>536</v>
      </c>
      <c r="C275" s="633" t="s">
        <v>554</v>
      </c>
      <c r="D275" s="634" t="s">
        <v>555</v>
      </c>
      <c r="E275" s="633" t="s">
        <v>537</v>
      </c>
      <c r="F275" s="634" t="s">
        <v>538</v>
      </c>
      <c r="G275" s="633" t="s">
        <v>562</v>
      </c>
      <c r="H275" s="633" t="s">
        <v>902</v>
      </c>
      <c r="I275" s="633" t="s">
        <v>903</v>
      </c>
      <c r="J275" s="633" t="s">
        <v>904</v>
      </c>
      <c r="K275" s="633" t="s">
        <v>905</v>
      </c>
      <c r="L275" s="635">
        <v>1665.2</v>
      </c>
      <c r="M275" s="635">
        <v>6</v>
      </c>
      <c r="N275" s="636">
        <v>9991.2000000000007</v>
      </c>
    </row>
    <row r="276" spans="1:14" ht="14.4" customHeight="1" x14ac:dyDescent="0.3">
      <c r="A276" s="631" t="s">
        <v>534</v>
      </c>
      <c r="B276" s="632" t="s">
        <v>536</v>
      </c>
      <c r="C276" s="633" t="s">
        <v>554</v>
      </c>
      <c r="D276" s="634" t="s">
        <v>555</v>
      </c>
      <c r="E276" s="633" t="s">
        <v>537</v>
      </c>
      <c r="F276" s="634" t="s">
        <v>538</v>
      </c>
      <c r="G276" s="633" t="s">
        <v>562</v>
      </c>
      <c r="H276" s="633" t="s">
        <v>906</v>
      </c>
      <c r="I276" s="633" t="s">
        <v>907</v>
      </c>
      <c r="J276" s="633" t="s">
        <v>908</v>
      </c>
      <c r="K276" s="633" t="s">
        <v>909</v>
      </c>
      <c r="L276" s="635">
        <v>260</v>
      </c>
      <c r="M276" s="635">
        <v>68</v>
      </c>
      <c r="N276" s="636">
        <v>17680</v>
      </c>
    </row>
    <row r="277" spans="1:14" ht="14.4" customHeight="1" x14ac:dyDescent="0.3">
      <c r="A277" s="631" t="s">
        <v>534</v>
      </c>
      <c r="B277" s="632" t="s">
        <v>536</v>
      </c>
      <c r="C277" s="633" t="s">
        <v>554</v>
      </c>
      <c r="D277" s="634" t="s">
        <v>555</v>
      </c>
      <c r="E277" s="633" t="s">
        <v>537</v>
      </c>
      <c r="F277" s="634" t="s">
        <v>538</v>
      </c>
      <c r="G277" s="633" t="s">
        <v>562</v>
      </c>
      <c r="H277" s="633" t="s">
        <v>1348</v>
      </c>
      <c r="I277" s="633" t="s">
        <v>1349</v>
      </c>
      <c r="J277" s="633" t="s">
        <v>1350</v>
      </c>
      <c r="K277" s="633" t="s">
        <v>1351</v>
      </c>
      <c r="L277" s="635">
        <v>1713.5</v>
      </c>
      <c r="M277" s="635">
        <v>5</v>
      </c>
      <c r="N277" s="636">
        <v>8567.5</v>
      </c>
    </row>
    <row r="278" spans="1:14" ht="14.4" customHeight="1" x14ac:dyDescent="0.3">
      <c r="A278" s="631" t="s">
        <v>534</v>
      </c>
      <c r="B278" s="632" t="s">
        <v>536</v>
      </c>
      <c r="C278" s="633" t="s">
        <v>554</v>
      </c>
      <c r="D278" s="634" t="s">
        <v>555</v>
      </c>
      <c r="E278" s="633" t="s">
        <v>537</v>
      </c>
      <c r="F278" s="634" t="s">
        <v>538</v>
      </c>
      <c r="G278" s="633" t="s">
        <v>562</v>
      </c>
      <c r="H278" s="633" t="s">
        <v>1352</v>
      </c>
      <c r="I278" s="633" t="s">
        <v>1353</v>
      </c>
      <c r="J278" s="633" t="s">
        <v>1354</v>
      </c>
      <c r="K278" s="633" t="s">
        <v>1355</v>
      </c>
      <c r="L278" s="635">
        <v>197.47348935853927</v>
      </c>
      <c r="M278" s="635">
        <v>4</v>
      </c>
      <c r="N278" s="636">
        <v>789.89395743415707</v>
      </c>
    </row>
    <row r="279" spans="1:14" ht="14.4" customHeight="1" x14ac:dyDescent="0.3">
      <c r="A279" s="631" t="s">
        <v>534</v>
      </c>
      <c r="B279" s="632" t="s">
        <v>536</v>
      </c>
      <c r="C279" s="633" t="s">
        <v>554</v>
      </c>
      <c r="D279" s="634" t="s">
        <v>555</v>
      </c>
      <c r="E279" s="633" t="s">
        <v>537</v>
      </c>
      <c r="F279" s="634" t="s">
        <v>538</v>
      </c>
      <c r="G279" s="633" t="s">
        <v>562</v>
      </c>
      <c r="H279" s="633" t="s">
        <v>1356</v>
      </c>
      <c r="I279" s="633" t="s">
        <v>1357</v>
      </c>
      <c r="J279" s="633" t="s">
        <v>1358</v>
      </c>
      <c r="K279" s="633" t="s">
        <v>1359</v>
      </c>
      <c r="L279" s="635">
        <v>788.87</v>
      </c>
      <c r="M279" s="635">
        <v>5</v>
      </c>
      <c r="N279" s="636">
        <v>3944.35</v>
      </c>
    </row>
    <row r="280" spans="1:14" ht="14.4" customHeight="1" x14ac:dyDescent="0.3">
      <c r="A280" s="631" t="s">
        <v>534</v>
      </c>
      <c r="B280" s="632" t="s">
        <v>536</v>
      </c>
      <c r="C280" s="633" t="s">
        <v>554</v>
      </c>
      <c r="D280" s="634" t="s">
        <v>555</v>
      </c>
      <c r="E280" s="633" t="s">
        <v>537</v>
      </c>
      <c r="F280" s="634" t="s">
        <v>538</v>
      </c>
      <c r="G280" s="633" t="s">
        <v>562</v>
      </c>
      <c r="H280" s="633" t="s">
        <v>924</v>
      </c>
      <c r="I280" s="633" t="s">
        <v>925</v>
      </c>
      <c r="J280" s="633" t="s">
        <v>926</v>
      </c>
      <c r="K280" s="633" t="s">
        <v>927</v>
      </c>
      <c r="L280" s="635">
        <v>21.897953527743653</v>
      </c>
      <c r="M280" s="635">
        <v>300</v>
      </c>
      <c r="N280" s="636">
        <v>6569.3860583230962</v>
      </c>
    </row>
    <row r="281" spans="1:14" ht="14.4" customHeight="1" x14ac:dyDescent="0.3">
      <c r="A281" s="631" t="s">
        <v>534</v>
      </c>
      <c r="B281" s="632" t="s">
        <v>536</v>
      </c>
      <c r="C281" s="633" t="s">
        <v>554</v>
      </c>
      <c r="D281" s="634" t="s">
        <v>555</v>
      </c>
      <c r="E281" s="633" t="s">
        <v>537</v>
      </c>
      <c r="F281" s="634" t="s">
        <v>538</v>
      </c>
      <c r="G281" s="633" t="s">
        <v>562</v>
      </c>
      <c r="H281" s="633" t="s">
        <v>1360</v>
      </c>
      <c r="I281" s="633" t="s">
        <v>246</v>
      </c>
      <c r="J281" s="633" t="s">
        <v>1361</v>
      </c>
      <c r="K281" s="633"/>
      <c r="L281" s="635">
        <v>111.70007788621511</v>
      </c>
      <c r="M281" s="635">
        <v>6</v>
      </c>
      <c r="N281" s="636">
        <v>670.20046731729065</v>
      </c>
    </row>
    <row r="282" spans="1:14" ht="14.4" customHeight="1" x14ac:dyDescent="0.3">
      <c r="A282" s="631" t="s">
        <v>534</v>
      </c>
      <c r="B282" s="632" t="s">
        <v>536</v>
      </c>
      <c r="C282" s="633" t="s">
        <v>554</v>
      </c>
      <c r="D282" s="634" t="s">
        <v>555</v>
      </c>
      <c r="E282" s="633" t="s">
        <v>537</v>
      </c>
      <c r="F282" s="634" t="s">
        <v>538</v>
      </c>
      <c r="G282" s="633" t="s">
        <v>562</v>
      </c>
      <c r="H282" s="633" t="s">
        <v>1362</v>
      </c>
      <c r="I282" s="633" t="s">
        <v>246</v>
      </c>
      <c r="J282" s="633" t="s">
        <v>1363</v>
      </c>
      <c r="K282" s="633"/>
      <c r="L282" s="635">
        <v>64.650000000000006</v>
      </c>
      <c r="M282" s="635">
        <v>2</v>
      </c>
      <c r="N282" s="636">
        <v>129.30000000000001</v>
      </c>
    </row>
    <row r="283" spans="1:14" ht="14.4" customHeight="1" x14ac:dyDescent="0.3">
      <c r="A283" s="631" t="s">
        <v>534</v>
      </c>
      <c r="B283" s="632" t="s">
        <v>536</v>
      </c>
      <c r="C283" s="633" t="s">
        <v>554</v>
      </c>
      <c r="D283" s="634" t="s">
        <v>555</v>
      </c>
      <c r="E283" s="633" t="s">
        <v>537</v>
      </c>
      <c r="F283" s="634" t="s">
        <v>538</v>
      </c>
      <c r="G283" s="633" t="s">
        <v>562</v>
      </c>
      <c r="H283" s="633" t="s">
        <v>1364</v>
      </c>
      <c r="I283" s="633" t="s">
        <v>1365</v>
      </c>
      <c r="J283" s="633" t="s">
        <v>1366</v>
      </c>
      <c r="K283" s="633" t="s">
        <v>1367</v>
      </c>
      <c r="L283" s="635">
        <v>49.946848586249324</v>
      </c>
      <c r="M283" s="635">
        <v>38</v>
      </c>
      <c r="N283" s="636">
        <v>1897.9802462774742</v>
      </c>
    </row>
    <row r="284" spans="1:14" ht="14.4" customHeight="1" x14ac:dyDescent="0.3">
      <c r="A284" s="631" t="s">
        <v>534</v>
      </c>
      <c r="B284" s="632" t="s">
        <v>536</v>
      </c>
      <c r="C284" s="633" t="s">
        <v>554</v>
      </c>
      <c r="D284" s="634" t="s">
        <v>555</v>
      </c>
      <c r="E284" s="633" t="s">
        <v>537</v>
      </c>
      <c r="F284" s="634" t="s">
        <v>538</v>
      </c>
      <c r="G284" s="633" t="s">
        <v>562</v>
      </c>
      <c r="H284" s="633" t="s">
        <v>944</v>
      </c>
      <c r="I284" s="633" t="s">
        <v>945</v>
      </c>
      <c r="J284" s="633" t="s">
        <v>946</v>
      </c>
      <c r="K284" s="633" t="s">
        <v>947</v>
      </c>
      <c r="L284" s="635">
        <v>177.79904955949439</v>
      </c>
      <c r="M284" s="635">
        <v>1</v>
      </c>
      <c r="N284" s="636">
        <v>177.79904955949439</v>
      </c>
    </row>
    <row r="285" spans="1:14" ht="14.4" customHeight="1" x14ac:dyDescent="0.3">
      <c r="A285" s="631" t="s">
        <v>534</v>
      </c>
      <c r="B285" s="632" t="s">
        <v>536</v>
      </c>
      <c r="C285" s="633" t="s">
        <v>554</v>
      </c>
      <c r="D285" s="634" t="s">
        <v>555</v>
      </c>
      <c r="E285" s="633" t="s">
        <v>537</v>
      </c>
      <c r="F285" s="634" t="s">
        <v>538</v>
      </c>
      <c r="G285" s="633" t="s">
        <v>562</v>
      </c>
      <c r="H285" s="633" t="s">
        <v>951</v>
      </c>
      <c r="I285" s="633" t="s">
        <v>952</v>
      </c>
      <c r="J285" s="633" t="s">
        <v>953</v>
      </c>
      <c r="K285" s="633" t="s">
        <v>954</v>
      </c>
      <c r="L285" s="635">
        <v>70.572473770205079</v>
      </c>
      <c r="M285" s="635">
        <v>146</v>
      </c>
      <c r="N285" s="636">
        <v>10303.581170449941</v>
      </c>
    </row>
    <row r="286" spans="1:14" ht="14.4" customHeight="1" x14ac:dyDescent="0.3">
      <c r="A286" s="631" t="s">
        <v>534</v>
      </c>
      <c r="B286" s="632" t="s">
        <v>536</v>
      </c>
      <c r="C286" s="633" t="s">
        <v>554</v>
      </c>
      <c r="D286" s="634" t="s">
        <v>555</v>
      </c>
      <c r="E286" s="633" t="s">
        <v>537</v>
      </c>
      <c r="F286" s="634" t="s">
        <v>538</v>
      </c>
      <c r="G286" s="633" t="s">
        <v>562</v>
      </c>
      <c r="H286" s="633" t="s">
        <v>1368</v>
      </c>
      <c r="I286" s="633" t="s">
        <v>1369</v>
      </c>
      <c r="J286" s="633" t="s">
        <v>1370</v>
      </c>
      <c r="K286" s="633" t="s">
        <v>1371</v>
      </c>
      <c r="L286" s="635">
        <v>41.658695620977852</v>
      </c>
      <c r="M286" s="635">
        <v>8</v>
      </c>
      <c r="N286" s="636">
        <v>333.26956496782282</v>
      </c>
    </row>
    <row r="287" spans="1:14" ht="14.4" customHeight="1" x14ac:dyDescent="0.3">
      <c r="A287" s="631" t="s">
        <v>534</v>
      </c>
      <c r="B287" s="632" t="s">
        <v>536</v>
      </c>
      <c r="C287" s="633" t="s">
        <v>554</v>
      </c>
      <c r="D287" s="634" t="s">
        <v>555</v>
      </c>
      <c r="E287" s="633" t="s">
        <v>537</v>
      </c>
      <c r="F287" s="634" t="s">
        <v>538</v>
      </c>
      <c r="G287" s="633" t="s">
        <v>562</v>
      </c>
      <c r="H287" s="633" t="s">
        <v>1372</v>
      </c>
      <c r="I287" s="633" t="s">
        <v>1373</v>
      </c>
      <c r="J287" s="633" t="s">
        <v>1374</v>
      </c>
      <c r="K287" s="633" t="s">
        <v>1375</v>
      </c>
      <c r="L287" s="635">
        <v>389.29</v>
      </c>
      <c r="M287" s="635">
        <v>4</v>
      </c>
      <c r="N287" s="636">
        <v>1557.16</v>
      </c>
    </row>
    <row r="288" spans="1:14" ht="14.4" customHeight="1" x14ac:dyDescent="0.3">
      <c r="A288" s="631" t="s">
        <v>534</v>
      </c>
      <c r="B288" s="632" t="s">
        <v>536</v>
      </c>
      <c r="C288" s="633" t="s">
        <v>554</v>
      </c>
      <c r="D288" s="634" t="s">
        <v>555</v>
      </c>
      <c r="E288" s="633" t="s">
        <v>537</v>
      </c>
      <c r="F288" s="634" t="s">
        <v>538</v>
      </c>
      <c r="G288" s="633" t="s">
        <v>562</v>
      </c>
      <c r="H288" s="633" t="s">
        <v>1376</v>
      </c>
      <c r="I288" s="633" t="s">
        <v>1377</v>
      </c>
      <c r="J288" s="633" t="s">
        <v>1378</v>
      </c>
      <c r="K288" s="633" t="s">
        <v>1379</v>
      </c>
      <c r="L288" s="635">
        <v>1006.96</v>
      </c>
      <c r="M288" s="635">
        <v>3</v>
      </c>
      <c r="N288" s="636">
        <v>3020.88</v>
      </c>
    </row>
    <row r="289" spans="1:14" ht="14.4" customHeight="1" x14ac:dyDescent="0.3">
      <c r="A289" s="631" t="s">
        <v>534</v>
      </c>
      <c r="B289" s="632" t="s">
        <v>536</v>
      </c>
      <c r="C289" s="633" t="s">
        <v>554</v>
      </c>
      <c r="D289" s="634" t="s">
        <v>555</v>
      </c>
      <c r="E289" s="633" t="s">
        <v>537</v>
      </c>
      <c r="F289" s="634" t="s">
        <v>538</v>
      </c>
      <c r="G289" s="633" t="s">
        <v>562</v>
      </c>
      <c r="H289" s="633" t="s">
        <v>1380</v>
      </c>
      <c r="I289" s="633" t="s">
        <v>1381</v>
      </c>
      <c r="J289" s="633" t="s">
        <v>1382</v>
      </c>
      <c r="K289" s="633" t="s">
        <v>1383</v>
      </c>
      <c r="L289" s="635">
        <v>275.31</v>
      </c>
      <c r="M289" s="635">
        <v>1</v>
      </c>
      <c r="N289" s="636">
        <v>275.31</v>
      </c>
    </row>
    <row r="290" spans="1:14" ht="14.4" customHeight="1" x14ac:dyDescent="0.3">
      <c r="A290" s="631" t="s">
        <v>534</v>
      </c>
      <c r="B290" s="632" t="s">
        <v>536</v>
      </c>
      <c r="C290" s="633" t="s">
        <v>554</v>
      </c>
      <c r="D290" s="634" t="s">
        <v>555</v>
      </c>
      <c r="E290" s="633" t="s">
        <v>537</v>
      </c>
      <c r="F290" s="634" t="s">
        <v>538</v>
      </c>
      <c r="G290" s="633" t="s">
        <v>562</v>
      </c>
      <c r="H290" s="633" t="s">
        <v>955</v>
      </c>
      <c r="I290" s="633" t="s">
        <v>956</v>
      </c>
      <c r="J290" s="633" t="s">
        <v>957</v>
      </c>
      <c r="K290" s="633" t="s">
        <v>958</v>
      </c>
      <c r="L290" s="635">
        <v>79.939051580502564</v>
      </c>
      <c r="M290" s="635">
        <v>1</v>
      </c>
      <c r="N290" s="636">
        <v>79.939051580502564</v>
      </c>
    </row>
    <row r="291" spans="1:14" ht="14.4" customHeight="1" x14ac:dyDescent="0.3">
      <c r="A291" s="631" t="s">
        <v>534</v>
      </c>
      <c r="B291" s="632" t="s">
        <v>536</v>
      </c>
      <c r="C291" s="633" t="s">
        <v>554</v>
      </c>
      <c r="D291" s="634" t="s">
        <v>555</v>
      </c>
      <c r="E291" s="633" t="s">
        <v>537</v>
      </c>
      <c r="F291" s="634" t="s">
        <v>538</v>
      </c>
      <c r="G291" s="633" t="s">
        <v>562</v>
      </c>
      <c r="H291" s="633" t="s">
        <v>1384</v>
      </c>
      <c r="I291" s="633" t="s">
        <v>1385</v>
      </c>
      <c r="J291" s="633" t="s">
        <v>1386</v>
      </c>
      <c r="K291" s="633" t="s">
        <v>1387</v>
      </c>
      <c r="L291" s="635">
        <v>31.919999999999998</v>
      </c>
      <c r="M291" s="635">
        <v>7</v>
      </c>
      <c r="N291" s="636">
        <v>223.44</v>
      </c>
    </row>
    <row r="292" spans="1:14" ht="14.4" customHeight="1" x14ac:dyDescent="0.3">
      <c r="A292" s="631" t="s">
        <v>534</v>
      </c>
      <c r="B292" s="632" t="s">
        <v>536</v>
      </c>
      <c r="C292" s="633" t="s">
        <v>554</v>
      </c>
      <c r="D292" s="634" t="s">
        <v>555</v>
      </c>
      <c r="E292" s="633" t="s">
        <v>537</v>
      </c>
      <c r="F292" s="634" t="s">
        <v>538</v>
      </c>
      <c r="G292" s="633" t="s">
        <v>562</v>
      </c>
      <c r="H292" s="633" t="s">
        <v>1388</v>
      </c>
      <c r="I292" s="633" t="s">
        <v>1389</v>
      </c>
      <c r="J292" s="633" t="s">
        <v>926</v>
      </c>
      <c r="K292" s="633" t="s">
        <v>1390</v>
      </c>
      <c r="L292" s="635">
        <v>23.08</v>
      </c>
      <c r="M292" s="635">
        <v>24</v>
      </c>
      <c r="N292" s="636">
        <v>553.91999999999996</v>
      </c>
    </row>
    <row r="293" spans="1:14" ht="14.4" customHeight="1" x14ac:dyDescent="0.3">
      <c r="A293" s="631" t="s">
        <v>534</v>
      </c>
      <c r="B293" s="632" t="s">
        <v>536</v>
      </c>
      <c r="C293" s="633" t="s">
        <v>554</v>
      </c>
      <c r="D293" s="634" t="s">
        <v>555</v>
      </c>
      <c r="E293" s="633" t="s">
        <v>537</v>
      </c>
      <c r="F293" s="634" t="s">
        <v>538</v>
      </c>
      <c r="G293" s="633" t="s">
        <v>562</v>
      </c>
      <c r="H293" s="633" t="s">
        <v>1391</v>
      </c>
      <c r="I293" s="633" t="s">
        <v>1392</v>
      </c>
      <c r="J293" s="633" t="s">
        <v>1393</v>
      </c>
      <c r="K293" s="633" t="s">
        <v>1394</v>
      </c>
      <c r="L293" s="635">
        <v>289.80130606240903</v>
      </c>
      <c r="M293" s="635">
        <v>1</v>
      </c>
      <c r="N293" s="636">
        <v>289.80130606240903</v>
      </c>
    </row>
    <row r="294" spans="1:14" ht="14.4" customHeight="1" x14ac:dyDescent="0.3">
      <c r="A294" s="631" t="s">
        <v>534</v>
      </c>
      <c r="B294" s="632" t="s">
        <v>536</v>
      </c>
      <c r="C294" s="633" t="s">
        <v>554</v>
      </c>
      <c r="D294" s="634" t="s">
        <v>555</v>
      </c>
      <c r="E294" s="633" t="s">
        <v>537</v>
      </c>
      <c r="F294" s="634" t="s">
        <v>538</v>
      </c>
      <c r="G294" s="633" t="s">
        <v>562</v>
      </c>
      <c r="H294" s="633" t="s">
        <v>967</v>
      </c>
      <c r="I294" s="633" t="s">
        <v>968</v>
      </c>
      <c r="J294" s="633" t="s">
        <v>969</v>
      </c>
      <c r="K294" s="633" t="s">
        <v>970</v>
      </c>
      <c r="L294" s="635">
        <v>89.640027759583518</v>
      </c>
      <c r="M294" s="635">
        <v>13</v>
      </c>
      <c r="N294" s="636">
        <v>1165.3203608745857</v>
      </c>
    </row>
    <row r="295" spans="1:14" ht="14.4" customHeight="1" x14ac:dyDescent="0.3">
      <c r="A295" s="631" t="s">
        <v>534</v>
      </c>
      <c r="B295" s="632" t="s">
        <v>536</v>
      </c>
      <c r="C295" s="633" t="s">
        <v>554</v>
      </c>
      <c r="D295" s="634" t="s">
        <v>555</v>
      </c>
      <c r="E295" s="633" t="s">
        <v>537</v>
      </c>
      <c r="F295" s="634" t="s">
        <v>538</v>
      </c>
      <c r="G295" s="633" t="s">
        <v>562</v>
      </c>
      <c r="H295" s="633" t="s">
        <v>1395</v>
      </c>
      <c r="I295" s="633" t="s">
        <v>246</v>
      </c>
      <c r="J295" s="633" t="s">
        <v>1396</v>
      </c>
      <c r="K295" s="633" t="s">
        <v>1397</v>
      </c>
      <c r="L295" s="635">
        <v>201.25</v>
      </c>
      <c r="M295" s="635">
        <v>6</v>
      </c>
      <c r="N295" s="636">
        <v>1207.5</v>
      </c>
    </row>
    <row r="296" spans="1:14" ht="14.4" customHeight="1" x14ac:dyDescent="0.3">
      <c r="A296" s="631" t="s">
        <v>534</v>
      </c>
      <c r="B296" s="632" t="s">
        <v>536</v>
      </c>
      <c r="C296" s="633" t="s">
        <v>554</v>
      </c>
      <c r="D296" s="634" t="s">
        <v>555</v>
      </c>
      <c r="E296" s="633" t="s">
        <v>537</v>
      </c>
      <c r="F296" s="634" t="s">
        <v>538</v>
      </c>
      <c r="G296" s="633" t="s">
        <v>562</v>
      </c>
      <c r="H296" s="633" t="s">
        <v>1398</v>
      </c>
      <c r="I296" s="633" t="s">
        <v>1399</v>
      </c>
      <c r="J296" s="633" t="s">
        <v>1400</v>
      </c>
      <c r="K296" s="633" t="s">
        <v>1401</v>
      </c>
      <c r="L296" s="635">
        <v>17459.884999999998</v>
      </c>
      <c r="M296" s="635">
        <v>2</v>
      </c>
      <c r="N296" s="636">
        <v>34919.769999999997</v>
      </c>
    </row>
    <row r="297" spans="1:14" ht="14.4" customHeight="1" x14ac:dyDescent="0.3">
      <c r="A297" s="631" t="s">
        <v>534</v>
      </c>
      <c r="B297" s="632" t="s">
        <v>536</v>
      </c>
      <c r="C297" s="633" t="s">
        <v>554</v>
      </c>
      <c r="D297" s="634" t="s">
        <v>555</v>
      </c>
      <c r="E297" s="633" t="s">
        <v>537</v>
      </c>
      <c r="F297" s="634" t="s">
        <v>538</v>
      </c>
      <c r="G297" s="633" t="s">
        <v>562</v>
      </c>
      <c r="H297" s="633" t="s">
        <v>1402</v>
      </c>
      <c r="I297" s="633" t="s">
        <v>246</v>
      </c>
      <c r="J297" s="633" t="s">
        <v>1403</v>
      </c>
      <c r="K297" s="633"/>
      <c r="L297" s="635">
        <v>36.905000000000001</v>
      </c>
      <c r="M297" s="635">
        <v>40</v>
      </c>
      <c r="N297" s="636">
        <v>1476.2</v>
      </c>
    </row>
    <row r="298" spans="1:14" ht="14.4" customHeight="1" x14ac:dyDescent="0.3">
      <c r="A298" s="631" t="s">
        <v>534</v>
      </c>
      <c r="B298" s="632" t="s">
        <v>536</v>
      </c>
      <c r="C298" s="633" t="s">
        <v>554</v>
      </c>
      <c r="D298" s="634" t="s">
        <v>555</v>
      </c>
      <c r="E298" s="633" t="s">
        <v>537</v>
      </c>
      <c r="F298" s="634" t="s">
        <v>538</v>
      </c>
      <c r="G298" s="633" t="s">
        <v>562</v>
      </c>
      <c r="H298" s="633" t="s">
        <v>1404</v>
      </c>
      <c r="I298" s="633" t="s">
        <v>246</v>
      </c>
      <c r="J298" s="633" t="s">
        <v>1405</v>
      </c>
      <c r="K298" s="633" t="s">
        <v>1406</v>
      </c>
      <c r="L298" s="635">
        <v>471.5</v>
      </c>
      <c r="M298" s="635">
        <v>170</v>
      </c>
      <c r="N298" s="636">
        <v>80155</v>
      </c>
    </row>
    <row r="299" spans="1:14" ht="14.4" customHeight="1" x14ac:dyDescent="0.3">
      <c r="A299" s="631" t="s">
        <v>534</v>
      </c>
      <c r="B299" s="632" t="s">
        <v>536</v>
      </c>
      <c r="C299" s="633" t="s">
        <v>554</v>
      </c>
      <c r="D299" s="634" t="s">
        <v>555</v>
      </c>
      <c r="E299" s="633" t="s">
        <v>537</v>
      </c>
      <c r="F299" s="634" t="s">
        <v>538</v>
      </c>
      <c r="G299" s="633" t="s">
        <v>562</v>
      </c>
      <c r="H299" s="633" t="s">
        <v>1407</v>
      </c>
      <c r="I299" s="633" t="s">
        <v>1408</v>
      </c>
      <c r="J299" s="633" t="s">
        <v>1409</v>
      </c>
      <c r="K299" s="633" t="s">
        <v>897</v>
      </c>
      <c r="L299" s="635">
        <v>52.409378200326977</v>
      </c>
      <c r="M299" s="635">
        <v>1</v>
      </c>
      <c r="N299" s="636">
        <v>52.409378200326977</v>
      </c>
    </row>
    <row r="300" spans="1:14" ht="14.4" customHeight="1" x14ac:dyDescent="0.3">
      <c r="A300" s="631" t="s">
        <v>534</v>
      </c>
      <c r="B300" s="632" t="s">
        <v>536</v>
      </c>
      <c r="C300" s="633" t="s">
        <v>554</v>
      </c>
      <c r="D300" s="634" t="s">
        <v>555</v>
      </c>
      <c r="E300" s="633" t="s">
        <v>537</v>
      </c>
      <c r="F300" s="634" t="s">
        <v>538</v>
      </c>
      <c r="G300" s="633" t="s">
        <v>562</v>
      </c>
      <c r="H300" s="633" t="s">
        <v>1410</v>
      </c>
      <c r="I300" s="633" t="s">
        <v>1411</v>
      </c>
      <c r="J300" s="633" t="s">
        <v>1412</v>
      </c>
      <c r="K300" s="633" t="s">
        <v>1413</v>
      </c>
      <c r="L300" s="635">
        <v>269.61901315789476</v>
      </c>
      <c r="M300" s="635">
        <v>7.6000000000000014</v>
      </c>
      <c r="N300" s="636">
        <v>2049.1045000000004</v>
      </c>
    </row>
    <row r="301" spans="1:14" ht="14.4" customHeight="1" x14ac:dyDescent="0.3">
      <c r="A301" s="631" t="s">
        <v>534</v>
      </c>
      <c r="B301" s="632" t="s">
        <v>536</v>
      </c>
      <c r="C301" s="633" t="s">
        <v>554</v>
      </c>
      <c r="D301" s="634" t="s">
        <v>555</v>
      </c>
      <c r="E301" s="633" t="s">
        <v>537</v>
      </c>
      <c r="F301" s="634" t="s">
        <v>538</v>
      </c>
      <c r="G301" s="633" t="s">
        <v>562</v>
      </c>
      <c r="H301" s="633" t="s">
        <v>1414</v>
      </c>
      <c r="I301" s="633" t="s">
        <v>1415</v>
      </c>
      <c r="J301" s="633" t="s">
        <v>1416</v>
      </c>
      <c r="K301" s="633" t="s">
        <v>1417</v>
      </c>
      <c r="L301" s="635">
        <v>110.49656457860048</v>
      </c>
      <c r="M301" s="635">
        <v>6</v>
      </c>
      <c r="N301" s="636">
        <v>662.97938747160288</v>
      </c>
    </row>
    <row r="302" spans="1:14" ht="14.4" customHeight="1" x14ac:dyDescent="0.3">
      <c r="A302" s="631" t="s">
        <v>534</v>
      </c>
      <c r="B302" s="632" t="s">
        <v>536</v>
      </c>
      <c r="C302" s="633" t="s">
        <v>554</v>
      </c>
      <c r="D302" s="634" t="s">
        <v>555</v>
      </c>
      <c r="E302" s="633" t="s">
        <v>537</v>
      </c>
      <c r="F302" s="634" t="s">
        <v>538</v>
      </c>
      <c r="G302" s="633" t="s">
        <v>562</v>
      </c>
      <c r="H302" s="633" t="s">
        <v>1418</v>
      </c>
      <c r="I302" s="633" t="s">
        <v>1419</v>
      </c>
      <c r="J302" s="633" t="s">
        <v>1420</v>
      </c>
      <c r="K302" s="633" t="s">
        <v>1421</v>
      </c>
      <c r="L302" s="635">
        <v>3786.72</v>
      </c>
      <c r="M302" s="635">
        <v>1</v>
      </c>
      <c r="N302" s="636">
        <v>3786.72</v>
      </c>
    </row>
    <row r="303" spans="1:14" ht="14.4" customHeight="1" x14ac:dyDescent="0.3">
      <c r="A303" s="631" t="s">
        <v>534</v>
      </c>
      <c r="B303" s="632" t="s">
        <v>536</v>
      </c>
      <c r="C303" s="633" t="s">
        <v>554</v>
      </c>
      <c r="D303" s="634" t="s">
        <v>555</v>
      </c>
      <c r="E303" s="633" t="s">
        <v>537</v>
      </c>
      <c r="F303" s="634" t="s">
        <v>538</v>
      </c>
      <c r="G303" s="633" t="s">
        <v>562</v>
      </c>
      <c r="H303" s="633" t="s">
        <v>1422</v>
      </c>
      <c r="I303" s="633" t="s">
        <v>246</v>
      </c>
      <c r="J303" s="633" t="s">
        <v>1423</v>
      </c>
      <c r="K303" s="633" t="s">
        <v>977</v>
      </c>
      <c r="L303" s="635">
        <v>23.7</v>
      </c>
      <c r="M303" s="635">
        <v>96</v>
      </c>
      <c r="N303" s="636">
        <v>2275.1999999999998</v>
      </c>
    </row>
    <row r="304" spans="1:14" ht="14.4" customHeight="1" x14ac:dyDescent="0.3">
      <c r="A304" s="631" t="s">
        <v>534</v>
      </c>
      <c r="B304" s="632" t="s">
        <v>536</v>
      </c>
      <c r="C304" s="633" t="s">
        <v>554</v>
      </c>
      <c r="D304" s="634" t="s">
        <v>555</v>
      </c>
      <c r="E304" s="633" t="s">
        <v>537</v>
      </c>
      <c r="F304" s="634" t="s">
        <v>538</v>
      </c>
      <c r="G304" s="633" t="s">
        <v>562</v>
      </c>
      <c r="H304" s="633" t="s">
        <v>975</v>
      </c>
      <c r="I304" s="633" t="s">
        <v>246</v>
      </c>
      <c r="J304" s="633" t="s">
        <v>976</v>
      </c>
      <c r="K304" s="633" t="s">
        <v>977</v>
      </c>
      <c r="L304" s="635">
        <v>24.037194261613511</v>
      </c>
      <c r="M304" s="635">
        <v>60</v>
      </c>
      <c r="N304" s="636">
        <v>1442.2316556968105</v>
      </c>
    </row>
    <row r="305" spans="1:14" ht="14.4" customHeight="1" x14ac:dyDescent="0.3">
      <c r="A305" s="631" t="s">
        <v>534</v>
      </c>
      <c r="B305" s="632" t="s">
        <v>536</v>
      </c>
      <c r="C305" s="633" t="s">
        <v>554</v>
      </c>
      <c r="D305" s="634" t="s">
        <v>555</v>
      </c>
      <c r="E305" s="633" t="s">
        <v>537</v>
      </c>
      <c r="F305" s="634" t="s">
        <v>538</v>
      </c>
      <c r="G305" s="633" t="s">
        <v>562</v>
      </c>
      <c r="H305" s="633" t="s">
        <v>1424</v>
      </c>
      <c r="I305" s="633" t="s">
        <v>246</v>
      </c>
      <c r="J305" s="633" t="s">
        <v>1425</v>
      </c>
      <c r="K305" s="633"/>
      <c r="L305" s="635">
        <v>78.759808637378214</v>
      </c>
      <c r="M305" s="635">
        <v>3</v>
      </c>
      <c r="N305" s="636">
        <v>236.27942591213463</v>
      </c>
    </row>
    <row r="306" spans="1:14" ht="14.4" customHeight="1" x14ac:dyDescent="0.3">
      <c r="A306" s="631" t="s">
        <v>534</v>
      </c>
      <c r="B306" s="632" t="s">
        <v>536</v>
      </c>
      <c r="C306" s="633" t="s">
        <v>554</v>
      </c>
      <c r="D306" s="634" t="s">
        <v>555</v>
      </c>
      <c r="E306" s="633" t="s">
        <v>537</v>
      </c>
      <c r="F306" s="634" t="s">
        <v>538</v>
      </c>
      <c r="G306" s="633" t="s">
        <v>562</v>
      </c>
      <c r="H306" s="633" t="s">
        <v>980</v>
      </c>
      <c r="I306" s="633" t="s">
        <v>981</v>
      </c>
      <c r="J306" s="633" t="s">
        <v>982</v>
      </c>
      <c r="K306" s="633" t="s">
        <v>983</v>
      </c>
      <c r="L306" s="635">
        <v>117.73889707893419</v>
      </c>
      <c r="M306" s="635">
        <v>60</v>
      </c>
      <c r="N306" s="636">
        <v>7064.3338247360516</v>
      </c>
    </row>
    <row r="307" spans="1:14" ht="14.4" customHeight="1" x14ac:dyDescent="0.3">
      <c r="A307" s="631" t="s">
        <v>534</v>
      </c>
      <c r="B307" s="632" t="s">
        <v>536</v>
      </c>
      <c r="C307" s="633" t="s">
        <v>554</v>
      </c>
      <c r="D307" s="634" t="s">
        <v>555</v>
      </c>
      <c r="E307" s="633" t="s">
        <v>537</v>
      </c>
      <c r="F307" s="634" t="s">
        <v>538</v>
      </c>
      <c r="G307" s="633" t="s">
        <v>562</v>
      </c>
      <c r="H307" s="633" t="s">
        <v>1426</v>
      </c>
      <c r="I307" s="633" t="s">
        <v>1427</v>
      </c>
      <c r="J307" s="633" t="s">
        <v>1428</v>
      </c>
      <c r="K307" s="633" t="s">
        <v>1387</v>
      </c>
      <c r="L307" s="635">
        <v>38.94</v>
      </c>
      <c r="M307" s="635">
        <v>10</v>
      </c>
      <c r="N307" s="636">
        <v>389.4</v>
      </c>
    </row>
    <row r="308" spans="1:14" ht="14.4" customHeight="1" x14ac:dyDescent="0.3">
      <c r="A308" s="631" t="s">
        <v>534</v>
      </c>
      <c r="B308" s="632" t="s">
        <v>536</v>
      </c>
      <c r="C308" s="633" t="s">
        <v>554</v>
      </c>
      <c r="D308" s="634" t="s">
        <v>555</v>
      </c>
      <c r="E308" s="633" t="s">
        <v>537</v>
      </c>
      <c r="F308" s="634" t="s">
        <v>538</v>
      </c>
      <c r="G308" s="633" t="s">
        <v>562</v>
      </c>
      <c r="H308" s="633" t="s">
        <v>1429</v>
      </c>
      <c r="I308" s="633" t="s">
        <v>1430</v>
      </c>
      <c r="J308" s="633" t="s">
        <v>1431</v>
      </c>
      <c r="K308" s="633" t="s">
        <v>1432</v>
      </c>
      <c r="L308" s="635">
        <v>1036.82</v>
      </c>
      <c r="M308" s="635">
        <v>10</v>
      </c>
      <c r="N308" s="636">
        <v>10368.199999999999</v>
      </c>
    </row>
    <row r="309" spans="1:14" ht="14.4" customHeight="1" x14ac:dyDescent="0.3">
      <c r="A309" s="631" t="s">
        <v>534</v>
      </c>
      <c r="B309" s="632" t="s">
        <v>536</v>
      </c>
      <c r="C309" s="633" t="s">
        <v>554</v>
      </c>
      <c r="D309" s="634" t="s">
        <v>555</v>
      </c>
      <c r="E309" s="633" t="s">
        <v>537</v>
      </c>
      <c r="F309" s="634" t="s">
        <v>538</v>
      </c>
      <c r="G309" s="633" t="s">
        <v>562</v>
      </c>
      <c r="H309" s="633" t="s">
        <v>1433</v>
      </c>
      <c r="I309" s="633" t="s">
        <v>1434</v>
      </c>
      <c r="J309" s="633" t="s">
        <v>1033</v>
      </c>
      <c r="K309" s="633" t="s">
        <v>1435</v>
      </c>
      <c r="L309" s="635">
        <v>399.47946005902622</v>
      </c>
      <c r="M309" s="635">
        <v>25</v>
      </c>
      <c r="N309" s="636">
        <v>9986.986501475656</v>
      </c>
    </row>
    <row r="310" spans="1:14" ht="14.4" customHeight="1" x14ac:dyDescent="0.3">
      <c r="A310" s="631" t="s">
        <v>534</v>
      </c>
      <c r="B310" s="632" t="s">
        <v>536</v>
      </c>
      <c r="C310" s="633" t="s">
        <v>554</v>
      </c>
      <c r="D310" s="634" t="s">
        <v>555</v>
      </c>
      <c r="E310" s="633" t="s">
        <v>537</v>
      </c>
      <c r="F310" s="634" t="s">
        <v>538</v>
      </c>
      <c r="G310" s="633" t="s">
        <v>562</v>
      </c>
      <c r="H310" s="633" t="s">
        <v>1436</v>
      </c>
      <c r="I310" s="633" t="s">
        <v>1437</v>
      </c>
      <c r="J310" s="633" t="s">
        <v>1438</v>
      </c>
      <c r="K310" s="633" t="s">
        <v>1439</v>
      </c>
      <c r="L310" s="635">
        <v>93.05</v>
      </c>
      <c r="M310" s="635">
        <v>1</v>
      </c>
      <c r="N310" s="636">
        <v>93.05</v>
      </c>
    </row>
    <row r="311" spans="1:14" ht="14.4" customHeight="1" x14ac:dyDescent="0.3">
      <c r="A311" s="631" t="s">
        <v>534</v>
      </c>
      <c r="B311" s="632" t="s">
        <v>536</v>
      </c>
      <c r="C311" s="633" t="s">
        <v>554</v>
      </c>
      <c r="D311" s="634" t="s">
        <v>555</v>
      </c>
      <c r="E311" s="633" t="s">
        <v>537</v>
      </c>
      <c r="F311" s="634" t="s">
        <v>538</v>
      </c>
      <c r="G311" s="633" t="s">
        <v>562</v>
      </c>
      <c r="H311" s="633" t="s">
        <v>1440</v>
      </c>
      <c r="I311" s="633" t="s">
        <v>246</v>
      </c>
      <c r="J311" s="633" t="s">
        <v>1441</v>
      </c>
      <c r="K311" s="633"/>
      <c r="L311" s="635">
        <v>26.219999999999995</v>
      </c>
      <c r="M311" s="635">
        <v>1</v>
      </c>
      <c r="N311" s="636">
        <v>26.219999999999995</v>
      </c>
    </row>
    <row r="312" spans="1:14" ht="14.4" customHeight="1" x14ac:dyDescent="0.3">
      <c r="A312" s="631" t="s">
        <v>534</v>
      </c>
      <c r="B312" s="632" t="s">
        <v>536</v>
      </c>
      <c r="C312" s="633" t="s">
        <v>554</v>
      </c>
      <c r="D312" s="634" t="s">
        <v>555</v>
      </c>
      <c r="E312" s="633" t="s">
        <v>537</v>
      </c>
      <c r="F312" s="634" t="s">
        <v>538</v>
      </c>
      <c r="G312" s="633" t="s">
        <v>562</v>
      </c>
      <c r="H312" s="633" t="s">
        <v>1442</v>
      </c>
      <c r="I312" s="633" t="s">
        <v>1443</v>
      </c>
      <c r="J312" s="633" t="s">
        <v>754</v>
      </c>
      <c r="K312" s="633" t="s">
        <v>1444</v>
      </c>
      <c r="L312" s="635">
        <v>138.67473187230115</v>
      </c>
      <c r="M312" s="635">
        <v>4</v>
      </c>
      <c r="N312" s="636">
        <v>554.69892748920461</v>
      </c>
    </row>
    <row r="313" spans="1:14" ht="14.4" customHeight="1" x14ac:dyDescent="0.3">
      <c r="A313" s="631" t="s">
        <v>534</v>
      </c>
      <c r="B313" s="632" t="s">
        <v>536</v>
      </c>
      <c r="C313" s="633" t="s">
        <v>554</v>
      </c>
      <c r="D313" s="634" t="s">
        <v>555</v>
      </c>
      <c r="E313" s="633" t="s">
        <v>537</v>
      </c>
      <c r="F313" s="634" t="s">
        <v>538</v>
      </c>
      <c r="G313" s="633" t="s">
        <v>562</v>
      </c>
      <c r="H313" s="633" t="s">
        <v>1445</v>
      </c>
      <c r="I313" s="633" t="s">
        <v>1446</v>
      </c>
      <c r="J313" s="633" t="s">
        <v>1447</v>
      </c>
      <c r="K313" s="633" t="s">
        <v>1448</v>
      </c>
      <c r="L313" s="635">
        <v>734.05</v>
      </c>
      <c r="M313" s="635">
        <v>5</v>
      </c>
      <c r="N313" s="636">
        <v>3670.25</v>
      </c>
    </row>
    <row r="314" spans="1:14" ht="14.4" customHeight="1" x14ac:dyDescent="0.3">
      <c r="A314" s="631" t="s">
        <v>534</v>
      </c>
      <c r="B314" s="632" t="s">
        <v>536</v>
      </c>
      <c r="C314" s="633" t="s">
        <v>554</v>
      </c>
      <c r="D314" s="634" t="s">
        <v>555</v>
      </c>
      <c r="E314" s="633" t="s">
        <v>537</v>
      </c>
      <c r="F314" s="634" t="s">
        <v>538</v>
      </c>
      <c r="G314" s="633" t="s">
        <v>562</v>
      </c>
      <c r="H314" s="633" t="s">
        <v>1449</v>
      </c>
      <c r="I314" s="633" t="s">
        <v>1450</v>
      </c>
      <c r="J314" s="633" t="s">
        <v>1451</v>
      </c>
      <c r="K314" s="633"/>
      <c r="L314" s="635">
        <v>603.51</v>
      </c>
      <c r="M314" s="635">
        <v>1</v>
      </c>
      <c r="N314" s="636">
        <v>603.51</v>
      </c>
    </row>
    <row r="315" spans="1:14" ht="14.4" customHeight="1" x14ac:dyDescent="0.3">
      <c r="A315" s="631" t="s">
        <v>534</v>
      </c>
      <c r="B315" s="632" t="s">
        <v>536</v>
      </c>
      <c r="C315" s="633" t="s">
        <v>554</v>
      </c>
      <c r="D315" s="634" t="s">
        <v>555</v>
      </c>
      <c r="E315" s="633" t="s">
        <v>537</v>
      </c>
      <c r="F315" s="634" t="s">
        <v>538</v>
      </c>
      <c r="G315" s="633" t="s">
        <v>562</v>
      </c>
      <c r="H315" s="633" t="s">
        <v>1452</v>
      </c>
      <c r="I315" s="633" t="s">
        <v>1453</v>
      </c>
      <c r="J315" s="633" t="s">
        <v>1454</v>
      </c>
      <c r="K315" s="633" t="s">
        <v>1455</v>
      </c>
      <c r="L315" s="635">
        <v>742.06</v>
      </c>
      <c r="M315" s="635">
        <v>2</v>
      </c>
      <c r="N315" s="636">
        <v>1484.12</v>
      </c>
    </row>
    <row r="316" spans="1:14" ht="14.4" customHeight="1" x14ac:dyDescent="0.3">
      <c r="A316" s="631" t="s">
        <v>534</v>
      </c>
      <c r="B316" s="632" t="s">
        <v>536</v>
      </c>
      <c r="C316" s="633" t="s">
        <v>554</v>
      </c>
      <c r="D316" s="634" t="s">
        <v>555</v>
      </c>
      <c r="E316" s="633" t="s">
        <v>537</v>
      </c>
      <c r="F316" s="634" t="s">
        <v>538</v>
      </c>
      <c r="G316" s="633" t="s">
        <v>562</v>
      </c>
      <c r="H316" s="633" t="s">
        <v>1008</v>
      </c>
      <c r="I316" s="633" t="s">
        <v>1009</v>
      </c>
      <c r="J316" s="633" t="s">
        <v>1010</v>
      </c>
      <c r="K316" s="633" t="s">
        <v>1011</v>
      </c>
      <c r="L316" s="635">
        <v>87.99222222222221</v>
      </c>
      <c r="M316" s="635">
        <v>9</v>
      </c>
      <c r="N316" s="636">
        <v>791.93</v>
      </c>
    </row>
    <row r="317" spans="1:14" ht="14.4" customHeight="1" x14ac:dyDescent="0.3">
      <c r="A317" s="631" t="s">
        <v>534</v>
      </c>
      <c r="B317" s="632" t="s">
        <v>536</v>
      </c>
      <c r="C317" s="633" t="s">
        <v>554</v>
      </c>
      <c r="D317" s="634" t="s">
        <v>555</v>
      </c>
      <c r="E317" s="633" t="s">
        <v>537</v>
      </c>
      <c r="F317" s="634" t="s">
        <v>538</v>
      </c>
      <c r="G317" s="633" t="s">
        <v>562</v>
      </c>
      <c r="H317" s="633" t="s">
        <v>1456</v>
      </c>
      <c r="I317" s="633" t="s">
        <v>1457</v>
      </c>
      <c r="J317" s="633" t="s">
        <v>1458</v>
      </c>
      <c r="K317" s="633" t="s">
        <v>1459</v>
      </c>
      <c r="L317" s="635">
        <v>339.94</v>
      </c>
      <c r="M317" s="635">
        <v>1</v>
      </c>
      <c r="N317" s="636">
        <v>339.94</v>
      </c>
    </row>
    <row r="318" spans="1:14" ht="14.4" customHeight="1" x14ac:dyDescent="0.3">
      <c r="A318" s="631" t="s">
        <v>534</v>
      </c>
      <c r="B318" s="632" t="s">
        <v>536</v>
      </c>
      <c r="C318" s="633" t="s">
        <v>554</v>
      </c>
      <c r="D318" s="634" t="s">
        <v>555</v>
      </c>
      <c r="E318" s="633" t="s">
        <v>537</v>
      </c>
      <c r="F318" s="634" t="s">
        <v>538</v>
      </c>
      <c r="G318" s="633" t="s">
        <v>562</v>
      </c>
      <c r="H318" s="633" t="s">
        <v>1016</v>
      </c>
      <c r="I318" s="633" t="s">
        <v>246</v>
      </c>
      <c r="J318" s="633" t="s">
        <v>1017</v>
      </c>
      <c r="K318" s="633" t="s">
        <v>1018</v>
      </c>
      <c r="L318" s="635">
        <v>33.660009679223677</v>
      </c>
      <c r="M318" s="635">
        <v>7</v>
      </c>
      <c r="N318" s="636">
        <v>235.62006775456572</v>
      </c>
    </row>
    <row r="319" spans="1:14" ht="14.4" customHeight="1" x14ac:dyDescent="0.3">
      <c r="A319" s="631" t="s">
        <v>534</v>
      </c>
      <c r="B319" s="632" t="s">
        <v>536</v>
      </c>
      <c r="C319" s="633" t="s">
        <v>554</v>
      </c>
      <c r="D319" s="634" t="s">
        <v>555</v>
      </c>
      <c r="E319" s="633" t="s">
        <v>537</v>
      </c>
      <c r="F319" s="634" t="s">
        <v>538</v>
      </c>
      <c r="G319" s="633" t="s">
        <v>562</v>
      </c>
      <c r="H319" s="633" t="s">
        <v>1460</v>
      </c>
      <c r="I319" s="633" t="s">
        <v>1461</v>
      </c>
      <c r="J319" s="633" t="s">
        <v>1462</v>
      </c>
      <c r="K319" s="633" t="s">
        <v>1463</v>
      </c>
      <c r="L319" s="635">
        <v>2700</v>
      </c>
      <c r="M319" s="635">
        <v>4</v>
      </c>
      <c r="N319" s="636">
        <v>10800</v>
      </c>
    </row>
    <row r="320" spans="1:14" ht="14.4" customHeight="1" x14ac:dyDescent="0.3">
      <c r="A320" s="631" t="s">
        <v>534</v>
      </c>
      <c r="B320" s="632" t="s">
        <v>536</v>
      </c>
      <c r="C320" s="633" t="s">
        <v>554</v>
      </c>
      <c r="D320" s="634" t="s">
        <v>555</v>
      </c>
      <c r="E320" s="633" t="s">
        <v>537</v>
      </c>
      <c r="F320" s="634" t="s">
        <v>538</v>
      </c>
      <c r="G320" s="633" t="s">
        <v>562</v>
      </c>
      <c r="H320" s="633" t="s">
        <v>1464</v>
      </c>
      <c r="I320" s="633" t="s">
        <v>246</v>
      </c>
      <c r="J320" s="633" t="s">
        <v>1465</v>
      </c>
      <c r="K320" s="633"/>
      <c r="L320" s="635">
        <v>207.16577657397772</v>
      </c>
      <c r="M320" s="635">
        <v>12</v>
      </c>
      <c r="N320" s="636">
        <v>2485.9893188877327</v>
      </c>
    </row>
    <row r="321" spans="1:14" ht="14.4" customHeight="1" x14ac:dyDescent="0.3">
      <c r="A321" s="631" t="s">
        <v>534</v>
      </c>
      <c r="B321" s="632" t="s">
        <v>536</v>
      </c>
      <c r="C321" s="633" t="s">
        <v>554</v>
      </c>
      <c r="D321" s="634" t="s">
        <v>555</v>
      </c>
      <c r="E321" s="633" t="s">
        <v>537</v>
      </c>
      <c r="F321" s="634" t="s">
        <v>538</v>
      </c>
      <c r="G321" s="633" t="s">
        <v>562</v>
      </c>
      <c r="H321" s="633" t="s">
        <v>1466</v>
      </c>
      <c r="I321" s="633" t="s">
        <v>1466</v>
      </c>
      <c r="J321" s="633" t="s">
        <v>1467</v>
      </c>
      <c r="K321" s="633" t="s">
        <v>1468</v>
      </c>
      <c r="L321" s="635">
        <v>179.89000000000001</v>
      </c>
      <c r="M321" s="635">
        <v>10</v>
      </c>
      <c r="N321" s="636">
        <v>1798.9</v>
      </c>
    </row>
    <row r="322" spans="1:14" ht="14.4" customHeight="1" x14ac:dyDescent="0.3">
      <c r="A322" s="631" t="s">
        <v>534</v>
      </c>
      <c r="B322" s="632" t="s">
        <v>536</v>
      </c>
      <c r="C322" s="633" t="s">
        <v>554</v>
      </c>
      <c r="D322" s="634" t="s">
        <v>555</v>
      </c>
      <c r="E322" s="633" t="s">
        <v>537</v>
      </c>
      <c r="F322" s="634" t="s">
        <v>538</v>
      </c>
      <c r="G322" s="633" t="s">
        <v>562</v>
      </c>
      <c r="H322" s="633" t="s">
        <v>1469</v>
      </c>
      <c r="I322" s="633" t="s">
        <v>246</v>
      </c>
      <c r="J322" s="633" t="s">
        <v>1470</v>
      </c>
      <c r="K322" s="633"/>
      <c r="L322" s="635">
        <v>78.38968320087281</v>
      </c>
      <c r="M322" s="635">
        <v>2</v>
      </c>
      <c r="N322" s="636">
        <v>156.77936640174562</v>
      </c>
    </row>
    <row r="323" spans="1:14" ht="14.4" customHeight="1" x14ac:dyDescent="0.3">
      <c r="A323" s="631" t="s">
        <v>534</v>
      </c>
      <c r="B323" s="632" t="s">
        <v>536</v>
      </c>
      <c r="C323" s="633" t="s">
        <v>554</v>
      </c>
      <c r="D323" s="634" t="s">
        <v>555</v>
      </c>
      <c r="E323" s="633" t="s">
        <v>537</v>
      </c>
      <c r="F323" s="634" t="s">
        <v>538</v>
      </c>
      <c r="G323" s="633" t="s">
        <v>562</v>
      </c>
      <c r="H323" s="633" t="s">
        <v>1471</v>
      </c>
      <c r="I323" s="633" t="s">
        <v>246</v>
      </c>
      <c r="J323" s="633" t="s">
        <v>1472</v>
      </c>
      <c r="K323" s="633" t="s">
        <v>1473</v>
      </c>
      <c r="L323" s="635">
        <v>145.45174978471655</v>
      </c>
      <c r="M323" s="635">
        <v>5</v>
      </c>
      <c r="N323" s="636">
        <v>727.25874892358274</v>
      </c>
    </row>
    <row r="324" spans="1:14" ht="14.4" customHeight="1" x14ac:dyDescent="0.3">
      <c r="A324" s="631" t="s">
        <v>534</v>
      </c>
      <c r="B324" s="632" t="s">
        <v>536</v>
      </c>
      <c r="C324" s="633" t="s">
        <v>554</v>
      </c>
      <c r="D324" s="634" t="s">
        <v>555</v>
      </c>
      <c r="E324" s="633" t="s">
        <v>537</v>
      </c>
      <c r="F324" s="634" t="s">
        <v>538</v>
      </c>
      <c r="G324" s="633" t="s">
        <v>562</v>
      </c>
      <c r="H324" s="633" t="s">
        <v>1474</v>
      </c>
      <c r="I324" s="633" t="s">
        <v>1474</v>
      </c>
      <c r="J324" s="633" t="s">
        <v>1475</v>
      </c>
      <c r="K324" s="633" t="s">
        <v>1476</v>
      </c>
      <c r="L324" s="635">
        <v>300.00000000000011</v>
      </c>
      <c r="M324" s="635">
        <v>1</v>
      </c>
      <c r="N324" s="636">
        <v>300.00000000000011</v>
      </c>
    </row>
    <row r="325" spans="1:14" ht="14.4" customHeight="1" x14ac:dyDescent="0.3">
      <c r="A325" s="631" t="s">
        <v>534</v>
      </c>
      <c r="B325" s="632" t="s">
        <v>536</v>
      </c>
      <c r="C325" s="633" t="s">
        <v>554</v>
      </c>
      <c r="D325" s="634" t="s">
        <v>555</v>
      </c>
      <c r="E325" s="633" t="s">
        <v>537</v>
      </c>
      <c r="F325" s="634" t="s">
        <v>538</v>
      </c>
      <c r="G325" s="633" t="s">
        <v>562</v>
      </c>
      <c r="H325" s="633" t="s">
        <v>1477</v>
      </c>
      <c r="I325" s="633" t="s">
        <v>1478</v>
      </c>
      <c r="J325" s="633" t="s">
        <v>1479</v>
      </c>
      <c r="K325" s="633" t="s">
        <v>1480</v>
      </c>
      <c r="L325" s="635">
        <v>684.38</v>
      </c>
      <c r="M325" s="635">
        <v>2</v>
      </c>
      <c r="N325" s="636">
        <v>1368.76</v>
      </c>
    </row>
    <row r="326" spans="1:14" ht="14.4" customHeight="1" x14ac:dyDescent="0.3">
      <c r="A326" s="631" t="s">
        <v>534</v>
      </c>
      <c r="B326" s="632" t="s">
        <v>536</v>
      </c>
      <c r="C326" s="633" t="s">
        <v>554</v>
      </c>
      <c r="D326" s="634" t="s">
        <v>555</v>
      </c>
      <c r="E326" s="633" t="s">
        <v>537</v>
      </c>
      <c r="F326" s="634" t="s">
        <v>538</v>
      </c>
      <c r="G326" s="633" t="s">
        <v>562</v>
      </c>
      <c r="H326" s="633" t="s">
        <v>1481</v>
      </c>
      <c r="I326" s="633" t="s">
        <v>246</v>
      </c>
      <c r="J326" s="633" t="s">
        <v>1482</v>
      </c>
      <c r="K326" s="633"/>
      <c r="L326" s="635">
        <v>852.01204705037037</v>
      </c>
      <c r="M326" s="635">
        <v>1</v>
      </c>
      <c r="N326" s="636">
        <v>852.01204705037037</v>
      </c>
    </row>
    <row r="327" spans="1:14" ht="14.4" customHeight="1" x14ac:dyDescent="0.3">
      <c r="A327" s="631" t="s">
        <v>534</v>
      </c>
      <c r="B327" s="632" t="s">
        <v>536</v>
      </c>
      <c r="C327" s="633" t="s">
        <v>554</v>
      </c>
      <c r="D327" s="634" t="s">
        <v>555</v>
      </c>
      <c r="E327" s="633" t="s">
        <v>537</v>
      </c>
      <c r="F327" s="634" t="s">
        <v>538</v>
      </c>
      <c r="G327" s="633" t="s">
        <v>562</v>
      </c>
      <c r="H327" s="633" t="s">
        <v>1483</v>
      </c>
      <c r="I327" s="633" t="s">
        <v>1484</v>
      </c>
      <c r="J327" s="633" t="s">
        <v>1485</v>
      </c>
      <c r="K327" s="633" t="s">
        <v>1486</v>
      </c>
      <c r="L327" s="635">
        <v>565.01</v>
      </c>
      <c r="M327" s="635">
        <v>1</v>
      </c>
      <c r="N327" s="636">
        <v>565.01</v>
      </c>
    </row>
    <row r="328" spans="1:14" ht="14.4" customHeight="1" x14ac:dyDescent="0.3">
      <c r="A328" s="631" t="s">
        <v>534</v>
      </c>
      <c r="B328" s="632" t="s">
        <v>536</v>
      </c>
      <c r="C328" s="633" t="s">
        <v>554</v>
      </c>
      <c r="D328" s="634" t="s">
        <v>555</v>
      </c>
      <c r="E328" s="633" t="s">
        <v>537</v>
      </c>
      <c r="F328" s="634" t="s">
        <v>538</v>
      </c>
      <c r="G328" s="633" t="s">
        <v>562</v>
      </c>
      <c r="H328" s="633" t="s">
        <v>1487</v>
      </c>
      <c r="I328" s="633" t="s">
        <v>1488</v>
      </c>
      <c r="J328" s="633" t="s">
        <v>1489</v>
      </c>
      <c r="K328" s="633" t="s">
        <v>1490</v>
      </c>
      <c r="L328" s="635">
        <v>75.989960305933437</v>
      </c>
      <c r="M328" s="635">
        <v>6</v>
      </c>
      <c r="N328" s="636">
        <v>455.93976183560062</v>
      </c>
    </row>
    <row r="329" spans="1:14" ht="14.4" customHeight="1" x14ac:dyDescent="0.3">
      <c r="A329" s="631" t="s">
        <v>534</v>
      </c>
      <c r="B329" s="632" t="s">
        <v>536</v>
      </c>
      <c r="C329" s="633" t="s">
        <v>554</v>
      </c>
      <c r="D329" s="634" t="s">
        <v>555</v>
      </c>
      <c r="E329" s="633" t="s">
        <v>537</v>
      </c>
      <c r="F329" s="634" t="s">
        <v>538</v>
      </c>
      <c r="G329" s="633" t="s">
        <v>562</v>
      </c>
      <c r="H329" s="633" t="s">
        <v>1491</v>
      </c>
      <c r="I329" s="633" t="s">
        <v>1492</v>
      </c>
      <c r="J329" s="633" t="s">
        <v>1493</v>
      </c>
      <c r="K329" s="633" t="s">
        <v>1494</v>
      </c>
      <c r="L329" s="635">
        <v>84.358514333014909</v>
      </c>
      <c r="M329" s="635">
        <v>7</v>
      </c>
      <c r="N329" s="636">
        <v>590.50960033110437</v>
      </c>
    </row>
    <row r="330" spans="1:14" ht="14.4" customHeight="1" x14ac:dyDescent="0.3">
      <c r="A330" s="631" t="s">
        <v>534</v>
      </c>
      <c r="B330" s="632" t="s">
        <v>536</v>
      </c>
      <c r="C330" s="633" t="s">
        <v>554</v>
      </c>
      <c r="D330" s="634" t="s">
        <v>555</v>
      </c>
      <c r="E330" s="633" t="s">
        <v>537</v>
      </c>
      <c r="F330" s="634" t="s">
        <v>538</v>
      </c>
      <c r="G330" s="633" t="s">
        <v>562</v>
      </c>
      <c r="H330" s="633" t="s">
        <v>1495</v>
      </c>
      <c r="I330" s="633" t="s">
        <v>246</v>
      </c>
      <c r="J330" s="633" t="s">
        <v>1496</v>
      </c>
      <c r="K330" s="633" t="s">
        <v>1397</v>
      </c>
      <c r="L330" s="635">
        <v>396.75</v>
      </c>
      <c r="M330" s="635">
        <v>12</v>
      </c>
      <c r="N330" s="636">
        <v>4761</v>
      </c>
    </row>
    <row r="331" spans="1:14" ht="14.4" customHeight="1" x14ac:dyDescent="0.3">
      <c r="A331" s="631" t="s">
        <v>534</v>
      </c>
      <c r="B331" s="632" t="s">
        <v>536</v>
      </c>
      <c r="C331" s="633" t="s">
        <v>554</v>
      </c>
      <c r="D331" s="634" t="s">
        <v>555</v>
      </c>
      <c r="E331" s="633" t="s">
        <v>537</v>
      </c>
      <c r="F331" s="634" t="s">
        <v>538</v>
      </c>
      <c r="G331" s="633" t="s">
        <v>562</v>
      </c>
      <c r="H331" s="633" t="s">
        <v>1497</v>
      </c>
      <c r="I331" s="633" t="s">
        <v>1498</v>
      </c>
      <c r="J331" s="633" t="s">
        <v>1499</v>
      </c>
      <c r="K331" s="633" t="s">
        <v>1500</v>
      </c>
      <c r="L331" s="635">
        <v>152.88015198632007</v>
      </c>
      <c r="M331" s="635">
        <v>2</v>
      </c>
      <c r="N331" s="636">
        <v>305.76030397264014</v>
      </c>
    </row>
    <row r="332" spans="1:14" ht="14.4" customHeight="1" x14ac:dyDescent="0.3">
      <c r="A332" s="631" t="s">
        <v>534</v>
      </c>
      <c r="B332" s="632" t="s">
        <v>536</v>
      </c>
      <c r="C332" s="633" t="s">
        <v>554</v>
      </c>
      <c r="D332" s="634" t="s">
        <v>555</v>
      </c>
      <c r="E332" s="633" t="s">
        <v>537</v>
      </c>
      <c r="F332" s="634" t="s">
        <v>538</v>
      </c>
      <c r="G332" s="633" t="s">
        <v>562</v>
      </c>
      <c r="H332" s="633" t="s">
        <v>1501</v>
      </c>
      <c r="I332" s="633" t="s">
        <v>1502</v>
      </c>
      <c r="J332" s="633" t="s">
        <v>1503</v>
      </c>
      <c r="K332" s="633" t="s">
        <v>1504</v>
      </c>
      <c r="L332" s="635">
        <v>90.969591718478299</v>
      </c>
      <c r="M332" s="635">
        <v>1</v>
      </c>
      <c r="N332" s="636">
        <v>90.969591718478299</v>
      </c>
    </row>
    <row r="333" spans="1:14" ht="14.4" customHeight="1" x14ac:dyDescent="0.3">
      <c r="A333" s="631" t="s">
        <v>534</v>
      </c>
      <c r="B333" s="632" t="s">
        <v>536</v>
      </c>
      <c r="C333" s="633" t="s">
        <v>554</v>
      </c>
      <c r="D333" s="634" t="s">
        <v>555</v>
      </c>
      <c r="E333" s="633" t="s">
        <v>537</v>
      </c>
      <c r="F333" s="634" t="s">
        <v>538</v>
      </c>
      <c r="G333" s="633" t="s">
        <v>562</v>
      </c>
      <c r="H333" s="633" t="s">
        <v>1505</v>
      </c>
      <c r="I333" s="633" t="s">
        <v>1505</v>
      </c>
      <c r="J333" s="633" t="s">
        <v>1479</v>
      </c>
      <c r="K333" s="633" t="s">
        <v>1506</v>
      </c>
      <c r="L333" s="635">
        <v>1647.5901150686429</v>
      </c>
      <c r="M333" s="635">
        <v>1</v>
      </c>
      <c r="N333" s="636">
        <v>1647.5901150686429</v>
      </c>
    </row>
    <row r="334" spans="1:14" ht="14.4" customHeight="1" x14ac:dyDescent="0.3">
      <c r="A334" s="631" t="s">
        <v>534</v>
      </c>
      <c r="B334" s="632" t="s">
        <v>536</v>
      </c>
      <c r="C334" s="633" t="s">
        <v>554</v>
      </c>
      <c r="D334" s="634" t="s">
        <v>555</v>
      </c>
      <c r="E334" s="633" t="s">
        <v>537</v>
      </c>
      <c r="F334" s="634" t="s">
        <v>538</v>
      </c>
      <c r="G334" s="633" t="s">
        <v>562</v>
      </c>
      <c r="H334" s="633" t="s">
        <v>1507</v>
      </c>
      <c r="I334" s="633" t="s">
        <v>1508</v>
      </c>
      <c r="J334" s="633" t="s">
        <v>1509</v>
      </c>
      <c r="K334" s="633" t="s">
        <v>1510</v>
      </c>
      <c r="L334" s="635">
        <v>79.840052509817141</v>
      </c>
      <c r="M334" s="635">
        <v>3</v>
      </c>
      <c r="N334" s="636">
        <v>239.52015752945141</v>
      </c>
    </row>
    <row r="335" spans="1:14" ht="14.4" customHeight="1" x14ac:dyDescent="0.3">
      <c r="A335" s="631" t="s">
        <v>534</v>
      </c>
      <c r="B335" s="632" t="s">
        <v>536</v>
      </c>
      <c r="C335" s="633" t="s">
        <v>554</v>
      </c>
      <c r="D335" s="634" t="s">
        <v>555</v>
      </c>
      <c r="E335" s="633" t="s">
        <v>537</v>
      </c>
      <c r="F335" s="634" t="s">
        <v>538</v>
      </c>
      <c r="G335" s="633" t="s">
        <v>562</v>
      </c>
      <c r="H335" s="633" t="s">
        <v>1511</v>
      </c>
      <c r="I335" s="633" t="s">
        <v>1512</v>
      </c>
      <c r="J335" s="633" t="s">
        <v>1509</v>
      </c>
      <c r="K335" s="633" t="s">
        <v>1513</v>
      </c>
      <c r="L335" s="635">
        <v>268.78013258005365</v>
      </c>
      <c r="M335" s="635">
        <v>2</v>
      </c>
      <c r="N335" s="636">
        <v>537.56026516010729</v>
      </c>
    </row>
    <row r="336" spans="1:14" ht="14.4" customHeight="1" x14ac:dyDescent="0.3">
      <c r="A336" s="631" t="s">
        <v>534</v>
      </c>
      <c r="B336" s="632" t="s">
        <v>536</v>
      </c>
      <c r="C336" s="633" t="s">
        <v>554</v>
      </c>
      <c r="D336" s="634" t="s">
        <v>555</v>
      </c>
      <c r="E336" s="633" t="s">
        <v>537</v>
      </c>
      <c r="F336" s="634" t="s">
        <v>538</v>
      </c>
      <c r="G336" s="633" t="s">
        <v>562</v>
      </c>
      <c r="H336" s="633" t="s">
        <v>1514</v>
      </c>
      <c r="I336" s="633" t="s">
        <v>1515</v>
      </c>
      <c r="J336" s="633" t="s">
        <v>1516</v>
      </c>
      <c r="K336" s="633" t="s">
        <v>1517</v>
      </c>
      <c r="L336" s="635">
        <v>1003.06</v>
      </c>
      <c r="M336" s="635">
        <v>3</v>
      </c>
      <c r="N336" s="636">
        <v>3009.18</v>
      </c>
    </row>
    <row r="337" spans="1:14" ht="14.4" customHeight="1" x14ac:dyDescent="0.3">
      <c r="A337" s="631" t="s">
        <v>534</v>
      </c>
      <c r="B337" s="632" t="s">
        <v>536</v>
      </c>
      <c r="C337" s="633" t="s">
        <v>554</v>
      </c>
      <c r="D337" s="634" t="s">
        <v>555</v>
      </c>
      <c r="E337" s="633" t="s">
        <v>537</v>
      </c>
      <c r="F337" s="634" t="s">
        <v>538</v>
      </c>
      <c r="G337" s="633" t="s">
        <v>562</v>
      </c>
      <c r="H337" s="633" t="s">
        <v>1518</v>
      </c>
      <c r="I337" s="633" t="s">
        <v>1518</v>
      </c>
      <c r="J337" s="633" t="s">
        <v>1519</v>
      </c>
      <c r="K337" s="633" t="s">
        <v>1520</v>
      </c>
      <c r="L337" s="635">
        <v>4491.0084591272416</v>
      </c>
      <c r="M337" s="635">
        <v>2</v>
      </c>
      <c r="N337" s="636">
        <v>8982.0169182544832</v>
      </c>
    </row>
    <row r="338" spans="1:14" ht="14.4" customHeight="1" x14ac:dyDescent="0.3">
      <c r="A338" s="631" t="s">
        <v>534</v>
      </c>
      <c r="B338" s="632" t="s">
        <v>536</v>
      </c>
      <c r="C338" s="633" t="s">
        <v>554</v>
      </c>
      <c r="D338" s="634" t="s">
        <v>555</v>
      </c>
      <c r="E338" s="633" t="s">
        <v>537</v>
      </c>
      <c r="F338" s="634" t="s">
        <v>538</v>
      </c>
      <c r="G338" s="633" t="s">
        <v>562</v>
      </c>
      <c r="H338" s="633" t="s">
        <v>1521</v>
      </c>
      <c r="I338" s="633" t="s">
        <v>246</v>
      </c>
      <c r="J338" s="633" t="s">
        <v>1522</v>
      </c>
      <c r="K338" s="633"/>
      <c r="L338" s="635">
        <v>11262.93</v>
      </c>
      <c r="M338" s="635">
        <v>1</v>
      </c>
      <c r="N338" s="636">
        <v>11262.93</v>
      </c>
    </row>
    <row r="339" spans="1:14" ht="14.4" customHeight="1" x14ac:dyDescent="0.3">
      <c r="A339" s="631" t="s">
        <v>534</v>
      </c>
      <c r="B339" s="632" t="s">
        <v>536</v>
      </c>
      <c r="C339" s="633" t="s">
        <v>554</v>
      </c>
      <c r="D339" s="634" t="s">
        <v>555</v>
      </c>
      <c r="E339" s="633" t="s">
        <v>537</v>
      </c>
      <c r="F339" s="634" t="s">
        <v>538</v>
      </c>
      <c r="G339" s="633" t="s">
        <v>562</v>
      </c>
      <c r="H339" s="633" t="s">
        <v>1523</v>
      </c>
      <c r="I339" s="633" t="s">
        <v>1523</v>
      </c>
      <c r="J339" s="633" t="s">
        <v>1524</v>
      </c>
      <c r="K339" s="633" t="s">
        <v>1525</v>
      </c>
      <c r="L339" s="635">
        <v>3643.37</v>
      </c>
      <c r="M339" s="635">
        <v>1</v>
      </c>
      <c r="N339" s="636">
        <v>3643.37</v>
      </c>
    </row>
    <row r="340" spans="1:14" ht="14.4" customHeight="1" x14ac:dyDescent="0.3">
      <c r="A340" s="631" t="s">
        <v>534</v>
      </c>
      <c r="B340" s="632" t="s">
        <v>536</v>
      </c>
      <c r="C340" s="633" t="s">
        <v>554</v>
      </c>
      <c r="D340" s="634" t="s">
        <v>555</v>
      </c>
      <c r="E340" s="633" t="s">
        <v>537</v>
      </c>
      <c r="F340" s="634" t="s">
        <v>538</v>
      </c>
      <c r="G340" s="633" t="s">
        <v>562</v>
      </c>
      <c r="H340" s="633" t="s">
        <v>1526</v>
      </c>
      <c r="I340" s="633" t="s">
        <v>246</v>
      </c>
      <c r="J340" s="633" t="s">
        <v>1527</v>
      </c>
      <c r="K340" s="633"/>
      <c r="L340" s="635">
        <v>265.74000000000007</v>
      </c>
      <c r="M340" s="635">
        <v>1</v>
      </c>
      <c r="N340" s="636">
        <v>265.74000000000007</v>
      </c>
    </row>
    <row r="341" spans="1:14" ht="14.4" customHeight="1" x14ac:dyDescent="0.3">
      <c r="A341" s="631" t="s">
        <v>534</v>
      </c>
      <c r="B341" s="632" t="s">
        <v>536</v>
      </c>
      <c r="C341" s="633" t="s">
        <v>554</v>
      </c>
      <c r="D341" s="634" t="s">
        <v>555</v>
      </c>
      <c r="E341" s="633" t="s">
        <v>537</v>
      </c>
      <c r="F341" s="634" t="s">
        <v>538</v>
      </c>
      <c r="G341" s="633" t="s">
        <v>562</v>
      </c>
      <c r="H341" s="633" t="s">
        <v>1528</v>
      </c>
      <c r="I341" s="633" t="s">
        <v>1528</v>
      </c>
      <c r="J341" s="633" t="s">
        <v>594</v>
      </c>
      <c r="K341" s="633" t="s">
        <v>1529</v>
      </c>
      <c r="L341" s="635">
        <v>60.259642533406833</v>
      </c>
      <c r="M341" s="635">
        <v>4</v>
      </c>
      <c r="N341" s="636">
        <v>241.03857013362733</v>
      </c>
    </row>
    <row r="342" spans="1:14" ht="14.4" customHeight="1" x14ac:dyDescent="0.3">
      <c r="A342" s="631" t="s">
        <v>534</v>
      </c>
      <c r="B342" s="632" t="s">
        <v>536</v>
      </c>
      <c r="C342" s="633" t="s">
        <v>554</v>
      </c>
      <c r="D342" s="634" t="s">
        <v>555</v>
      </c>
      <c r="E342" s="633" t="s">
        <v>537</v>
      </c>
      <c r="F342" s="634" t="s">
        <v>538</v>
      </c>
      <c r="G342" s="633" t="s">
        <v>562</v>
      </c>
      <c r="H342" s="633" t="s">
        <v>1035</v>
      </c>
      <c r="I342" s="633" t="s">
        <v>246</v>
      </c>
      <c r="J342" s="633" t="s">
        <v>1036</v>
      </c>
      <c r="K342" s="633"/>
      <c r="L342" s="635">
        <v>147.49967314265265</v>
      </c>
      <c r="M342" s="635">
        <v>3</v>
      </c>
      <c r="N342" s="636">
        <v>442.49901942795799</v>
      </c>
    </row>
    <row r="343" spans="1:14" ht="14.4" customHeight="1" x14ac:dyDescent="0.3">
      <c r="A343" s="631" t="s">
        <v>534</v>
      </c>
      <c r="B343" s="632" t="s">
        <v>536</v>
      </c>
      <c r="C343" s="633" t="s">
        <v>554</v>
      </c>
      <c r="D343" s="634" t="s">
        <v>555</v>
      </c>
      <c r="E343" s="633" t="s">
        <v>537</v>
      </c>
      <c r="F343" s="634" t="s">
        <v>538</v>
      </c>
      <c r="G343" s="633" t="s">
        <v>1039</v>
      </c>
      <c r="H343" s="633" t="s">
        <v>1046</v>
      </c>
      <c r="I343" s="633" t="s">
        <v>1047</v>
      </c>
      <c r="J343" s="633" t="s">
        <v>1048</v>
      </c>
      <c r="K343" s="633" t="s">
        <v>1049</v>
      </c>
      <c r="L343" s="635">
        <v>36.329897953248306</v>
      </c>
      <c r="M343" s="635">
        <v>2</v>
      </c>
      <c r="N343" s="636">
        <v>72.659795906496612</v>
      </c>
    </row>
    <row r="344" spans="1:14" ht="14.4" customHeight="1" x14ac:dyDescent="0.3">
      <c r="A344" s="631" t="s">
        <v>534</v>
      </c>
      <c r="B344" s="632" t="s">
        <v>536</v>
      </c>
      <c r="C344" s="633" t="s">
        <v>554</v>
      </c>
      <c r="D344" s="634" t="s">
        <v>555</v>
      </c>
      <c r="E344" s="633" t="s">
        <v>537</v>
      </c>
      <c r="F344" s="634" t="s">
        <v>538</v>
      </c>
      <c r="G344" s="633" t="s">
        <v>1039</v>
      </c>
      <c r="H344" s="633" t="s">
        <v>1068</v>
      </c>
      <c r="I344" s="633" t="s">
        <v>1069</v>
      </c>
      <c r="J344" s="633" t="s">
        <v>1070</v>
      </c>
      <c r="K344" s="633" t="s">
        <v>1071</v>
      </c>
      <c r="L344" s="635">
        <v>144.52996816995571</v>
      </c>
      <c r="M344" s="635">
        <v>16</v>
      </c>
      <c r="N344" s="636">
        <v>2312.4794907192913</v>
      </c>
    </row>
    <row r="345" spans="1:14" ht="14.4" customHeight="1" x14ac:dyDescent="0.3">
      <c r="A345" s="631" t="s">
        <v>534</v>
      </c>
      <c r="B345" s="632" t="s">
        <v>536</v>
      </c>
      <c r="C345" s="633" t="s">
        <v>554</v>
      </c>
      <c r="D345" s="634" t="s">
        <v>555</v>
      </c>
      <c r="E345" s="633" t="s">
        <v>537</v>
      </c>
      <c r="F345" s="634" t="s">
        <v>538</v>
      </c>
      <c r="G345" s="633" t="s">
        <v>1039</v>
      </c>
      <c r="H345" s="633" t="s">
        <v>1530</v>
      </c>
      <c r="I345" s="633" t="s">
        <v>1531</v>
      </c>
      <c r="J345" s="633" t="s">
        <v>1532</v>
      </c>
      <c r="K345" s="633" t="s">
        <v>1533</v>
      </c>
      <c r="L345" s="635">
        <v>64.73</v>
      </c>
      <c r="M345" s="635">
        <v>1</v>
      </c>
      <c r="N345" s="636">
        <v>64.73</v>
      </c>
    </row>
    <row r="346" spans="1:14" ht="14.4" customHeight="1" x14ac:dyDescent="0.3">
      <c r="A346" s="631" t="s">
        <v>534</v>
      </c>
      <c r="B346" s="632" t="s">
        <v>536</v>
      </c>
      <c r="C346" s="633" t="s">
        <v>554</v>
      </c>
      <c r="D346" s="634" t="s">
        <v>555</v>
      </c>
      <c r="E346" s="633" t="s">
        <v>537</v>
      </c>
      <c r="F346" s="634" t="s">
        <v>538</v>
      </c>
      <c r="G346" s="633" t="s">
        <v>1039</v>
      </c>
      <c r="H346" s="633" t="s">
        <v>1534</v>
      </c>
      <c r="I346" s="633" t="s">
        <v>1535</v>
      </c>
      <c r="J346" s="633" t="s">
        <v>1168</v>
      </c>
      <c r="K346" s="633" t="s">
        <v>1536</v>
      </c>
      <c r="L346" s="635">
        <v>122.72</v>
      </c>
      <c r="M346" s="635">
        <v>1</v>
      </c>
      <c r="N346" s="636">
        <v>122.72</v>
      </c>
    </row>
    <row r="347" spans="1:14" ht="14.4" customHeight="1" x14ac:dyDescent="0.3">
      <c r="A347" s="631" t="s">
        <v>534</v>
      </c>
      <c r="B347" s="632" t="s">
        <v>536</v>
      </c>
      <c r="C347" s="633" t="s">
        <v>554</v>
      </c>
      <c r="D347" s="634" t="s">
        <v>555</v>
      </c>
      <c r="E347" s="633" t="s">
        <v>537</v>
      </c>
      <c r="F347" s="634" t="s">
        <v>538</v>
      </c>
      <c r="G347" s="633" t="s">
        <v>1039</v>
      </c>
      <c r="H347" s="633" t="s">
        <v>1113</v>
      </c>
      <c r="I347" s="633" t="s">
        <v>1114</v>
      </c>
      <c r="J347" s="633" t="s">
        <v>1115</v>
      </c>
      <c r="K347" s="633" t="s">
        <v>1116</v>
      </c>
      <c r="L347" s="635">
        <v>85.48</v>
      </c>
      <c r="M347" s="635">
        <v>11</v>
      </c>
      <c r="N347" s="636">
        <v>940.28000000000009</v>
      </c>
    </row>
    <row r="348" spans="1:14" ht="14.4" customHeight="1" x14ac:dyDescent="0.3">
      <c r="A348" s="631" t="s">
        <v>534</v>
      </c>
      <c r="B348" s="632" t="s">
        <v>536</v>
      </c>
      <c r="C348" s="633" t="s">
        <v>554</v>
      </c>
      <c r="D348" s="634" t="s">
        <v>555</v>
      </c>
      <c r="E348" s="633" t="s">
        <v>537</v>
      </c>
      <c r="F348" s="634" t="s">
        <v>538</v>
      </c>
      <c r="G348" s="633" t="s">
        <v>1039</v>
      </c>
      <c r="H348" s="633" t="s">
        <v>1143</v>
      </c>
      <c r="I348" s="633" t="s">
        <v>1144</v>
      </c>
      <c r="J348" s="633" t="s">
        <v>1052</v>
      </c>
      <c r="K348" s="633" t="s">
        <v>1145</v>
      </c>
      <c r="L348" s="635">
        <v>135.43288582926547</v>
      </c>
      <c r="M348" s="635">
        <v>70</v>
      </c>
      <c r="N348" s="636">
        <v>9480.302008048584</v>
      </c>
    </row>
    <row r="349" spans="1:14" ht="14.4" customHeight="1" x14ac:dyDescent="0.3">
      <c r="A349" s="631" t="s">
        <v>534</v>
      </c>
      <c r="B349" s="632" t="s">
        <v>536</v>
      </c>
      <c r="C349" s="633" t="s">
        <v>554</v>
      </c>
      <c r="D349" s="634" t="s">
        <v>555</v>
      </c>
      <c r="E349" s="633" t="s">
        <v>537</v>
      </c>
      <c r="F349" s="634" t="s">
        <v>538</v>
      </c>
      <c r="G349" s="633" t="s">
        <v>1039</v>
      </c>
      <c r="H349" s="633" t="s">
        <v>1537</v>
      </c>
      <c r="I349" s="633" t="s">
        <v>1538</v>
      </c>
      <c r="J349" s="633" t="s">
        <v>1152</v>
      </c>
      <c r="K349" s="633" t="s">
        <v>1539</v>
      </c>
      <c r="L349" s="635">
        <v>150.82999999999996</v>
      </c>
      <c r="M349" s="635">
        <v>1</v>
      </c>
      <c r="N349" s="636">
        <v>150.82999999999996</v>
      </c>
    </row>
    <row r="350" spans="1:14" ht="14.4" customHeight="1" x14ac:dyDescent="0.3">
      <c r="A350" s="631" t="s">
        <v>534</v>
      </c>
      <c r="B350" s="632" t="s">
        <v>536</v>
      </c>
      <c r="C350" s="633" t="s">
        <v>554</v>
      </c>
      <c r="D350" s="634" t="s">
        <v>555</v>
      </c>
      <c r="E350" s="633" t="s">
        <v>537</v>
      </c>
      <c r="F350" s="634" t="s">
        <v>538</v>
      </c>
      <c r="G350" s="633" t="s">
        <v>1039</v>
      </c>
      <c r="H350" s="633" t="s">
        <v>1540</v>
      </c>
      <c r="I350" s="633" t="s">
        <v>1541</v>
      </c>
      <c r="J350" s="633" t="s">
        <v>1542</v>
      </c>
      <c r="K350" s="633" t="s">
        <v>1543</v>
      </c>
      <c r="L350" s="635">
        <v>218.08999999999997</v>
      </c>
      <c r="M350" s="635">
        <v>1</v>
      </c>
      <c r="N350" s="636">
        <v>218.08999999999997</v>
      </c>
    </row>
    <row r="351" spans="1:14" ht="14.4" customHeight="1" x14ac:dyDescent="0.3">
      <c r="A351" s="631" t="s">
        <v>534</v>
      </c>
      <c r="B351" s="632" t="s">
        <v>536</v>
      </c>
      <c r="C351" s="633" t="s">
        <v>554</v>
      </c>
      <c r="D351" s="634" t="s">
        <v>555</v>
      </c>
      <c r="E351" s="633" t="s">
        <v>537</v>
      </c>
      <c r="F351" s="634" t="s">
        <v>538</v>
      </c>
      <c r="G351" s="633" t="s">
        <v>1039</v>
      </c>
      <c r="H351" s="633" t="s">
        <v>1544</v>
      </c>
      <c r="I351" s="633" t="s">
        <v>1545</v>
      </c>
      <c r="J351" s="633" t="s">
        <v>1542</v>
      </c>
      <c r="K351" s="633" t="s">
        <v>1060</v>
      </c>
      <c r="L351" s="635">
        <v>64.539888186662793</v>
      </c>
      <c r="M351" s="635">
        <v>3</v>
      </c>
      <c r="N351" s="636">
        <v>193.61966455998839</v>
      </c>
    </row>
    <row r="352" spans="1:14" ht="14.4" customHeight="1" x14ac:dyDescent="0.3">
      <c r="A352" s="631" t="s">
        <v>534</v>
      </c>
      <c r="B352" s="632" t="s">
        <v>536</v>
      </c>
      <c r="C352" s="633" t="s">
        <v>554</v>
      </c>
      <c r="D352" s="634" t="s">
        <v>555</v>
      </c>
      <c r="E352" s="633" t="s">
        <v>537</v>
      </c>
      <c r="F352" s="634" t="s">
        <v>538</v>
      </c>
      <c r="G352" s="633" t="s">
        <v>1039</v>
      </c>
      <c r="H352" s="633" t="s">
        <v>1546</v>
      </c>
      <c r="I352" s="633" t="s">
        <v>1547</v>
      </c>
      <c r="J352" s="633" t="s">
        <v>1548</v>
      </c>
      <c r="K352" s="633" t="s">
        <v>1549</v>
      </c>
      <c r="L352" s="635">
        <v>26.11</v>
      </c>
      <c r="M352" s="635">
        <v>1</v>
      </c>
      <c r="N352" s="636">
        <v>26.11</v>
      </c>
    </row>
    <row r="353" spans="1:14" ht="14.4" customHeight="1" x14ac:dyDescent="0.3">
      <c r="A353" s="631" t="s">
        <v>534</v>
      </c>
      <c r="B353" s="632" t="s">
        <v>536</v>
      </c>
      <c r="C353" s="633" t="s">
        <v>554</v>
      </c>
      <c r="D353" s="634" t="s">
        <v>555</v>
      </c>
      <c r="E353" s="633" t="s">
        <v>537</v>
      </c>
      <c r="F353" s="634" t="s">
        <v>538</v>
      </c>
      <c r="G353" s="633" t="s">
        <v>1039</v>
      </c>
      <c r="H353" s="633" t="s">
        <v>1550</v>
      </c>
      <c r="I353" s="633" t="s">
        <v>1551</v>
      </c>
      <c r="J353" s="633" t="s">
        <v>1552</v>
      </c>
      <c r="K353" s="633" t="s">
        <v>1553</v>
      </c>
      <c r="L353" s="635">
        <v>46.129783020758403</v>
      </c>
      <c r="M353" s="635">
        <v>1</v>
      </c>
      <c r="N353" s="636">
        <v>46.129783020758403</v>
      </c>
    </row>
    <row r="354" spans="1:14" ht="14.4" customHeight="1" x14ac:dyDescent="0.3">
      <c r="A354" s="631" t="s">
        <v>534</v>
      </c>
      <c r="B354" s="632" t="s">
        <v>536</v>
      </c>
      <c r="C354" s="633" t="s">
        <v>554</v>
      </c>
      <c r="D354" s="634" t="s">
        <v>555</v>
      </c>
      <c r="E354" s="633" t="s">
        <v>537</v>
      </c>
      <c r="F354" s="634" t="s">
        <v>538</v>
      </c>
      <c r="G354" s="633" t="s">
        <v>1039</v>
      </c>
      <c r="H354" s="633" t="s">
        <v>1162</v>
      </c>
      <c r="I354" s="633" t="s">
        <v>1163</v>
      </c>
      <c r="J354" s="633" t="s">
        <v>1164</v>
      </c>
      <c r="K354" s="633" t="s">
        <v>1165</v>
      </c>
      <c r="L354" s="635">
        <v>52.81</v>
      </c>
      <c r="M354" s="635">
        <v>1</v>
      </c>
      <c r="N354" s="636">
        <v>52.81</v>
      </c>
    </row>
    <row r="355" spans="1:14" ht="14.4" customHeight="1" x14ac:dyDescent="0.3">
      <c r="A355" s="631" t="s">
        <v>534</v>
      </c>
      <c r="B355" s="632" t="s">
        <v>536</v>
      </c>
      <c r="C355" s="633" t="s">
        <v>554</v>
      </c>
      <c r="D355" s="634" t="s">
        <v>555</v>
      </c>
      <c r="E355" s="633" t="s">
        <v>537</v>
      </c>
      <c r="F355" s="634" t="s">
        <v>538</v>
      </c>
      <c r="G355" s="633" t="s">
        <v>1039</v>
      </c>
      <c r="H355" s="633" t="s">
        <v>1174</v>
      </c>
      <c r="I355" s="633" t="s">
        <v>1175</v>
      </c>
      <c r="J355" s="633" t="s">
        <v>1176</v>
      </c>
      <c r="K355" s="633" t="s">
        <v>1177</v>
      </c>
      <c r="L355" s="635">
        <v>70.987133438315951</v>
      </c>
      <c r="M355" s="635">
        <v>145</v>
      </c>
      <c r="N355" s="636">
        <v>10293.134348555814</v>
      </c>
    </row>
    <row r="356" spans="1:14" ht="14.4" customHeight="1" x14ac:dyDescent="0.3">
      <c r="A356" s="631" t="s">
        <v>534</v>
      </c>
      <c r="B356" s="632" t="s">
        <v>536</v>
      </c>
      <c r="C356" s="633" t="s">
        <v>554</v>
      </c>
      <c r="D356" s="634" t="s">
        <v>555</v>
      </c>
      <c r="E356" s="633" t="s">
        <v>537</v>
      </c>
      <c r="F356" s="634" t="s">
        <v>538</v>
      </c>
      <c r="G356" s="633" t="s">
        <v>1039</v>
      </c>
      <c r="H356" s="633" t="s">
        <v>1554</v>
      </c>
      <c r="I356" s="633" t="s">
        <v>1555</v>
      </c>
      <c r="J356" s="633" t="s">
        <v>1196</v>
      </c>
      <c r="K356" s="633" t="s">
        <v>1556</v>
      </c>
      <c r="L356" s="635">
        <v>890.09999502376832</v>
      </c>
      <c r="M356" s="635">
        <v>10</v>
      </c>
      <c r="N356" s="636">
        <v>8900.9999502376832</v>
      </c>
    </row>
    <row r="357" spans="1:14" ht="14.4" customHeight="1" x14ac:dyDescent="0.3">
      <c r="A357" s="631" t="s">
        <v>534</v>
      </c>
      <c r="B357" s="632" t="s">
        <v>536</v>
      </c>
      <c r="C357" s="633" t="s">
        <v>554</v>
      </c>
      <c r="D357" s="634" t="s">
        <v>555</v>
      </c>
      <c r="E357" s="633" t="s">
        <v>537</v>
      </c>
      <c r="F357" s="634" t="s">
        <v>538</v>
      </c>
      <c r="G357" s="633" t="s">
        <v>1039</v>
      </c>
      <c r="H357" s="633" t="s">
        <v>1557</v>
      </c>
      <c r="I357" s="633" t="s">
        <v>1558</v>
      </c>
      <c r="J357" s="633" t="s">
        <v>1070</v>
      </c>
      <c r="K357" s="633" t="s">
        <v>1559</v>
      </c>
      <c r="L357" s="635">
        <v>147.42993888398377</v>
      </c>
      <c r="M357" s="635">
        <v>41</v>
      </c>
      <c r="N357" s="636">
        <v>6044.6274942433347</v>
      </c>
    </row>
    <row r="358" spans="1:14" ht="14.4" customHeight="1" x14ac:dyDescent="0.3">
      <c r="A358" s="631" t="s">
        <v>534</v>
      </c>
      <c r="B358" s="632" t="s">
        <v>536</v>
      </c>
      <c r="C358" s="633" t="s">
        <v>554</v>
      </c>
      <c r="D358" s="634" t="s">
        <v>555</v>
      </c>
      <c r="E358" s="633" t="s">
        <v>537</v>
      </c>
      <c r="F358" s="634" t="s">
        <v>538</v>
      </c>
      <c r="G358" s="633" t="s">
        <v>1039</v>
      </c>
      <c r="H358" s="633" t="s">
        <v>1560</v>
      </c>
      <c r="I358" s="633" t="s">
        <v>1561</v>
      </c>
      <c r="J358" s="633" t="s">
        <v>1048</v>
      </c>
      <c r="K358" s="633" t="s">
        <v>1562</v>
      </c>
      <c r="L358" s="635">
        <v>224.45899755094101</v>
      </c>
      <c r="M358" s="635">
        <v>2</v>
      </c>
      <c r="N358" s="636">
        <v>448.91799510188201</v>
      </c>
    </row>
    <row r="359" spans="1:14" ht="14.4" customHeight="1" x14ac:dyDescent="0.3">
      <c r="A359" s="631" t="s">
        <v>534</v>
      </c>
      <c r="B359" s="632" t="s">
        <v>536</v>
      </c>
      <c r="C359" s="633" t="s">
        <v>554</v>
      </c>
      <c r="D359" s="634" t="s">
        <v>555</v>
      </c>
      <c r="E359" s="633" t="s">
        <v>537</v>
      </c>
      <c r="F359" s="634" t="s">
        <v>538</v>
      </c>
      <c r="G359" s="633" t="s">
        <v>1039</v>
      </c>
      <c r="H359" s="633" t="s">
        <v>1198</v>
      </c>
      <c r="I359" s="633" t="s">
        <v>1199</v>
      </c>
      <c r="J359" s="633" t="s">
        <v>1082</v>
      </c>
      <c r="K359" s="633" t="s">
        <v>1200</v>
      </c>
      <c r="L359" s="635">
        <v>356.49931597723742</v>
      </c>
      <c r="M359" s="635">
        <v>36</v>
      </c>
      <c r="N359" s="636">
        <v>12833.975375180547</v>
      </c>
    </row>
    <row r="360" spans="1:14" ht="14.4" customHeight="1" x14ac:dyDescent="0.3">
      <c r="A360" s="631" t="s">
        <v>534</v>
      </c>
      <c r="B360" s="632" t="s">
        <v>536</v>
      </c>
      <c r="C360" s="633" t="s">
        <v>554</v>
      </c>
      <c r="D360" s="634" t="s">
        <v>555</v>
      </c>
      <c r="E360" s="633" t="s">
        <v>537</v>
      </c>
      <c r="F360" s="634" t="s">
        <v>538</v>
      </c>
      <c r="G360" s="633" t="s">
        <v>1039</v>
      </c>
      <c r="H360" s="633" t="s">
        <v>1201</v>
      </c>
      <c r="I360" s="633" t="s">
        <v>1202</v>
      </c>
      <c r="J360" s="633" t="s">
        <v>1082</v>
      </c>
      <c r="K360" s="633" t="s">
        <v>1203</v>
      </c>
      <c r="L360" s="635">
        <v>413.99999999999989</v>
      </c>
      <c r="M360" s="635">
        <v>7</v>
      </c>
      <c r="N360" s="636">
        <v>2897.9999999999991</v>
      </c>
    </row>
    <row r="361" spans="1:14" ht="14.4" customHeight="1" x14ac:dyDescent="0.3">
      <c r="A361" s="631" t="s">
        <v>534</v>
      </c>
      <c r="B361" s="632" t="s">
        <v>536</v>
      </c>
      <c r="C361" s="633" t="s">
        <v>554</v>
      </c>
      <c r="D361" s="634" t="s">
        <v>555</v>
      </c>
      <c r="E361" s="633" t="s">
        <v>537</v>
      </c>
      <c r="F361" s="634" t="s">
        <v>538</v>
      </c>
      <c r="G361" s="633" t="s">
        <v>1039</v>
      </c>
      <c r="H361" s="633" t="s">
        <v>1563</v>
      </c>
      <c r="I361" s="633" t="s">
        <v>1564</v>
      </c>
      <c r="J361" s="633" t="s">
        <v>1048</v>
      </c>
      <c r="K361" s="633" t="s">
        <v>1565</v>
      </c>
      <c r="L361" s="635">
        <v>130.80000000000001</v>
      </c>
      <c r="M361" s="635">
        <v>1</v>
      </c>
      <c r="N361" s="636">
        <v>130.80000000000001</v>
      </c>
    </row>
    <row r="362" spans="1:14" ht="14.4" customHeight="1" x14ac:dyDescent="0.3">
      <c r="A362" s="631" t="s">
        <v>534</v>
      </c>
      <c r="B362" s="632" t="s">
        <v>536</v>
      </c>
      <c r="C362" s="633" t="s">
        <v>554</v>
      </c>
      <c r="D362" s="634" t="s">
        <v>555</v>
      </c>
      <c r="E362" s="633" t="s">
        <v>537</v>
      </c>
      <c r="F362" s="634" t="s">
        <v>538</v>
      </c>
      <c r="G362" s="633" t="s">
        <v>1039</v>
      </c>
      <c r="H362" s="633" t="s">
        <v>1566</v>
      </c>
      <c r="I362" s="633" t="s">
        <v>1567</v>
      </c>
      <c r="J362" s="633" t="s">
        <v>1568</v>
      </c>
      <c r="K362" s="633" t="s">
        <v>1569</v>
      </c>
      <c r="L362" s="635">
        <v>381.11199999999997</v>
      </c>
      <c r="M362" s="635">
        <v>5</v>
      </c>
      <c r="N362" s="636">
        <v>1905.56</v>
      </c>
    </row>
    <row r="363" spans="1:14" ht="14.4" customHeight="1" x14ac:dyDescent="0.3">
      <c r="A363" s="631" t="s">
        <v>534</v>
      </c>
      <c r="B363" s="632" t="s">
        <v>536</v>
      </c>
      <c r="C363" s="633" t="s">
        <v>554</v>
      </c>
      <c r="D363" s="634" t="s">
        <v>555</v>
      </c>
      <c r="E363" s="633" t="s">
        <v>537</v>
      </c>
      <c r="F363" s="634" t="s">
        <v>538</v>
      </c>
      <c r="G363" s="633" t="s">
        <v>1039</v>
      </c>
      <c r="H363" s="633" t="s">
        <v>1570</v>
      </c>
      <c r="I363" s="633" t="s">
        <v>1571</v>
      </c>
      <c r="J363" s="633" t="s">
        <v>1572</v>
      </c>
      <c r="K363" s="633" t="s">
        <v>993</v>
      </c>
      <c r="L363" s="635">
        <v>661.41</v>
      </c>
      <c r="M363" s="635">
        <v>1</v>
      </c>
      <c r="N363" s="636">
        <v>661.41</v>
      </c>
    </row>
    <row r="364" spans="1:14" ht="14.4" customHeight="1" x14ac:dyDescent="0.3">
      <c r="A364" s="631" t="s">
        <v>534</v>
      </c>
      <c r="B364" s="632" t="s">
        <v>536</v>
      </c>
      <c r="C364" s="633" t="s">
        <v>554</v>
      </c>
      <c r="D364" s="634" t="s">
        <v>555</v>
      </c>
      <c r="E364" s="633" t="s">
        <v>537</v>
      </c>
      <c r="F364" s="634" t="s">
        <v>538</v>
      </c>
      <c r="G364" s="633" t="s">
        <v>1039</v>
      </c>
      <c r="H364" s="633" t="s">
        <v>1573</v>
      </c>
      <c r="I364" s="633" t="s">
        <v>1574</v>
      </c>
      <c r="J364" s="633" t="s">
        <v>1048</v>
      </c>
      <c r="K364" s="633" t="s">
        <v>1575</v>
      </c>
      <c r="L364" s="635">
        <v>67.150000000000006</v>
      </c>
      <c r="M364" s="635">
        <v>2</v>
      </c>
      <c r="N364" s="636">
        <v>134.30000000000001</v>
      </c>
    </row>
    <row r="365" spans="1:14" ht="14.4" customHeight="1" x14ac:dyDescent="0.3">
      <c r="A365" s="631" t="s">
        <v>534</v>
      </c>
      <c r="B365" s="632" t="s">
        <v>536</v>
      </c>
      <c r="C365" s="633" t="s">
        <v>554</v>
      </c>
      <c r="D365" s="634" t="s">
        <v>555</v>
      </c>
      <c r="E365" s="633" t="s">
        <v>537</v>
      </c>
      <c r="F365" s="634" t="s">
        <v>538</v>
      </c>
      <c r="G365" s="633" t="s">
        <v>1039</v>
      </c>
      <c r="H365" s="633" t="s">
        <v>1576</v>
      </c>
      <c r="I365" s="633" t="s">
        <v>1577</v>
      </c>
      <c r="J365" s="633" t="s">
        <v>1048</v>
      </c>
      <c r="K365" s="633" t="s">
        <v>1578</v>
      </c>
      <c r="L365" s="635">
        <v>372.22999999999996</v>
      </c>
      <c r="M365" s="635">
        <v>13</v>
      </c>
      <c r="N365" s="636">
        <v>4838.99</v>
      </c>
    </row>
    <row r="366" spans="1:14" ht="14.4" customHeight="1" x14ac:dyDescent="0.3">
      <c r="A366" s="631" t="s">
        <v>534</v>
      </c>
      <c r="B366" s="632" t="s">
        <v>536</v>
      </c>
      <c r="C366" s="633" t="s">
        <v>554</v>
      </c>
      <c r="D366" s="634" t="s">
        <v>555</v>
      </c>
      <c r="E366" s="633" t="s">
        <v>537</v>
      </c>
      <c r="F366" s="634" t="s">
        <v>538</v>
      </c>
      <c r="G366" s="633" t="s">
        <v>1039</v>
      </c>
      <c r="H366" s="633" t="s">
        <v>1579</v>
      </c>
      <c r="I366" s="633" t="s">
        <v>1580</v>
      </c>
      <c r="J366" s="633" t="s">
        <v>1581</v>
      </c>
      <c r="K366" s="633" t="s">
        <v>1582</v>
      </c>
      <c r="L366" s="635">
        <v>337.10378831340353</v>
      </c>
      <c r="M366" s="635">
        <v>6</v>
      </c>
      <c r="N366" s="636">
        <v>2022.622729880421</v>
      </c>
    </row>
    <row r="367" spans="1:14" ht="14.4" customHeight="1" x14ac:dyDescent="0.3">
      <c r="A367" s="631" t="s">
        <v>534</v>
      </c>
      <c r="B367" s="632" t="s">
        <v>536</v>
      </c>
      <c r="C367" s="633" t="s">
        <v>554</v>
      </c>
      <c r="D367" s="634" t="s">
        <v>555</v>
      </c>
      <c r="E367" s="633" t="s">
        <v>539</v>
      </c>
      <c r="F367" s="634" t="s">
        <v>540</v>
      </c>
      <c r="G367" s="633" t="s">
        <v>562</v>
      </c>
      <c r="H367" s="633" t="s">
        <v>1583</v>
      </c>
      <c r="I367" s="633" t="s">
        <v>1584</v>
      </c>
      <c r="J367" s="633" t="s">
        <v>1585</v>
      </c>
      <c r="K367" s="633" t="s">
        <v>1586</v>
      </c>
      <c r="L367" s="635">
        <v>2881.44</v>
      </c>
      <c r="M367" s="635">
        <v>10</v>
      </c>
      <c r="N367" s="636">
        <v>28814.400000000001</v>
      </c>
    </row>
    <row r="368" spans="1:14" ht="14.4" customHeight="1" x14ac:dyDescent="0.3">
      <c r="A368" s="631" t="s">
        <v>534</v>
      </c>
      <c r="B368" s="632" t="s">
        <v>536</v>
      </c>
      <c r="C368" s="633" t="s">
        <v>554</v>
      </c>
      <c r="D368" s="634" t="s">
        <v>555</v>
      </c>
      <c r="E368" s="633" t="s">
        <v>539</v>
      </c>
      <c r="F368" s="634" t="s">
        <v>540</v>
      </c>
      <c r="G368" s="633" t="s">
        <v>562</v>
      </c>
      <c r="H368" s="633" t="s">
        <v>1587</v>
      </c>
      <c r="I368" s="633" t="s">
        <v>246</v>
      </c>
      <c r="J368" s="633" t="s">
        <v>1588</v>
      </c>
      <c r="K368" s="633" t="s">
        <v>1589</v>
      </c>
      <c r="L368" s="635">
        <v>211.92004262029664</v>
      </c>
      <c r="M368" s="635">
        <v>12</v>
      </c>
      <c r="N368" s="636">
        <v>2543.0405114435598</v>
      </c>
    </row>
    <row r="369" spans="1:14" ht="14.4" customHeight="1" x14ac:dyDescent="0.3">
      <c r="A369" s="631" t="s">
        <v>534</v>
      </c>
      <c r="B369" s="632" t="s">
        <v>536</v>
      </c>
      <c r="C369" s="633" t="s">
        <v>554</v>
      </c>
      <c r="D369" s="634" t="s">
        <v>555</v>
      </c>
      <c r="E369" s="633" t="s">
        <v>539</v>
      </c>
      <c r="F369" s="634" t="s">
        <v>540</v>
      </c>
      <c r="G369" s="633" t="s">
        <v>562</v>
      </c>
      <c r="H369" s="633" t="s">
        <v>1590</v>
      </c>
      <c r="I369" s="633" t="s">
        <v>1591</v>
      </c>
      <c r="J369" s="633" t="s">
        <v>1592</v>
      </c>
      <c r="K369" s="633" t="s">
        <v>1593</v>
      </c>
      <c r="L369" s="635">
        <v>1389.8868690190566</v>
      </c>
      <c r="M369" s="635">
        <v>9</v>
      </c>
      <c r="N369" s="636">
        <v>12508.98182117151</v>
      </c>
    </row>
    <row r="370" spans="1:14" ht="14.4" customHeight="1" x14ac:dyDescent="0.3">
      <c r="A370" s="631" t="s">
        <v>534</v>
      </c>
      <c r="B370" s="632" t="s">
        <v>536</v>
      </c>
      <c r="C370" s="633" t="s">
        <v>554</v>
      </c>
      <c r="D370" s="634" t="s">
        <v>555</v>
      </c>
      <c r="E370" s="633" t="s">
        <v>539</v>
      </c>
      <c r="F370" s="634" t="s">
        <v>540</v>
      </c>
      <c r="G370" s="633" t="s">
        <v>562</v>
      </c>
      <c r="H370" s="633" t="s">
        <v>1226</v>
      </c>
      <c r="I370" s="633" t="s">
        <v>246</v>
      </c>
      <c r="J370" s="633" t="s">
        <v>1227</v>
      </c>
      <c r="K370" s="633"/>
      <c r="L370" s="635">
        <v>177.69</v>
      </c>
      <c r="M370" s="635">
        <v>4</v>
      </c>
      <c r="N370" s="636">
        <v>710.76</v>
      </c>
    </row>
    <row r="371" spans="1:14" ht="14.4" customHeight="1" x14ac:dyDescent="0.3">
      <c r="A371" s="631" t="s">
        <v>534</v>
      </c>
      <c r="B371" s="632" t="s">
        <v>536</v>
      </c>
      <c r="C371" s="633" t="s">
        <v>554</v>
      </c>
      <c r="D371" s="634" t="s">
        <v>555</v>
      </c>
      <c r="E371" s="633" t="s">
        <v>539</v>
      </c>
      <c r="F371" s="634" t="s">
        <v>540</v>
      </c>
      <c r="G371" s="633" t="s">
        <v>562</v>
      </c>
      <c r="H371" s="633" t="s">
        <v>1594</v>
      </c>
      <c r="I371" s="633" t="s">
        <v>1594</v>
      </c>
      <c r="J371" s="633" t="s">
        <v>1595</v>
      </c>
      <c r="K371" s="633" t="s">
        <v>1596</v>
      </c>
      <c r="L371" s="635">
        <v>3403.1140069549519</v>
      </c>
      <c r="M371" s="635">
        <v>5</v>
      </c>
      <c r="N371" s="636">
        <v>17015.570034774759</v>
      </c>
    </row>
    <row r="372" spans="1:14" ht="14.4" customHeight="1" x14ac:dyDescent="0.3">
      <c r="A372" s="631" t="s">
        <v>534</v>
      </c>
      <c r="B372" s="632" t="s">
        <v>536</v>
      </c>
      <c r="C372" s="633" t="s">
        <v>554</v>
      </c>
      <c r="D372" s="634" t="s">
        <v>555</v>
      </c>
      <c r="E372" s="633" t="s">
        <v>539</v>
      </c>
      <c r="F372" s="634" t="s">
        <v>540</v>
      </c>
      <c r="G372" s="633" t="s">
        <v>1039</v>
      </c>
      <c r="H372" s="633" t="s">
        <v>1597</v>
      </c>
      <c r="I372" s="633" t="s">
        <v>1598</v>
      </c>
      <c r="J372" s="633" t="s">
        <v>1599</v>
      </c>
      <c r="K372" s="633" t="s">
        <v>1231</v>
      </c>
      <c r="L372" s="635">
        <v>42.97999999999999</v>
      </c>
      <c r="M372" s="635">
        <v>2</v>
      </c>
      <c r="N372" s="636">
        <v>85.95999999999998</v>
      </c>
    </row>
    <row r="373" spans="1:14" ht="14.4" customHeight="1" x14ac:dyDescent="0.3">
      <c r="A373" s="631" t="s">
        <v>534</v>
      </c>
      <c r="B373" s="632" t="s">
        <v>536</v>
      </c>
      <c r="C373" s="633" t="s">
        <v>554</v>
      </c>
      <c r="D373" s="634" t="s">
        <v>555</v>
      </c>
      <c r="E373" s="633" t="s">
        <v>539</v>
      </c>
      <c r="F373" s="634" t="s">
        <v>540</v>
      </c>
      <c r="G373" s="633" t="s">
        <v>1039</v>
      </c>
      <c r="H373" s="633" t="s">
        <v>1600</v>
      </c>
      <c r="I373" s="633" t="s">
        <v>1601</v>
      </c>
      <c r="J373" s="633" t="s">
        <v>1602</v>
      </c>
      <c r="K373" s="633" t="s">
        <v>1603</v>
      </c>
      <c r="L373" s="635">
        <v>202.86</v>
      </c>
      <c r="M373" s="635">
        <v>2</v>
      </c>
      <c r="N373" s="636">
        <v>405.72</v>
      </c>
    </row>
    <row r="374" spans="1:14" ht="14.4" customHeight="1" x14ac:dyDescent="0.3">
      <c r="A374" s="631" t="s">
        <v>534</v>
      </c>
      <c r="B374" s="632" t="s">
        <v>536</v>
      </c>
      <c r="C374" s="633" t="s">
        <v>554</v>
      </c>
      <c r="D374" s="634" t="s">
        <v>555</v>
      </c>
      <c r="E374" s="633" t="s">
        <v>539</v>
      </c>
      <c r="F374" s="634" t="s">
        <v>540</v>
      </c>
      <c r="G374" s="633" t="s">
        <v>1039</v>
      </c>
      <c r="H374" s="633" t="s">
        <v>1604</v>
      </c>
      <c r="I374" s="633" t="s">
        <v>1605</v>
      </c>
      <c r="J374" s="633" t="s">
        <v>1606</v>
      </c>
      <c r="K374" s="633" t="s">
        <v>1607</v>
      </c>
      <c r="L374" s="635">
        <v>206.99989734158004</v>
      </c>
      <c r="M374" s="635">
        <v>8</v>
      </c>
      <c r="N374" s="636">
        <v>1655.9991787326403</v>
      </c>
    </row>
    <row r="375" spans="1:14" ht="14.4" customHeight="1" x14ac:dyDescent="0.3">
      <c r="A375" s="631" t="s">
        <v>534</v>
      </c>
      <c r="B375" s="632" t="s">
        <v>536</v>
      </c>
      <c r="C375" s="633" t="s">
        <v>554</v>
      </c>
      <c r="D375" s="634" t="s">
        <v>555</v>
      </c>
      <c r="E375" s="633" t="s">
        <v>539</v>
      </c>
      <c r="F375" s="634" t="s">
        <v>540</v>
      </c>
      <c r="G375" s="633" t="s">
        <v>1039</v>
      </c>
      <c r="H375" s="633" t="s">
        <v>1608</v>
      </c>
      <c r="I375" s="633" t="s">
        <v>1608</v>
      </c>
      <c r="J375" s="633" t="s">
        <v>1609</v>
      </c>
      <c r="K375" s="633" t="s">
        <v>1610</v>
      </c>
      <c r="L375" s="635">
        <v>424.9798488056262</v>
      </c>
      <c r="M375" s="635">
        <v>22</v>
      </c>
      <c r="N375" s="636">
        <v>9349.5566737237768</v>
      </c>
    </row>
    <row r="376" spans="1:14" ht="14.4" customHeight="1" x14ac:dyDescent="0.3">
      <c r="A376" s="631" t="s">
        <v>534</v>
      </c>
      <c r="B376" s="632" t="s">
        <v>536</v>
      </c>
      <c r="C376" s="633" t="s">
        <v>554</v>
      </c>
      <c r="D376" s="634" t="s">
        <v>555</v>
      </c>
      <c r="E376" s="633" t="s">
        <v>539</v>
      </c>
      <c r="F376" s="634" t="s">
        <v>540</v>
      </c>
      <c r="G376" s="633" t="s">
        <v>1039</v>
      </c>
      <c r="H376" s="633" t="s">
        <v>1611</v>
      </c>
      <c r="I376" s="633" t="s">
        <v>1612</v>
      </c>
      <c r="J376" s="633" t="s">
        <v>1613</v>
      </c>
      <c r="K376" s="633" t="s">
        <v>1614</v>
      </c>
      <c r="L376" s="635">
        <v>217.49996960087699</v>
      </c>
      <c r="M376" s="635">
        <v>16</v>
      </c>
      <c r="N376" s="636">
        <v>3479.9995136140319</v>
      </c>
    </row>
    <row r="377" spans="1:14" ht="14.4" customHeight="1" x14ac:dyDescent="0.3">
      <c r="A377" s="631" t="s">
        <v>534</v>
      </c>
      <c r="B377" s="632" t="s">
        <v>536</v>
      </c>
      <c r="C377" s="633" t="s">
        <v>554</v>
      </c>
      <c r="D377" s="634" t="s">
        <v>555</v>
      </c>
      <c r="E377" s="633" t="s">
        <v>539</v>
      </c>
      <c r="F377" s="634" t="s">
        <v>540</v>
      </c>
      <c r="G377" s="633" t="s">
        <v>1039</v>
      </c>
      <c r="H377" s="633" t="s">
        <v>1615</v>
      </c>
      <c r="I377" s="633" t="s">
        <v>1616</v>
      </c>
      <c r="J377" s="633" t="s">
        <v>1617</v>
      </c>
      <c r="K377" s="633" t="s">
        <v>1231</v>
      </c>
      <c r="L377" s="635">
        <v>44.779994457022113</v>
      </c>
      <c r="M377" s="635">
        <v>2</v>
      </c>
      <c r="N377" s="636">
        <v>89.559988914044226</v>
      </c>
    </row>
    <row r="378" spans="1:14" ht="14.4" customHeight="1" x14ac:dyDescent="0.3">
      <c r="A378" s="631" t="s">
        <v>534</v>
      </c>
      <c r="B378" s="632" t="s">
        <v>536</v>
      </c>
      <c r="C378" s="633" t="s">
        <v>554</v>
      </c>
      <c r="D378" s="634" t="s">
        <v>555</v>
      </c>
      <c r="E378" s="633" t="s">
        <v>543</v>
      </c>
      <c r="F378" s="634" t="s">
        <v>544</v>
      </c>
      <c r="G378" s="633" t="s">
        <v>562</v>
      </c>
      <c r="H378" s="633" t="s">
        <v>1236</v>
      </c>
      <c r="I378" s="633" t="s">
        <v>1236</v>
      </c>
      <c r="J378" s="633" t="s">
        <v>1237</v>
      </c>
      <c r="K378" s="633" t="s">
        <v>1238</v>
      </c>
      <c r="L378" s="635">
        <v>72.840205372609262</v>
      </c>
      <c r="M378" s="635">
        <v>5</v>
      </c>
      <c r="N378" s="636">
        <v>364.20102686304631</v>
      </c>
    </row>
    <row r="379" spans="1:14" ht="14.4" customHeight="1" x14ac:dyDescent="0.3">
      <c r="A379" s="631" t="s">
        <v>534</v>
      </c>
      <c r="B379" s="632" t="s">
        <v>536</v>
      </c>
      <c r="C379" s="633" t="s">
        <v>554</v>
      </c>
      <c r="D379" s="634" t="s">
        <v>555</v>
      </c>
      <c r="E379" s="633" t="s">
        <v>543</v>
      </c>
      <c r="F379" s="634" t="s">
        <v>544</v>
      </c>
      <c r="G379" s="633" t="s">
        <v>562</v>
      </c>
      <c r="H379" s="633" t="s">
        <v>1239</v>
      </c>
      <c r="I379" s="633" t="s">
        <v>1240</v>
      </c>
      <c r="J379" s="633" t="s">
        <v>1241</v>
      </c>
      <c r="K379" s="633" t="s">
        <v>1242</v>
      </c>
      <c r="L379" s="635">
        <v>32.79</v>
      </c>
      <c r="M379" s="635">
        <v>1</v>
      </c>
      <c r="N379" s="636">
        <v>32.79</v>
      </c>
    </row>
    <row r="380" spans="1:14" ht="14.4" customHeight="1" x14ac:dyDescent="0.3">
      <c r="A380" s="631" t="s">
        <v>534</v>
      </c>
      <c r="B380" s="632" t="s">
        <v>536</v>
      </c>
      <c r="C380" s="633" t="s">
        <v>554</v>
      </c>
      <c r="D380" s="634" t="s">
        <v>555</v>
      </c>
      <c r="E380" s="633" t="s">
        <v>543</v>
      </c>
      <c r="F380" s="634" t="s">
        <v>544</v>
      </c>
      <c r="G380" s="633" t="s">
        <v>562</v>
      </c>
      <c r="H380" s="633" t="s">
        <v>1618</v>
      </c>
      <c r="I380" s="633" t="s">
        <v>1619</v>
      </c>
      <c r="J380" s="633" t="s">
        <v>1620</v>
      </c>
      <c r="K380" s="633" t="s">
        <v>1621</v>
      </c>
      <c r="L380" s="635">
        <v>428.73150000000004</v>
      </c>
      <c r="M380" s="635">
        <v>1.5</v>
      </c>
      <c r="N380" s="636">
        <v>643.09725000000003</v>
      </c>
    </row>
    <row r="381" spans="1:14" ht="14.4" customHeight="1" x14ac:dyDescent="0.3">
      <c r="A381" s="631" t="s">
        <v>534</v>
      </c>
      <c r="B381" s="632" t="s">
        <v>536</v>
      </c>
      <c r="C381" s="633" t="s">
        <v>554</v>
      </c>
      <c r="D381" s="634" t="s">
        <v>555</v>
      </c>
      <c r="E381" s="633" t="s">
        <v>543</v>
      </c>
      <c r="F381" s="634" t="s">
        <v>544</v>
      </c>
      <c r="G381" s="633" t="s">
        <v>562</v>
      </c>
      <c r="H381" s="633" t="s">
        <v>1622</v>
      </c>
      <c r="I381" s="633" t="s">
        <v>1623</v>
      </c>
      <c r="J381" s="633" t="s">
        <v>1624</v>
      </c>
      <c r="K381" s="633" t="s">
        <v>1625</v>
      </c>
      <c r="L381" s="635">
        <v>2437.86</v>
      </c>
      <c r="M381" s="635">
        <v>2</v>
      </c>
      <c r="N381" s="636">
        <v>4875.72</v>
      </c>
    </row>
    <row r="382" spans="1:14" ht="14.4" customHeight="1" x14ac:dyDescent="0.3">
      <c r="A382" s="631" t="s">
        <v>534</v>
      </c>
      <c r="B382" s="632" t="s">
        <v>536</v>
      </c>
      <c r="C382" s="633" t="s">
        <v>554</v>
      </c>
      <c r="D382" s="634" t="s">
        <v>555</v>
      </c>
      <c r="E382" s="633" t="s">
        <v>543</v>
      </c>
      <c r="F382" s="634" t="s">
        <v>544</v>
      </c>
      <c r="G382" s="633" t="s">
        <v>562</v>
      </c>
      <c r="H382" s="633" t="s">
        <v>1626</v>
      </c>
      <c r="I382" s="633" t="s">
        <v>1627</v>
      </c>
      <c r="J382" s="633" t="s">
        <v>1628</v>
      </c>
      <c r="K382" s="633" t="s">
        <v>1629</v>
      </c>
      <c r="L382" s="635">
        <v>57.55</v>
      </c>
      <c r="M382" s="635">
        <v>1</v>
      </c>
      <c r="N382" s="636">
        <v>57.55</v>
      </c>
    </row>
    <row r="383" spans="1:14" ht="14.4" customHeight="1" x14ac:dyDescent="0.3">
      <c r="A383" s="631" t="s">
        <v>534</v>
      </c>
      <c r="B383" s="632" t="s">
        <v>536</v>
      </c>
      <c r="C383" s="633" t="s">
        <v>554</v>
      </c>
      <c r="D383" s="634" t="s">
        <v>555</v>
      </c>
      <c r="E383" s="633" t="s">
        <v>543</v>
      </c>
      <c r="F383" s="634" t="s">
        <v>544</v>
      </c>
      <c r="G383" s="633" t="s">
        <v>562</v>
      </c>
      <c r="H383" s="633" t="s">
        <v>1247</v>
      </c>
      <c r="I383" s="633" t="s">
        <v>1248</v>
      </c>
      <c r="J383" s="633" t="s">
        <v>1249</v>
      </c>
      <c r="K383" s="633" t="s">
        <v>1250</v>
      </c>
      <c r="L383" s="635">
        <v>240.63547041318449</v>
      </c>
      <c r="M383" s="635">
        <v>25</v>
      </c>
      <c r="N383" s="636">
        <v>6015.8867603296121</v>
      </c>
    </row>
    <row r="384" spans="1:14" ht="14.4" customHeight="1" x14ac:dyDescent="0.3">
      <c r="A384" s="631" t="s">
        <v>534</v>
      </c>
      <c r="B384" s="632" t="s">
        <v>536</v>
      </c>
      <c r="C384" s="633" t="s">
        <v>554</v>
      </c>
      <c r="D384" s="634" t="s">
        <v>555</v>
      </c>
      <c r="E384" s="633" t="s">
        <v>543</v>
      </c>
      <c r="F384" s="634" t="s">
        <v>544</v>
      </c>
      <c r="G384" s="633" t="s">
        <v>562</v>
      </c>
      <c r="H384" s="633" t="s">
        <v>1630</v>
      </c>
      <c r="I384" s="633" t="s">
        <v>1631</v>
      </c>
      <c r="J384" s="633" t="s">
        <v>1632</v>
      </c>
      <c r="K384" s="633" t="s">
        <v>1280</v>
      </c>
      <c r="L384" s="635">
        <v>2899.2100000000005</v>
      </c>
      <c r="M384" s="635">
        <v>3.1</v>
      </c>
      <c r="N384" s="636">
        <v>8987.5510000000013</v>
      </c>
    </row>
    <row r="385" spans="1:14" ht="14.4" customHeight="1" x14ac:dyDescent="0.3">
      <c r="A385" s="631" t="s">
        <v>534</v>
      </c>
      <c r="B385" s="632" t="s">
        <v>536</v>
      </c>
      <c r="C385" s="633" t="s">
        <v>554</v>
      </c>
      <c r="D385" s="634" t="s">
        <v>555</v>
      </c>
      <c r="E385" s="633" t="s">
        <v>543</v>
      </c>
      <c r="F385" s="634" t="s">
        <v>544</v>
      </c>
      <c r="G385" s="633" t="s">
        <v>562</v>
      </c>
      <c r="H385" s="633" t="s">
        <v>1633</v>
      </c>
      <c r="I385" s="633" t="s">
        <v>1634</v>
      </c>
      <c r="J385" s="633" t="s">
        <v>1635</v>
      </c>
      <c r="K385" s="633" t="s">
        <v>1636</v>
      </c>
      <c r="L385" s="635">
        <v>605.26800000000003</v>
      </c>
      <c r="M385" s="635">
        <v>0.15</v>
      </c>
      <c r="N385" s="636">
        <v>90.790199999999999</v>
      </c>
    </row>
    <row r="386" spans="1:14" ht="14.4" customHeight="1" x14ac:dyDescent="0.3">
      <c r="A386" s="631" t="s">
        <v>534</v>
      </c>
      <c r="B386" s="632" t="s">
        <v>536</v>
      </c>
      <c r="C386" s="633" t="s">
        <v>554</v>
      </c>
      <c r="D386" s="634" t="s">
        <v>555</v>
      </c>
      <c r="E386" s="633" t="s">
        <v>543</v>
      </c>
      <c r="F386" s="634" t="s">
        <v>544</v>
      </c>
      <c r="G386" s="633" t="s">
        <v>562</v>
      </c>
      <c r="H386" s="633" t="s">
        <v>1251</v>
      </c>
      <c r="I386" s="633" t="s">
        <v>1252</v>
      </c>
      <c r="J386" s="633" t="s">
        <v>1253</v>
      </c>
      <c r="K386" s="633" t="s">
        <v>1254</v>
      </c>
      <c r="L386" s="635">
        <v>517.5</v>
      </c>
      <c r="M386" s="635">
        <v>0.6</v>
      </c>
      <c r="N386" s="636">
        <v>310.5</v>
      </c>
    </row>
    <row r="387" spans="1:14" ht="14.4" customHeight="1" x14ac:dyDescent="0.3">
      <c r="A387" s="631" t="s">
        <v>534</v>
      </c>
      <c r="B387" s="632" t="s">
        <v>536</v>
      </c>
      <c r="C387" s="633" t="s">
        <v>554</v>
      </c>
      <c r="D387" s="634" t="s">
        <v>555</v>
      </c>
      <c r="E387" s="633" t="s">
        <v>543</v>
      </c>
      <c r="F387" s="634" t="s">
        <v>544</v>
      </c>
      <c r="G387" s="633" t="s">
        <v>562</v>
      </c>
      <c r="H387" s="633" t="s">
        <v>1637</v>
      </c>
      <c r="I387" s="633" t="s">
        <v>1637</v>
      </c>
      <c r="J387" s="633" t="s">
        <v>1638</v>
      </c>
      <c r="K387" s="633" t="s">
        <v>1639</v>
      </c>
      <c r="L387" s="635">
        <v>1079.1046534606737</v>
      </c>
      <c r="M387" s="635">
        <v>6</v>
      </c>
      <c r="N387" s="636">
        <v>6474.6279207640418</v>
      </c>
    </row>
    <row r="388" spans="1:14" ht="14.4" customHeight="1" x14ac:dyDescent="0.3">
      <c r="A388" s="631" t="s">
        <v>534</v>
      </c>
      <c r="B388" s="632" t="s">
        <v>536</v>
      </c>
      <c r="C388" s="633" t="s">
        <v>554</v>
      </c>
      <c r="D388" s="634" t="s">
        <v>555</v>
      </c>
      <c r="E388" s="633" t="s">
        <v>543</v>
      </c>
      <c r="F388" s="634" t="s">
        <v>544</v>
      </c>
      <c r="G388" s="633" t="s">
        <v>562</v>
      </c>
      <c r="H388" s="633" t="s">
        <v>1640</v>
      </c>
      <c r="I388" s="633" t="s">
        <v>1641</v>
      </c>
      <c r="J388" s="633" t="s">
        <v>1642</v>
      </c>
      <c r="K388" s="633" t="s">
        <v>1643</v>
      </c>
      <c r="L388" s="635">
        <v>246.16945484626402</v>
      </c>
      <c r="M388" s="635">
        <v>6</v>
      </c>
      <c r="N388" s="636">
        <v>1477.0167290775842</v>
      </c>
    </row>
    <row r="389" spans="1:14" ht="14.4" customHeight="1" x14ac:dyDescent="0.3">
      <c r="A389" s="631" t="s">
        <v>534</v>
      </c>
      <c r="B389" s="632" t="s">
        <v>536</v>
      </c>
      <c r="C389" s="633" t="s">
        <v>554</v>
      </c>
      <c r="D389" s="634" t="s">
        <v>555</v>
      </c>
      <c r="E389" s="633" t="s">
        <v>543</v>
      </c>
      <c r="F389" s="634" t="s">
        <v>544</v>
      </c>
      <c r="G389" s="633" t="s">
        <v>562</v>
      </c>
      <c r="H389" s="633" t="s">
        <v>1644</v>
      </c>
      <c r="I389" s="633" t="s">
        <v>1644</v>
      </c>
      <c r="J389" s="633" t="s">
        <v>1645</v>
      </c>
      <c r="K389" s="633" t="s">
        <v>1646</v>
      </c>
      <c r="L389" s="635">
        <v>2095.0387832263336</v>
      </c>
      <c r="M389" s="635">
        <v>4</v>
      </c>
      <c r="N389" s="636">
        <v>8380.1551329053345</v>
      </c>
    </row>
    <row r="390" spans="1:14" ht="14.4" customHeight="1" x14ac:dyDescent="0.3">
      <c r="A390" s="631" t="s">
        <v>534</v>
      </c>
      <c r="B390" s="632" t="s">
        <v>536</v>
      </c>
      <c r="C390" s="633" t="s">
        <v>554</v>
      </c>
      <c r="D390" s="634" t="s">
        <v>555</v>
      </c>
      <c r="E390" s="633" t="s">
        <v>543</v>
      </c>
      <c r="F390" s="634" t="s">
        <v>544</v>
      </c>
      <c r="G390" s="633" t="s">
        <v>1039</v>
      </c>
      <c r="H390" s="633" t="s">
        <v>1255</v>
      </c>
      <c r="I390" s="633" t="s">
        <v>1256</v>
      </c>
      <c r="J390" s="633" t="s">
        <v>1257</v>
      </c>
      <c r="K390" s="633" t="s">
        <v>1258</v>
      </c>
      <c r="L390" s="635">
        <v>169.62798748562233</v>
      </c>
      <c r="M390" s="635">
        <v>1</v>
      </c>
      <c r="N390" s="636">
        <v>169.62798748562233</v>
      </c>
    </row>
    <row r="391" spans="1:14" ht="14.4" customHeight="1" x14ac:dyDescent="0.3">
      <c r="A391" s="631" t="s">
        <v>534</v>
      </c>
      <c r="B391" s="632" t="s">
        <v>536</v>
      </c>
      <c r="C391" s="633" t="s">
        <v>554</v>
      </c>
      <c r="D391" s="634" t="s">
        <v>555</v>
      </c>
      <c r="E391" s="633" t="s">
        <v>543</v>
      </c>
      <c r="F391" s="634" t="s">
        <v>544</v>
      </c>
      <c r="G391" s="633" t="s">
        <v>1039</v>
      </c>
      <c r="H391" s="633" t="s">
        <v>1259</v>
      </c>
      <c r="I391" s="633" t="s">
        <v>1260</v>
      </c>
      <c r="J391" s="633" t="s">
        <v>1261</v>
      </c>
      <c r="K391" s="633" t="s">
        <v>1262</v>
      </c>
      <c r="L391" s="635">
        <v>88.600000000000009</v>
      </c>
      <c r="M391" s="635">
        <v>12</v>
      </c>
      <c r="N391" s="636">
        <v>1063.2</v>
      </c>
    </row>
    <row r="392" spans="1:14" ht="14.4" customHeight="1" x14ac:dyDescent="0.3">
      <c r="A392" s="631" t="s">
        <v>534</v>
      </c>
      <c r="B392" s="632" t="s">
        <v>536</v>
      </c>
      <c r="C392" s="633" t="s">
        <v>554</v>
      </c>
      <c r="D392" s="634" t="s">
        <v>555</v>
      </c>
      <c r="E392" s="633" t="s">
        <v>543</v>
      </c>
      <c r="F392" s="634" t="s">
        <v>544</v>
      </c>
      <c r="G392" s="633" t="s">
        <v>1039</v>
      </c>
      <c r="H392" s="633" t="s">
        <v>1263</v>
      </c>
      <c r="I392" s="633" t="s">
        <v>1264</v>
      </c>
      <c r="J392" s="633" t="s">
        <v>1245</v>
      </c>
      <c r="K392" s="633" t="s">
        <v>1265</v>
      </c>
      <c r="L392" s="635">
        <v>45.850035881615938</v>
      </c>
      <c r="M392" s="635">
        <v>164</v>
      </c>
      <c r="N392" s="636">
        <v>7519.4058845850141</v>
      </c>
    </row>
    <row r="393" spans="1:14" ht="14.4" customHeight="1" x14ac:dyDescent="0.3">
      <c r="A393" s="631" t="s">
        <v>534</v>
      </c>
      <c r="B393" s="632" t="s">
        <v>536</v>
      </c>
      <c r="C393" s="633" t="s">
        <v>554</v>
      </c>
      <c r="D393" s="634" t="s">
        <v>555</v>
      </c>
      <c r="E393" s="633" t="s">
        <v>543</v>
      </c>
      <c r="F393" s="634" t="s">
        <v>544</v>
      </c>
      <c r="G393" s="633" t="s">
        <v>1039</v>
      </c>
      <c r="H393" s="633" t="s">
        <v>1647</v>
      </c>
      <c r="I393" s="633" t="s">
        <v>1648</v>
      </c>
      <c r="J393" s="633" t="s">
        <v>1649</v>
      </c>
      <c r="K393" s="633" t="s">
        <v>1650</v>
      </c>
      <c r="L393" s="635">
        <v>261.05</v>
      </c>
      <c r="M393" s="635">
        <v>12</v>
      </c>
      <c r="N393" s="636">
        <v>3132.6</v>
      </c>
    </row>
    <row r="394" spans="1:14" ht="14.4" customHeight="1" x14ac:dyDescent="0.3">
      <c r="A394" s="631" t="s">
        <v>534</v>
      </c>
      <c r="B394" s="632" t="s">
        <v>536</v>
      </c>
      <c r="C394" s="633" t="s">
        <v>554</v>
      </c>
      <c r="D394" s="634" t="s">
        <v>555</v>
      </c>
      <c r="E394" s="633" t="s">
        <v>543</v>
      </c>
      <c r="F394" s="634" t="s">
        <v>544</v>
      </c>
      <c r="G394" s="633" t="s">
        <v>1039</v>
      </c>
      <c r="H394" s="633" t="s">
        <v>1277</v>
      </c>
      <c r="I394" s="633" t="s">
        <v>1278</v>
      </c>
      <c r="J394" s="633" t="s">
        <v>1279</v>
      </c>
      <c r="K394" s="633" t="s">
        <v>1280</v>
      </c>
      <c r="L394" s="635">
        <v>219.21095321435052</v>
      </c>
      <c r="M394" s="635">
        <v>14.799999999999995</v>
      </c>
      <c r="N394" s="636">
        <v>3244.3221075723868</v>
      </c>
    </row>
    <row r="395" spans="1:14" ht="14.4" customHeight="1" x14ac:dyDescent="0.3">
      <c r="A395" s="631" t="s">
        <v>534</v>
      </c>
      <c r="B395" s="632" t="s">
        <v>536</v>
      </c>
      <c r="C395" s="633" t="s">
        <v>554</v>
      </c>
      <c r="D395" s="634" t="s">
        <v>555</v>
      </c>
      <c r="E395" s="633" t="s">
        <v>543</v>
      </c>
      <c r="F395" s="634" t="s">
        <v>544</v>
      </c>
      <c r="G395" s="633" t="s">
        <v>1039</v>
      </c>
      <c r="H395" s="633" t="s">
        <v>1281</v>
      </c>
      <c r="I395" s="633" t="s">
        <v>1282</v>
      </c>
      <c r="J395" s="633" t="s">
        <v>1283</v>
      </c>
      <c r="K395" s="633" t="s">
        <v>1284</v>
      </c>
      <c r="L395" s="635">
        <v>125.89750000000001</v>
      </c>
      <c r="M395" s="635">
        <v>8</v>
      </c>
      <c r="N395" s="636">
        <v>1007.1800000000001</v>
      </c>
    </row>
    <row r="396" spans="1:14" ht="14.4" customHeight="1" x14ac:dyDescent="0.3">
      <c r="A396" s="631" t="s">
        <v>534</v>
      </c>
      <c r="B396" s="632" t="s">
        <v>536</v>
      </c>
      <c r="C396" s="633" t="s">
        <v>554</v>
      </c>
      <c r="D396" s="634" t="s">
        <v>555</v>
      </c>
      <c r="E396" s="633" t="s">
        <v>543</v>
      </c>
      <c r="F396" s="634" t="s">
        <v>544</v>
      </c>
      <c r="G396" s="633" t="s">
        <v>1039</v>
      </c>
      <c r="H396" s="633" t="s">
        <v>1651</v>
      </c>
      <c r="I396" s="633" t="s">
        <v>1652</v>
      </c>
      <c r="J396" s="633" t="s">
        <v>1653</v>
      </c>
      <c r="K396" s="633" t="s">
        <v>1654</v>
      </c>
      <c r="L396" s="635">
        <v>75.220000000000013</v>
      </c>
      <c r="M396" s="635">
        <v>12</v>
      </c>
      <c r="N396" s="636">
        <v>902.6400000000001</v>
      </c>
    </row>
    <row r="397" spans="1:14" ht="14.4" customHeight="1" x14ac:dyDescent="0.3">
      <c r="A397" s="631" t="s">
        <v>534</v>
      </c>
      <c r="B397" s="632" t="s">
        <v>536</v>
      </c>
      <c r="C397" s="633" t="s">
        <v>554</v>
      </c>
      <c r="D397" s="634" t="s">
        <v>555</v>
      </c>
      <c r="E397" s="633" t="s">
        <v>543</v>
      </c>
      <c r="F397" s="634" t="s">
        <v>544</v>
      </c>
      <c r="G397" s="633" t="s">
        <v>1039</v>
      </c>
      <c r="H397" s="633" t="s">
        <v>1655</v>
      </c>
      <c r="I397" s="633" t="s">
        <v>1656</v>
      </c>
      <c r="J397" s="633" t="s">
        <v>1657</v>
      </c>
      <c r="K397" s="633" t="s">
        <v>1658</v>
      </c>
      <c r="L397" s="635">
        <v>59.941999999999993</v>
      </c>
      <c r="M397" s="635">
        <v>5</v>
      </c>
      <c r="N397" s="636">
        <v>299.70999999999998</v>
      </c>
    </row>
    <row r="398" spans="1:14" ht="14.4" customHeight="1" x14ac:dyDescent="0.3">
      <c r="A398" s="631" t="s">
        <v>534</v>
      </c>
      <c r="B398" s="632" t="s">
        <v>536</v>
      </c>
      <c r="C398" s="633" t="s">
        <v>554</v>
      </c>
      <c r="D398" s="634" t="s">
        <v>555</v>
      </c>
      <c r="E398" s="633" t="s">
        <v>545</v>
      </c>
      <c r="F398" s="634" t="s">
        <v>546</v>
      </c>
      <c r="G398" s="633" t="s">
        <v>562</v>
      </c>
      <c r="H398" s="633" t="s">
        <v>1659</v>
      </c>
      <c r="I398" s="633" t="s">
        <v>1660</v>
      </c>
      <c r="J398" s="633" t="s">
        <v>1661</v>
      </c>
      <c r="K398" s="633" t="s">
        <v>1662</v>
      </c>
      <c r="L398" s="635">
        <v>76.770090574513318</v>
      </c>
      <c r="M398" s="635">
        <v>1</v>
      </c>
      <c r="N398" s="636">
        <v>76.770090574513318</v>
      </c>
    </row>
    <row r="399" spans="1:14" ht="14.4" customHeight="1" x14ac:dyDescent="0.3">
      <c r="A399" s="631" t="s">
        <v>534</v>
      </c>
      <c r="B399" s="632" t="s">
        <v>536</v>
      </c>
      <c r="C399" s="633" t="s">
        <v>554</v>
      </c>
      <c r="D399" s="634" t="s">
        <v>555</v>
      </c>
      <c r="E399" s="633" t="s">
        <v>545</v>
      </c>
      <c r="F399" s="634" t="s">
        <v>546</v>
      </c>
      <c r="G399" s="633" t="s">
        <v>562</v>
      </c>
      <c r="H399" s="633" t="s">
        <v>1663</v>
      </c>
      <c r="I399" s="633" t="s">
        <v>1664</v>
      </c>
      <c r="J399" s="633" t="s">
        <v>1665</v>
      </c>
      <c r="K399" s="633" t="s">
        <v>1666</v>
      </c>
      <c r="L399" s="635">
        <v>163.23000000000008</v>
      </c>
      <c r="M399" s="635">
        <v>1</v>
      </c>
      <c r="N399" s="636">
        <v>163.23000000000008</v>
      </c>
    </row>
    <row r="400" spans="1:14" ht="14.4" customHeight="1" x14ac:dyDescent="0.3">
      <c r="A400" s="631" t="s">
        <v>534</v>
      </c>
      <c r="B400" s="632" t="s">
        <v>536</v>
      </c>
      <c r="C400" s="633" t="s">
        <v>554</v>
      </c>
      <c r="D400" s="634" t="s">
        <v>555</v>
      </c>
      <c r="E400" s="633" t="s">
        <v>545</v>
      </c>
      <c r="F400" s="634" t="s">
        <v>546</v>
      </c>
      <c r="G400" s="633" t="s">
        <v>1039</v>
      </c>
      <c r="H400" s="633" t="s">
        <v>1292</v>
      </c>
      <c r="I400" s="633" t="s">
        <v>1293</v>
      </c>
      <c r="J400" s="633" t="s">
        <v>1294</v>
      </c>
      <c r="K400" s="633"/>
      <c r="L400" s="635">
        <v>80.22706107581196</v>
      </c>
      <c r="M400" s="635">
        <v>89</v>
      </c>
      <c r="N400" s="636">
        <v>7140.208435747265</v>
      </c>
    </row>
    <row r="401" spans="1:14" ht="14.4" customHeight="1" x14ac:dyDescent="0.3">
      <c r="A401" s="631" t="s">
        <v>534</v>
      </c>
      <c r="B401" s="632" t="s">
        <v>536</v>
      </c>
      <c r="C401" s="633" t="s">
        <v>554</v>
      </c>
      <c r="D401" s="634" t="s">
        <v>555</v>
      </c>
      <c r="E401" s="633" t="s">
        <v>541</v>
      </c>
      <c r="F401" s="634" t="s">
        <v>542</v>
      </c>
      <c r="G401" s="633"/>
      <c r="H401" s="633"/>
      <c r="I401" s="633" t="s">
        <v>1667</v>
      </c>
      <c r="J401" s="633" t="s">
        <v>1668</v>
      </c>
      <c r="K401" s="633"/>
      <c r="L401" s="635">
        <v>1407.54</v>
      </c>
      <c r="M401" s="635">
        <v>36</v>
      </c>
      <c r="N401" s="636">
        <v>50671.439999999995</v>
      </c>
    </row>
    <row r="402" spans="1:14" ht="14.4" customHeight="1" x14ac:dyDescent="0.3">
      <c r="A402" s="631" t="s">
        <v>534</v>
      </c>
      <c r="B402" s="632" t="s">
        <v>536</v>
      </c>
      <c r="C402" s="633" t="s">
        <v>554</v>
      </c>
      <c r="D402" s="634" t="s">
        <v>555</v>
      </c>
      <c r="E402" s="633" t="s">
        <v>541</v>
      </c>
      <c r="F402" s="634" t="s">
        <v>542</v>
      </c>
      <c r="G402" s="633"/>
      <c r="H402" s="633"/>
      <c r="I402" s="633" t="s">
        <v>1669</v>
      </c>
      <c r="J402" s="633" t="s">
        <v>1670</v>
      </c>
      <c r="K402" s="633"/>
      <c r="L402" s="635">
        <v>8608.9</v>
      </c>
      <c r="M402" s="635">
        <v>2</v>
      </c>
      <c r="N402" s="636">
        <v>17217.8</v>
      </c>
    </row>
    <row r="403" spans="1:14" ht="14.4" customHeight="1" x14ac:dyDescent="0.3">
      <c r="A403" s="631" t="s">
        <v>534</v>
      </c>
      <c r="B403" s="632" t="s">
        <v>536</v>
      </c>
      <c r="C403" s="633" t="s">
        <v>556</v>
      </c>
      <c r="D403" s="634" t="s">
        <v>557</v>
      </c>
      <c r="E403" s="633" t="s">
        <v>537</v>
      </c>
      <c r="F403" s="634" t="s">
        <v>538</v>
      </c>
      <c r="G403" s="633"/>
      <c r="H403" s="633" t="s">
        <v>1299</v>
      </c>
      <c r="I403" s="633" t="s">
        <v>1300</v>
      </c>
      <c r="J403" s="633" t="s">
        <v>1301</v>
      </c>
      <c r="K403" s="633" t="s">
        <v>1302</v>
      </c>
      <c r="L403" s="635">
        <v>260.72916666666669</v>
      </c>
      <c r="M403" s="635">
        <v>8</v>
      </c>
      <c r="N403" s="636">
        <v>2085.8333333333335</v>
      </c>
    </row>
    <row r="404" spans="1:14" ht="14.4" customHeight="1" x14ac:dyDescent="0.3">
      <c r="A404" s="631" t="s">
        <v>534</v>
      </c>
      <c r="B404" s="632" t="s">
        <v>536</v>
      </c>
      <c r="C404" s="633" t="s">
        <v>556</v>
      </c>
      <c r="D404" s="634" t="s">
        <v>557</v>
      </c>
      <c r="E404" s="633" t="s">
        <v>537</v>
      </c>
      <c r="F404" s="634" t="s">
        <v>538</v>
      </c>
      <c r="G404" s="633" t="s">
        <v>562</v>
      </c>
      <c r="H404" s="633" t="s">
        <v>563</v>
      </c>
      <c r="I404" s="633" t="s">
        <v>563</v>
      </c>
      <c r="J404" s="633" t="s">
        <v>564</v>
      </c>
      <c r="K404" s="633" t="s">
        <v>565</v>
      </c>
      <c r="L404" s="635">
        <v>179.40000000000003</v>
      </c>
      <c r="M404" s="635">
        <v>10</v>
      </c>
      <c r="N404" s="636">
        <v>1794.0000000000005</v>
      </c>
    </row>
    <row r="405" spans="1:14" ht="14.4" customHeight="1" x14ac:dyDescent="0.3">
      <c r="A405" s="631" t="s">
        <v>534</v>
      </c>
      <c r="B405" s="632" t="s">
        <v>536</v>
      </c>
      <c r="C405" s="633" t="s">
        <v>556</v>
      </c>
      <c r="D405" s="634" t="s">
        <v>557</v>
      </c>
      <c r="E405" s="633" t="s">
        <v>537</v>
      </c>
      <c r="F405" s="634" t="s">
        <v>538</v>
      </c>
      <c r="G405" s="633" t="s">
        <v>562</v>
      </c>
      <c r="H405" s="633" t="s">
        <v>1671</v>
      </c>
      <c r="I405" s="633" t="s">
        <v>1671</v>
      </c>
      <c r="J405" s="633" t="s">
        <v>570</v>
      </c>
      <c r="K405" s="633" t="s">
        <v>1672</v>
      </c>
      <c r="L405" s="635">
        <v>132.25</v>
      </c>
      <c r="M405" s="635">
        <v>9</v>
      </c>
      <c r="N405" s="636">
        <v>1190.25</v>
      </c>
    </row>
    <row r="406" spans="1:14" ht="14.4" customHeight="1" x14ac:dyDescent="0.3">
      <c r="A406" s="631" t="s">
        <v>534</v>
      </c>
      <c r="B406" s="632" t="s">
        <v>536</v>
      </c>
      <c r="C406" s="633" t="s">
        <v>556</v>
      </c>
      <c r="D406" s="634" t="s">
        <v>557</v>
      </c>
      <c r="E406" s="633" t="s">
        <v>537</v>
      </c>
      <c r="F406" s="634" t="s">
        <v>538</v>
      </c>
      <c r="G406" s="633" t="s">
        <v>562</v>
      </c>
      <c r="H406" s="633" t="s">
        <v>574</v>
      </c>
      <c r="I406" s="633" t="s">
        <v>574</v>
      </c>
      <c r="J406" s="633" t="s">
        <v>564</v>
      </c>
      <c r="K406" s="633" t="s">
        <v>575</v>
      </c>
      <c r="L406" s="635">
        <v>97.75</v>
      </c>
      <c r="M406" s="635">
        <v>12</v>
      </c>
      <c r="N406" s="636">
        <v>1173</v>
      </c>
    </row>
    <row r="407" spans="1:14" ht="14.4" customHeight="1" x14ac:dyDescent="0.3">
      <c r="A407" s="631" t="s">
        <v>534</v>
      </c>
      <c r="B407" s="632" t="s">
        <v>536</v>
      </c>
      <c r="C407" s="633" t="s">
        <v>556</v>
      </c>
      <c r="D407" s="634" t="s">
        <v>557</v>
      </c>
      <c r="E407" s="633" t="s">
        <v>537</v>
      </c>
      <c r="F407" s="634" t="s">
        <v>538</v>
      </c>
      <c r="G407" s="633" t="s">
        <v>562</v>
      </c>
      <c r="H407" s="633" t="s">
        <v>576</v>
      </c>
      <c r="I407" s="633" t="s">
        <v>577</v>
      </c>
      <c r="J407" s="633" t="s">
        <v>578</v>
      </c>
      <c r="K407" s="633" t="s">
        <v>579</v>
      </c>
      <c r="L407" s="635">
        <v>84.57</v>
      </c>
      <c r="M407" s="635">
        <v>10</v>
      </c>
      <c r="N407" s="636">
        <v>845.69999999999993</v>
      </c>
    </row>
    <row r="408" spans="1:14" ht="14.4" customHeight="1" x14ac:dyDescent="0.3">
      <c r="A408" s="631" t="s">
        <v>534</v>
      </c>
      <c r="B408" s="632" t="s">
        <v>536</v>
      </c>
      <c r="C408" s="633" t="s">
        <v>556</v>
      </c>
      <c r="D408" s="634" t="s">
        <v>557</v>
      </c>
      <c r="E408" s="633" t="s">
        <v>537</v>
      </c>
      <c r="F408" s="634" t="s">
        <v>538</v>
      </c>
      <c r="G408" s="633" t="s">
        <v>562</v>
      </c>
      <c r="H408" s="633" t="s">
        <v>1673</v>
      </c>
      <c r="I408" s="633" t="s">
        <v>1674</v>
      </c>
      <c r="J408" s="633" t="s">
        <v>582</v>
      </c>
      <c r="K408" s="633" t="s">
        <v>954</v>
      </c>
      <c r="L408" s="635">
        <v>95.08</v>
      </c>
      <c r="M408" s="635">
        <v>1</v>
      </c>
      <c r="N408" s="636">
        <v>95.08</v>
      </c>
    </row>
    <row r="409" spans="1:14" ht="14.4" customHeight="1" x14ac:dyDescent="0.3">
      <c r="A409" s="631" t="s">
        <v>534</v>
      </c>
      <c r="B409" s="632" t="s">
        <v>536</v>
      </c>
      <c r="C409" s="633" t="s">
        <v>556</v>
      </c>
      <c r="D409" s="634" t="s">
        <v>557</v>
      </c>
      <c r="E409" s="633" t="s">
        <v>537</v>
      </c>
      <c r="F409" s="634" t="s">
        <v>538</v>
      </c>
      <c r="G409" s="633" t="s">
        <v>562</v>
      </c>
      <c r="H409" s="633" t="s">
        <v>580</v>
      </c>
      <c r="I409" s="633" t="s">
        <v>581</v>
      </c>
      <c r="J409" s="633" t="s">
        <v>582</v>
      </c>
      <c r="K409" s="633" t="s">
        <v>583</v>
      </c>
      <c r="L409" s="635">
        <v>106.05007115638449</v>
      </c>
      <c r="M409" s="635">
        <v>3</v>
      </c>
      <c r="N409" s="636">
        <v>318.15021346915347</v>
      </c>
    </row>
    <row r="410" spans="1:14" ht="14.4" customHeight="1" x14ac:dyDescent="0.3">
      <c r="A410" s="631" t="s">
        <v>534</v>
      </c>
      <c r="B410" s="632" t="s">
        <v>536</v>
      </c>
      <c r="C410" s="633" t="s">
        <v>556</v>
      </c>
      <c r="D410" s="634" t="s">
        <v>557</v>
      </c>
      <c r="E410" s="633" t="s">
        <v>537</v>
      </c>
      <c r="F410" s="634" t="s">
        <v>538</v>
      </c>
      <c r="G410" s="633" t="s">
        <v>562</v>
      </c>
      <c r="H410" s="633" t="s">
        <v>588</v>
      </c>
      <c r="I410" s="633" t="s">
        <v>589</v>
      </c>
      <c r="J410" s="633" t="s">
        <v>590</v>
      </c>
      <c r="K410" s="633" t="s">
        <v>591</v>
      </c>
      <c r="L410" s="635">
        <v>63.040796777003393</v>
      </c>
      <c r="M410" s="635">
        <v>1</v>
      </c>
      <c r="N410" s="636">
        <v>63.040796777003393</v>
      </c>
    </row>
    <row r="411" spans="1:14" ht="14.4" customHeight="1" x14ac:dyDescent="0.3">
      <c r="A411" s="631" t="s">
        <v>534</v>
      </c>
      <c r="B411" s="632" t="s">
        <v>536</v>
      </c>
      <c r="C411" s="633" t="s">
        <v>556</v>
      </c>
      <c r="D411" s="634" t="s">
        <v>557</v>
      </c>
      <c r="E411" s="633" t="s">
        <v>537</v>
      </c>
      <c r="F411" s="634" t="s">
        <v>538</v>
      </c>
      <c r="G411" s="633" t="s">
        <v>562</v>
      </c>
      <c r="H411" s="633" t="s">
        <v>608</v>
      </c>
      <c r="I411" s="633" t="s">
        <v>609</v>
      </c>
      <c r="J411" s="633" t="s">
        <v>610</v>
      </c>
      <c r="K411" s="633" t="s">
        <v>611</v>
      </c>
      <c r="L411" s="635">
        <v>27.46</v>
      </c>
      <c r="M411" s="635">
        <v>2</v>
      </c>
      <c r="N411" s="636">
        <v>54.92</v>
      </c>
    </row>
    <row r="412" spans="1:14" ht="14.4" customHeight="1" x14ac:dyDescent="0.3">
      <c r="A412" s="631" t="s">
        <v>534</v>
      </c>
      <c r="B412" s="632" t="s">
        <v>536</v>
      </c>
      <c r="C412" s="633" t="s">
        <v>556</v>
      </c>
      <c r="D412" s="634" t="s">
        <v>557</v>
      </c>
      <c r="E412" s="633" t="s">
        <v>537</v>
      </c>
      <c r="F412" s="634" t="s">
        <v>538</v>
      </c>
      <c r="G412" s="633" t="s">
        <v>562</v>
      </c>
      <c r="H412" s="633" t="s">
        <v>1675</v>
      </c>
      <c r="I412" s="633" t="s">
        <v>1676</v>
      </c>
      <c r="J412" s="633" t="s">
        <v>1677</v>
      </c>
      <c r="K412" s="633" t="s">
        <v>1678</v>
      </c>
      <c r="L412" s="635">
        <v>121.21000000000001</v>
      </c>
      <c r="M412" s="635">
        <v>7</v>
      </c>
      <c r="N412" s="636">
        <v>848.47</v>
      </c>
    </row>
    <row r="413" spans="1:14" ht="14.4" customHeight="1" x14ac:dyDescent="0.3">
      <c r="A413" s="631" t="s">
        <v>534</v>
      </c>
      <c r="B413" s="632" t="s">
        <v>536</v>
      </c>
      <c r="C413" s="633" t="s">
        <v>556</v>
      </c>
      <c r="D413" s="634" t="s">
        <v>557</v>
      </c>
      <c r="E413" s="633" t="s">
        <v>537</v>
      </c>
      <c r="F413" s="634" t="s">
        <v>538</v>
      </c>
      <c r="G413" s="633" t="s">
        <v>562</v>
      </c>
      <c r="H413" s="633" t="s">
        <v>647</v>
      </c>
      <c r="I413" s="633" t="s">
        <v>648</v>
      </c>
      <c r="J413" s="633" t="s">
        <v>649</v>
      </c>
      <c r="K413" s="633" t="s">
        <v>650</v>
      </c>
      <c r="L413" s="635">
        <v>260.00000000000006</v>
      </c>
      <c r="M413" s="635">
        <v>2</v>
      </c>
      <c r="N413" s="636">
        <v>520.00000000000011</v>
      </c>
    </row>
    <row r="414" spans="1:14" ht="14.4" customHeight="1" x14ac:dyDescent="0.3">
      <c r="A414" s="631" t="s">
        <v>534</v>
      </c>
      <c r="B414" s="632" t="s">
        <v>536</v>
      </c>
      <c r="C414" s="633" t="s">
        <v>556</v>
      </c>
      <c r="D414" s="634" t="s">
        <v>557</v>
      </c>
      <c r="E414" s="633" t="s">
        <v>537</v>
      </c>
      <c r="F414" s="634" t="s">
        <v>538</v>
      </c>
      <c r="G414" s="633" t="s">
        <v>562</v>
      </c>
      <c r="H414" s="633" t="s">
        <v>663</v>
      </c>
      <c r="I414" s="633" t="s">
        <v>663</v>
      </c>
      <c r="J414" s="633" t="s">
        <v>664</v>
      </c>
      <c r="K414" s="633" t="s">
        <v>665</v>
      </c>
      <c r="L414" s="635">
        <v>38.189981860119275</v>
      </c>
      <c r="M414" s="635">
        <v>18</v>
      </c>
      <c r="N414" s="636">
        <v>687.419673482147</v>
      </c>
    </row>
    <row r="415" spans="1:14" ht="14.4" customHeight="1" x14ac:dyDescent="0.3">
      <c r="A415" s="631" t="s">
        <v>534</v>
      </c>
      <c r="B415" s="632" t="s">
        <v>536</v>
      </c>
      <c r="C415" s="633" t="s">
        <v>556</v>
      </c>
      <c r="D415" s="634" t="s">
        <v>557</v>
      </c>
      <c r="E415" s="633" t="s">
        <v>537</v>
      </c>
      <c r="F415" s="634" t="s">
        <v>538</v>
      </c>
      <c r="G415" s="633" t="s">
        <v>562</v>
      </c>
      <c r="H415" s="633" t="s">
        <v>690</v>
      </c>
      <c r="I415" s="633" t="s">
        <v>691</v>
      </c>
      <c r="J415" s="633" t="s">
        <v>692</v>
      </c>
      <c r="K415" s="633" t="s">
        <v>693</v>
      </c>
      <c r="L415" s="635">
        <v>339.61999999999983</v>
      </c>
      <c r="M415" s="635">
        <v>1</v>
      </c>
      <c r="N415" s="636">
        <v>339.61999999999983</v>
      </c>
    </row>
    <row r="416" spans="1:14" ht="14.4" customHeight="1" x14ac:dyDescent="0.3">
      <c r="A416" s="631" t="s">
        <v>534</v>
      </c>
      <c r="B416" s="632" t="s">
        <v>536</v>
      </c>
      <c r="C416" s="633" t="s">
        <v>556</v>
      </c>
      <c r="D416" s="634" t="s">
        <v>557</v>
      </c>
      <c r="E416" s="633" t="s">
        <v>537</v>
      </c>
      <c r="F416" s="634" t="s">
        <v>538</v>
      </c>
      <c r="G416" s="633" t="s">
        <v>562</v>
      </c>
      <c r="H416" s="633" t="s">
        <v>774</v>
      </c>
      <c r="I416" s="633" t="s">
        <v>775</v>
      </c>
      <c r="J416" s="633" t="s">
        <v>772</v>
      </c>
      <c r="K416" s="633" t="s">
        <v>776</v>
      </c>
      <c r="L416" s="635">
        <v>292.47058871592003</v>
      </c>
      <c r="M416" s="635">
        <v>1</v>
      </c>
      <c r="N416" s="636">
        <v>292.47058871592003</v>
      </c>
    </row>
    <row r="417" spans="1:14" ht="14.4" customHeight="1" x14ac:dyDescent="0.3">
      <c r="A417" s="631" t="s">
        <v>534</v>
      </c>
      <c r="B417" s="632" t="s">
        <v>536</v>
      </c>
      <c r="C417" s="633" t="s">
        <v>556</v>
      </c>
      <c r="D417" s="634" t="s">
        <v>557</v>
      </c>
      <c r="E417" s="633" t="s">
        <v>537</v>
      </c>
      <c r="F417" s="634" t="s">
        <v>538</v>
      </c>
      <c r="G417" s="633" t="s">
        <v>562</v>
      </c>
      <c r="H417" s="633" t="s">
        <v>781</v>
      </c>
      <c r="I417" s="633" t="s">
        <v>782</v>
      </c>
      <c r="J417" s="633" t="s">
        <v>783</v>
      </c>
      <c r="K417" s="633" t="s">
        <v>784</v>
      </c>
      <c r="L417" s="635">
        <v>393.01774806425487</v>
      </c>
      <c r="M417" s="635">
        <v>90</v>
      </c>
      <c r="N417" s="636">
        <v>35371.597325782939</v>
      </c>
    </row>
    <row r="418" spans="1:14" ht="14.4" customHeight="1" x14ac:dyDescent="0.3">
      <c r="A418" s="631" t="s">
        <v>534</v>
      </c>
      <c r="B418" s="632" t="s">
        <v>536</v>
      </c>
      <c r="C418" s="633" t="s">
        <v>556</v>
      </c>
      <c r="D418" s="634" t="s">
        <v>557</v>
      </c>
      <c r="E418" s="633" t="s">
        <v>537</v>
      </c>
      <c r="F418" s="634" t="s">
        <v>538</v>
      </c>
      <c r="G418" s="633" t="s">
        <v>562</v>
      </c>
      <c r="H418" s="633" t="s">
        <v>796</v>
      </c>
      <c r="I418" s="633" t="s">
        <v>797</v>
      </c>
      <c r="J418" s="633" t="s">
        <v>798</v>
      </c>
      <c r="K418" s="633" t="s">
        <v>799</v>
      </c>
      <c r="L418" s="635">
        <v>57.009548322934037</v>
      </c>
      <c r="M418" s="635">
        <v>1</v>
      </c>
      <c r="N418" s="636">
        <v>57.009548322934037</v>
      </c>
    </row>
    <row r="419" spans="1:14" ht="14.4" customHeight="1" x14ac:dyDescent="0.3">
      <c r="A419" s="631" t="s">
        <v>534</v>
      </c>
      <c r="B419" s="632" t="s">
        <v>536</v>
      </c>
      <c r="C419" s="633" t="s">
        <v>556</v>
      </c>
      <c r="D419" s="634" t="s">
        <v>557</v>
      </c>
      <c r="E419" s="633" t="s">
        <v>537</v>
      </c>
      <c r="F419" s="634" t="s">
        <v>538</v>
      </c>
      <c r="G419" s="633" t="s">
        <v>562</v>
      </c>
      <c r="H419" s="633" t="s">
        <v>835</v>
      </c>
      <c r="I419" s="633" t="s">
        <v>836</v>
      </c>
      <c r="J419" s="633" t="s">
        <v>837</v>
      </c>
      <c r="K419" s="633"/>
      <c r="L419" s="635">
        <v>140.19999999999999</v>
      </c>
      <c r="M419" s="635">
        <v>10</v>
      </c>
      <c r="N419" s="636">
        <v>1402</v>
      </c>
    </row>
    <row r="420" spans="1:14" ht="14.4" customHeight="1" x14ac:dyDescent="0.3">
      <c r="A420" s="631" t="s">
        <v>534</v>
      </c>
      <c r="B420" s="632" t="s">
        <v>536</v>
      </c>
      <c r="C420" s="633" t="s">
        <v>556</v>
      </c>
      <c r="D420" s="634" t="s">
        <v>557</v>
      </c>
      <c r="E420" s="633" t="s">
        <v>537</v>
      </c>
      <c r="F420" s="634" t="s">
        <v>538</v>
      </c>
      <c r="G420" s="633" t="s">
        <v>562</v>
      </c>
      <c r="H420" s="633" t="s">
        <v>846</v>
      </c>
      <c r="I420" s="633" t="s">
        <v>847</v>
      </c>
      <c r="J420" s="633" t="s">
        <v>848</v>
      </c>
      <c r="K420" s="633" t="s">
        <v>849</v>
      </c>
      <c r="L420" s="635">
        <v>59.21</v>
      </c>
      <c r="M420" s="635">
        <v>1</v>
      </c>
      <c r="N420" s="636">
        <v>59.21</v>
      </c>
    </row>
    <row r="421" spans="1:14" ht="14.4" customHeight="1" x14ac:dyDescent="0.3">
      <c r="A421" s="631" t="s">
        <v>534</v>
      </c>
      <c r="B421" s="632" t="s">
        <v>536</v>
      </c>
      <c r="C421" s="633" t="s">
        <v>556</v>
      </c>
      <c r="D421" s="634" t="s">
        <v>557</v>
      </c>
      <c r="E421" s="633" t="s">
        <v>537</v>
      </c>
      <c r="F421" s="634" t="s">
        <v>538</v>
      </c>
      <c r="G421" s="633" t="s">
        <v>562</v>
      </c>
      <c r="H421" s="633" t="s">
        <v>1679</v>
      </c>
      <c r="I421" s="633" t="s">
        <v>1680</v>
      </c>
      <c r="J421" s="633" t="s">
        <v>1681</v>
      </c>
      <c r="K421" s="633" t="s">
        <v>1682</v>
      </c>
      <c r="L421" s="635">
        <v>527.85</v>
      </c>
      <c r="M421" s="635">
        <v>4</v>
      </c>
      <c r="N421" s="636">
        <v>2111.4</v>
      </c>
    </row>
    <row r="422" spans="1:14" ht="14.4" customHeight="1" x14ac:dyDescent="0.3">
      <c r="A422" s="631" t="s">
        <v>534</v>
      </c>
      <c r="B422" s="632" t="s">
        <v>536</v>
      </c>
      <c r="C422" s="633" t="s">
        <v>556</v>
      </c>
      <c r="D422" s="634" t="s">
        <v>557</v>
      </c>
      <c r="E422" s="633" t="s">
        <v>537</v>
      </c>
      <c r="F422" s="634" t="s">
        <v>538</v>
      </c>
      <c r="G422" s="633" t="s">
        <v>562</v>
      </c>
      <c r="H422" s="633" t="s">
        <v>1683</v>
      </c>
      <c r="I422" s="633" t="s">
        <v>246</v>
      </c>
      <c r="J422" s="633" t="s">
        <v>1684</v>
      </c>
      <c r="K422" s="633"/>
      <c r="L422" s="635">
        <v>202.261982384552</v>
      </c>
      <c r="M422" s="635">
        <v>2</v>
      </c>
      <c r="N422" s="636">
        <v>404.523964769104</v>
      </c>
    </row>
    <row r="423" spans="1:14" ht="14.4" customHeight="1" x14ac:dyDescent="0.3">
      <c r="A423" s="631" t="s">
        <v>534</v>
      </c>
      <c r="B423" s="632" t="s">
        <v>536</v>
      </c>
      <c r="C423" s="633" t="s">
        <v>556</v>
      </c>
      <c r="D423" s="634" t="s">
        <v>557</v>
      </c>
      <c r="E423" s="633" t="s">
        <v>537</v>
      </c>
      <c r="F423" s="634" t="s">
        <v>538</v>
      </c>
      <c r="G423" s="633" t="s">
        <v>562</v>
      </c>
      <c r="H423" s="633" t="s">
        <v>885</v>
      </c>
      <c r="I423" s="633" t="s">
        <v>885</v>
      </c>
      <c r="J423" s="633" t="s">
        <v>564</v>
      </c>
      <c r="K423" s="633" t="s">
        <v>886</v>
      </c>
      <c r="L423" s="635">
        <v>201.25</v>
      </c>
      <c r="M423" s="635">
        <v>14</v>
      </c>
      <c r="N423" s="636">
        <v>2817.5</v>
      </c>
    </row>
    <row r="424" spans="1:14" ht="14.4" customHeight="1" x14ac:dyDescent="0.3">
      <c r="A424" s="631" t="s">
        <v>534</v>
      </c>
      <c r="B424" s="632" t="s">
        <v>536</v>
      </c>
      <c r="C424" s="633" t="s">
        <v>556</v>
      </c>
      <c r="D424" s="634" t="s">
        <v>557</v>
      </c>
      <c r="E424" s="633" t="s">
        <v>537</v>
      </c>
      <c r="F424" s="634" t="s">
        <v>538</v>
      </c>
      <c r="G424" s="633" t="s">
        <v>562</v>
      </c>
      <c r="H424" s="633" t="s">
        <v>891</v>
      </c>
      <c r="I424" s="633" t="s">
        <v>892</v>
      </c>
      <c r="J424" s="633" t="s">
        <v>893</v>
      </c>
      <c r="K424" s="633" t="s">
        <v>579</v>
      </c>
      <c r="L424" s="635">
        <v>121.79516173828587</v>
      </c>
      <c r="M424" s="635">
        <v>55</v>
      </c>
      <c r="N424" s="636">
        <v>6698.7338956057229</v>
      </c>
    </row>
    <row r="425" spans="1:14" ht="14.4" customHeight="1" x14ac:dyDescent="0.3">
      <c r="A425" s="631" t="s">
        <v>534</v>
      </c>
      <c r="B425" s="632" t="s">
        <v>536</v>
      </c>
      <c r="C425" s="633" t="s">
        <v>556</v>
      </c>
      <c r="D425" s="634" t="s">
        <v>557</v>
      </c>
      <c r="E425" s="633" t="s">
        <v>537</v>
      </c>
      <c r="F425" s="634" t="s">
        <v>538</v>
      </c>
      <c r="G425" s="633" t="s">
        <v>562</v>
      </c>
      <c r="H425" s="633" t="s">
        <v>906</v>
      </c>
      <c r="I425" s="633" t="s">
        <v>907</v>
      </c>
      <c r="J425" s="633" t="s">
        <v>908</v>
      </c>
      <c r="K425" s="633" t="s">
        <v>909</v>
      </c>
      <c r="L425" s="635">
        <v>260</v>
      </c>
      <c r="M425" s="635">
        <v>17</v>
      </c>
      <c r="N425" s="636">
        <v>4420</v>
      </c>
    </row>
    <row r="426" spans="1:14" ht="14.4" customHeight="1" x14ac:dyDescent="0.3">
      <c r="A426" s="631" t="s">
        <v>534</v>
      </c>
      <c r="B426" s="632" t="s">
        <v>536</v>
      </c>
      <c r="C426" s="633" t="s">
        <v>556</v>
      </c>
      <c r="D426" s="634" t="s">
        <v>557</v>
      </c>
      <c r="E426" s="633" t="s">
        <v>537</v>
      </c>
      <c r="F426" s="634" t="s">
        <v>538</v>
      </c>
      <c r="G426" s="633" t="s">
        <v>562</v>
      </c>
      <c r="H426" s="633" t="s">
        <v>1352</v>
      </c>
      <c r="I426" s="633" t="s">
        <v>1353</v>
      </c>
      <c r="J426" s="633" t="s">
        <v>1354</v>
      </c>
      <c r="K426" s="633" t="s">
        <v>1355</v>
      </c>
      <c r="L426" s="635">
        <v>197.47203595524047</v>
      </c>
      <c r="M426" s="635">
        <v>31</v>
      </c>
      <c r="N426" s="636">
        <v>6121.6331146124548</v>
      </c>
    </row>
    <row r="427" spans="1:14" ht="14.4" customHeight="1" x14ac:dyDescent="0.3">
      <c r="A427" s="631" t="s">
        <v>534</v>
      </c>
      <c r="B427" s="632" t="s">
        <v>536</v>
      </c>
      <c r="C427" s="633" t="s">
        <v>556</v>
      </c>
      <c r="D427" s="634" t="s">
        <v>557</v>
      </c>
      <c r="E427" s="633" t="s">
        <v>537</v>
      </c>
      <c r="F427" s="634" t="s">
        <v>538</v>
      </c>
      <c r="G427" s="633" t="s">
        <v>562</v>
      </c>
      <c r="H427" s="633" t="s">
        <v>924</v>
      </c>
      <c r="I427" s="633" t="s">
        <v>925</v>
      </c>
      <c r="J427" s="633" t="s">
        <v>926</v>
      </c>
      <c r="K427" s="633" t="s">
        <v>927</v>
      </c>
      <c r="L427" s="635">
        <v>21.897936511339882</v>
      </c>
      <c r="M427" s="635">
        <v>65</v>
      </c>
      <c r="N427" s="636">
        <v>1423.3658732370923</v>
      </c>
    </row>
    <row r="428" spans="1:14" ht="14.4" customHeight="1" x14ac:dyDescent="0.3">
      <c r="A428" s="631" t="s">
        <v>534</v>
      </c>
      <c r="B428" s="632" t="s">
        <v>536</v>
      </c>
      <c r="C428" s="633" t="s">
        <v>556</v>
      </c>
      <c r="D428" s="634" t="s">
        <v>557</v>
      </c>
      <c r="E428" s="633" t="s">
        <v>537</v>
      </c>
      <c r="F428" s="634" t="s">
        <v>538</v>
      </c>
      <c r="G428" s="633" t="s">
        <v>562</v>
      </c>
      <c r="H428" s="633" t="s">
        <v>941</v>
      </c>
      <c r="I428" s="633" t="s">
        <v>942</v>
      </c>
      <c r="J428" s="633" t="s">
        <v>586</v>
      </c>
      <c r="K428" s="633" t="s">
        <v>943</v>
      </c>
      <c r="L428" s="635">
        <v>49.520011571892383</v>
      </c>
      <c r="M428" s="635">
        <v>20</v>
      </c>
      <c r="N428" s="636">
        <v>990.40023143784765</v>
      </c>
    </row>
    <row r="429" spans="1:14" ht="14.4" customHeight="1" x14ac:dyDescent="0.3">
      <c r="A429" s="631" t="s">
        <v>534</v>
      </c>
      <c r="B429" s="632" t="s">
        <v>536</v>
      </c>
      <c r="C429" s="633" t="s">
        <v>556</v>
      </c>
      <c r="D429" s="634" t="s">
        <v>557</v>
      </c>
      <c r="E429" s="633" t="s">
        <v>537</v>
      </c>
      <c r="F429" s="634" t="s">
        <v>538</v>
      </c>
      <c r="G429" s="633" t="s">
        <v>562</v>
      </c>
      <c r="H429" s="633" t="s">
        <v>1685</v>
      </c>
      <c r="I429" s="633" t="s">
        <v>1686</v>
      </c>
      <c r="J429" s="633" t="s">
        <v>1687</v>
      </c>
      <c r="K429" s="633" t="s">
        <v>1688</v>
      </c>
      <c r="L429" s="635">
        <v>307.56</v>
      </c>
      <c r="M429" s="635">
        <v>1</v>
      </c>
      <c r="N429" s="636">
        <v>307.56</v>
      </c>
    </row>
    <row r="430" spans="1:14" ht="14.4" customHeight="1" x14ac:dyDescent="0.3">
      <c r="A430" s="631" t="s">
        <v>534</v>
      </c>
      <c r="B430" s="632" t="s">
        <v>536</v>
      </c>
      <c r="C430" s="633" t="s">
        <v>556</v>
      </c>
      <c r="D430" s="634" t="s">
        <v>557</v>
      </c>
      <c r="E430" s="633" t="s">
        <v>537</v>
      </c>
      <c r="F430" s="634" t="s">
        <v>538</v>
      </c>
      <c r="G430" s="633" t="s">
        <v>562</v>
      </c>
      <c r="H430" s="633" t="s">
        <v>951</v>
      </c>
      <c r="I430" s="633" t="s">
        <v>952</v>
      </c>
      <c r="J430" s="633" t="s">
        <v>953</v>
      </c>
      <c r="K430" s="633" t="s">
        <v>954</v>
      </c>
      <c r="L430" s="635">
        <v>69.720854764650383</v>
      </c>
      <c r="M430" s="635">
        <v>4</v>
      </c>
      <c r="N430" s="636">
        <v>278.88341905860153</v>
      </c>
    </row>
    <row r="431" spans="1:14" ht="14.4" customHeight="1" x14ac:dyDescent="0.3">
      <c r="A431" s="631" t="s">
        <v>534</v>
      </c>
      <c r="B431" s="632" t="s">
        <v>536</v>
      </c>
      <c r="C431" s="633" t="s">
        <v>556</v>
      </c>
      <c r="D431" s="634" t="s">
        <v>557</v>
      </c>
      <c r="E431" s="633" t="s">
        <v>537</v>
      </c>
      <c r="F431" s="634" t="s">
        <v>538</v>
      </c>
      <c r="G431" s="633" t="s">
        <v>562</v>
      </c>
      <c r="H431" s="633" t="s">
        <v>1384</v>
      </c>
      <c r="I431" s="633" t="s">
        <v>1385</v>
      </c>
      <c r="J431" s="633" t="s">
        <v>1386</v>
      </c>
      <c r="K431" s="633" t="s">
        <v>1387</v>
      </c>
      <c r="L431" s="635">
        <v>31.919999999999998</v>
      </c>
      <c r="M431" s="635">
        <v>40</v>
      </c>
      <c r="N431" s="636">
        <v>1276.8</v>
      </c>
    </row>
    <row r="432" spans="1:14" ht="14.4" customHeight="1" x14ac:dyDescent="0.3">
      <c r="A432" s="631" t="s">
        <v>534</v>
      </c>
      <c r="B432" s="632" t="s">
        <v>536</v>
      </c>
      <c r="C432" s="633" t="s">
        <v>556</v>
      </c>
      <c r="D432" s="634" t="s">
        <v>557</v>
      </c>
      <c r="E432" s="633" t="s">
        <v>537</v>
      </c>
      <c r="F432" s="634" t="s">
        <v>538</v>
      </c>
      <c r="G432" s="633" t="s">
        <v>562</v>
      </c>
      <c r="H432" s="633" t="s">
        <v>1689</v>
      </c>
      <c r="I432" s="633" t="s">
        <v>1689</v>
      </c>
      <c r="J432" s="633" t="s">
        <v>1690</v>
      </c>
      <c r="K432" s="633" t="s">
        <v>665</v>
      </c>
      <c r="L432" s="635">
        <v>56.55</v>
      </c>
      <c r="M432" s="635">
        <v>2</v>
      </c>
      <c r="N432" s="636">
        <v>113.1</v>
      </c>
    </row>
    <row r="433" spans="1:14" ht="14.4" customHeight="1" x14ac:dyDescent="0.3">
      <c r="A433" s="631" t="s">
        <v>534</v>
      </c>
      <c r="B433" s="632" t="s">
        <v>536</v>
      </c>
      <c r="C433" s="633" t="s">
        <v>556</v>
      </c>
      <c r="D433" s="634" t="s">
        <v>557</v>
      </c>
      <c r="E433" s="633" t="s">
        <v>537</v>
      </c>
      <c r="F433" s="634" t="s">
        <v>538</v>
      </c>
      <c r="G433" s="633" t="s">
        <v>562</v>
      </c>
      <c r="H433" s="633" t="s">
        <v>1691</v>
      </c>
      <c r="I433" s="633" t="s">
        <v>1692</v>
      </c>
      <c r="J433" s="633" t="s">
        <v>1693</v>
      </c>
      <c r="K433" s="633" t="s">
        <v>1694</v>
      </c>
      <c r="L433" s="635">
        <v>1104.5146172653194</v>
      </c>
      <c r="M433" s="635">
        <v>5</v>
      </c>
      <c r="N433" s="636">
        <v>5522.5730863265971</v>
      </c>
    </row>
    <row r="434" spans="1:14" ht="14.4" customHeight="1" x14ac:dyDescent="0.3">
      <c r="A434" s="631" t="s">
        <v>534</v>
      </c>
      <c r="B434" s="632" t="s">
        <v>536</v>
      </c>
      <c r="C434" s="633" t="s">
        <v>556</v>
      </c>
      <c r="D434" s="634" t="s">
        <v>557</v>
      </c>
      <c r="E434" s="633" t="s">
        <v>537</v>
      </c>
      <c r="F434" s="634" t="s">
        <v>538</v>
      </c>
      <c r="G434" s="633" t="s">
        <v>562</v>
      </c>
      <c r="H434" s="633" t="s">
        <v>1407</v>
      </c>
      <c r="I434" s="633" t="s">
        <v>1408</v>
      </c>
      <c r="J434" s="633" t="s">
        <v>1409</v>
      </c>
      <c r="K434" s="633" t="s">
        <v>897</v>
      </c>
      <c r="L434" s="635">
        <v>52.409792383835907</v>
      </c>
      <c r="M434" s="635">
        <v>2</v>
      </c>
      <c r="N434" s="636">
        <v>104.81958476767181</v>
      </c>
    </row>
    <row r="435" spans="1:14" ht="14.4" customHeight="1" x14ac:dyDescent="0.3">
      <c r="A435" s="631" t="s">
        <v>534</v>
      </c>
      <c r="B435" s="632" t="s">
        <v>536</v>
      </c>
      <c r="C435" s="633" t="s">
        <v>556</v>
      </c>
      <c r="D435" s="634" t="s">
        <v>557</v>
      </c>
      <c r="E435" s="633" t="s">
        <v>537</v>
      </c>
      <c r="F435" s="634" t="s">
        <v>538</v>
      </c>
      <c r="G435" s="633" t="s">
        <v>562</v>
      </c>
      <c r="H435" s="633" t="s">
        <v>1410</v>
      </c>
      <c r="I435" s="633" t="s">
        <v>1411</v>
      </c>
      <c r="J435" s="633" t="s">
        <v>1412</v>
      </c>
      <c r="K435" s="633" t="s">
        <v>1413</v>
      </c>
      <c r="L435" s="635">
        <v>269.61974736842103</v>
      </c>
      <c r="M435" s="635">
        <v>95</v>
      </c>
      <c r="N435" s="636">
        <v>25613.875999999997</v>
      </c>
    </row>
    <row r="436" spans="1:14" ht="14.4" customHeight="1" x14ac:dyDescent="0.3">
      <c r="A436" s="631" t="s">
        <v>534</v>
      </c>
      <c r="B436" s="632" t="s">
        <v>536</v>
      </c>
      <c r="C436" s="633" t="s">
        <v>556</v>
      </c>
      <c r="D436" s="634" t="s">
        <v>557</v>
      </c>
      <c r="E436" s="633" t="s">
        <v>537</v>
      </c>
      <c r="F436" s="634" t="s">
        <v>538</v>
      </c>
      <c r="G436" s="633" t="s">
        <v>562</v>
      </c>
      <c r="H436" s="633" t="s">
        <v>1695</v>
      </c>
      <c r="I436" s="633" t="s">
        <v>1696</v>
      </c>
      <c r="J436" s="633" t="s">
        <v>1697</v>
      </c>
      <c r="K436" s="633" t="s">
        <v>1698</v>
      </c>
      <c r="L436" s="635">
        <v>61.610436175630227</v>
      </c>
      <c r="M436" s="635">
        <v>40</v>
      </c>
      <c r="N436" s="636">
        <v>2464.4174470252092</v>
      </c>
    </row>
    <row r="437" spans="1:14" ht="14.4" customHeight="1" x14ac:dyDescent="0.3">
      <c r="A437" s="631" t="s">
        <v>534</v>
      </c>
      <c r="B437" s="632" t="s">
        <v>536</v>
      </c>
      <c r="C437" s="633" t="s">
        <v>556</v>
      </c>
      <c r="D437" s="634" t="s">
        <v>557</v>
      </c>
      <c r="E437" s="633" t="s">
        <v>537</v>
      </c>
      <c r="F437" s="634" t="s">
        <v>538</v>
      </c>
      <c r="G437" s="633" t="s">
        <v>562</v>
      </c>
      <c r="H437" s="633" t="s">
        <v>1699</v>
      </c>
      <c r="I437" s="633" t="s">
        <v>246</v>
      </c>
      <c r="J437" s="633" t="s">
        <v>1700</v>
      </c>
      <c r="K437" s="633"/>
      <c r="L437" s="635">
        <v>237.51789376092401</v>
      </c>
      <c r="M437" s="635">
        <v>1</v>
      </c>
      <c r="N437" s="636">
        <v>237.51789376092401</v>
      </c>
    </row>
    <row r="438" spans="1:14" ht="14.4" customHeight="1" x14ac:dyDescent="0.3">
      <c r="A438" s="631" t="s">
        <v>534</v>
      </c>
      <c r="B438" s="632" t="s">
        <v>536</v>
      </c>
      <c r="C438" s="633" t="s">
        <v>556</v>
      </c>
      <c r="D438" s="634" t="s">
        <v>557</v>
      </c>
      <c r="E438" s="633" t="s">
        <v>537</v>
      </c>
      <c r="F438" s="634" t="s">
        <v>538</v>
      </c>
      <c r="G438" s="633" t="s">
        <v>562</v>
      </c>
      <c r="H438" s="633" t="s">
        <v>1701</v>
      </c>
      <c r="I438" s="633" t="s">
        <v>246</v>
      </c>
      <c r="J438" s="633" t="s">
        <v>1702</v>
      </c>
      <c r="K438" s="633"/>
      <c r="L438" s="635">
        <v>194.24956869508827</v>
      </c>
      <c r="M438" s="635">
        <v>4</v>
      </c>
      <c r="N438" s="636">
        <v>776.99827478035309</v>
      </c>
    </row>
    <row r="439" spans="1:14" ht="14.4" customHeight="1" x14ac:dyDescent="0.3">
      <c r="A439" s="631" t="s">
        <v>534</v>
      </c>
      <c r="B439" s="632" t="s">
        <v>536</v>
      </c>
      <c r="C439" s="633" t="s">
        <v>556</v>
      </c>
      <c r="D439" s="634" t="s">
        <v>557</v>
      </c>
      <c r="E439" s="633" t="s">
        <v>537</v>
      </c>
      <c r="F439" s="634" t="s">
        <v>538</v>
      </c>
      <c r="G439" s="633" t="s">
        <v>562</v>
      </c>
      <c r="H439" s="633" t="s">
        <v>1422</v>
      </c>
      <c r="I439" s="633" t="s">
        <v>246</v>
      </c>
      <c r="J439" s="633" t="s">
        <v>1423</v>
      </c>
      <c r="K439" s="633" t="s">
        <v>977</v>
      </c>
      <c r="L439" s="635">
        <v>23.7</v>
      </c>
      <c r="M439" s="635">
        <v>180</v>
      </c>
      <c r="N439" s="636">
        <v>4266</v>
      </c>
    </row>
    <row r="440" spans="1:14" ht="14.4" customHeight="1" x14ac:dyDescent="0.3">
      <c r="A440" s="631" t="s">
        <v>534</v>
      </c>
      <c r="B440" s="632" t="s">
        <v>536</v>
      </c>
      <c r="C440" s="633" t="s">
        <v>556</v>
      </c>
      <c r="D440" s="634" t="s">
        <v>557</v>
      </c>
      <c r="E440" s="633" t="s">
        <v>537</v>
      </c>
      <c r="F440" s="634" t="s">
        <v>538</v>
      </c>
      <c r="G440" s="633" t="s">
        <v>562</v>
      </c>
      <c r="H440" s="633" t="s">
        <v>975</v>
      </c>
      <c r="I440" s="633" t="s">
        <v>246</v>
      </c>
      <c r="J440" s="633" t="s">
        <v>976</v>
      </c>
      <c r="K440" s="633" t="s">
        <v>977</v>
      </c>
      <c r="L440" s="635">
        <v>24.037194261613504</v>
      </c>
      <c r="M440" s="635">
        <v>60</v>
      </c>
      <c r="N440" s="636">
        <v>1442.2316556968103</v>
      </c>
    </row>
    <row r="441" spans="1:14" ht="14.4" customHeight="1" x14ac:dyDescent="0.3">
      <c r="A441" s="631" t="s">
        <v>534</v>
      </c>
      <c r="B441" s="632" t="s">
        <v>536</v>
      </c>
      <c r="C441" s="633" t="s">
        <v>556</v>
      </c>
      <c r="D441" s="634" t="s">
        <v>557</v>
      </c>
      <c r="E441" s="633" t="s">
        <v>537</v>
      </c>
      <c r="F441" s="634" t="s">
        <v>538</v>
      </c>
      <c r="G441" s="633" t="s">
        <v>562</v>
      </c>
      <c r="H441" s="633" t="s">
        <v>1703</v>
      </c>
      <c r="I441" s="633" t="s">
        <v>246</v>
      </c>
      <c r="J441" s="633" t="s">
        <v>1704</v>
      </c>
      <c r="K441" s="633"/>
      <c r="L441" s="635">
        <v>123.15</v>
      </c>
      <c r="M441" s="635">
        <v>1</v>
      </c>
      <c r="N441" s="636">
        <v>123.15</v>
      </c>
    </row>
    <row r="442" spans="1:14" ht="14.4" customHeight="1" x14ac:dyDescent="0.3">
      <c r="A442" s="631" t="s">
        <v>534</v>
      </c>
      <c r="B442" s="632" t="s">
        <v>536</v>
      </c>
      <c r="C442" s="633" t="s">
        <v>556</v>
      </c>
      <c r="D442" s="634" t="s">
        <v>557</v>
      </c>
      <c r="E442" s="633" t="s">
        <v>537</v>
      </c>
      <c r="F442" s="634" t="s">
        <v>538</v>
      </c>
      <c r="G442" s="633" t="s">
        <v>562</v>
      </c>
      <c r="H442" s="633" t="s">
        <v>1705</v>
      </c>
      <c r="I442" s="633" t="s">
        <v>246</v>
      </c>
      <c r="J442" s="633" t="s">
        <v>1706</v>
      </c>
      <c r="K442" s="633"/>
      <c r="L442" s="635">
        <v>59.740000000000009</v>
      </c>
      <c r="M442" s="635">
        <v>5</v>
      </c>
      <c r="N442" s="636">
        <v>298.70000000000005</v>
      </c>
    </row>
    <row r="443" spans="1:14" ht="14.4" customHeight="1" x14ac:dyDescent="0.3">
      <c r="A443" s="631" t="s">
        <v>534</v>
      </c>
      <c r="B443" s="632" t="s">
        <v>536</v>
      </c>
      <c r="C443" s="633" t="s">
        <v>556</v>
      </c>
      <c r="D443" s="634" t="s">
        <v>557</v>
      </c>
      <c r="E443" s="633" t="s">
        <v>537</v>
      </c>
      <c r="F443" s="634" t="s">
        <v>538</v>
      </c>
      <c r="G443" s="633" t="s">
        <v>562</v>
      </c>
      <c r="H443" s="633" t="s">
        <v>1707</v>
      </c>
      <c r="I443" s="633" t="s">
        <v>1708</v>
      </c>
      <c r="J443" s="633" t="s">
        <v>1354</v>
      </c>
      <c r="K443" s="633" t="s">
        <v>1709</v>
      </c>
      <c r="L443" s="635">
        <v>326.32</v>
      </c>
      <c r="M443" s="635">
        <v>1</v>
      </c>
      <c r="N443" s="636">
        <v>326.32</v>
      </c>
    </row>
    <row r="444" spans="1:14" ht="14.4" customHeight="1" x14ac:dyDescent="0.3">
      <c r="A444" s="631" t="s">
        <v>534</v>
      </c>
      <c r="B444" s="632" t="s">
        <v>536</v>
      </c>
      <c r="C444" s="633" t="s">
        <v>556</v>
      </c>
      <c r="D444" s="634" t="s">
        <v>557</v>
      </c>
      <c r="E444" s="633" t="s">
        <v>537</v>
      </c>
      <c r="F444" s="634" t="s">
        <v>538</v>
      </c>
      <c r="G444" s="633" t="s">
        <v>562</v>
      </c>
      <c r="H444" s="633" t="s">
        <v>1710</v>
      </c>
      <c r="I444" s="633" t="s">
        <v>1711</v>
      </c>
      <c r="J444" s="633" t="s">
        <v>1325</v>
      </c>
      <c r="K444" s="633" t="s">
        <v>1712</v>
      </c>
      <c r="L444" s="635">
        <v>456.2643086205286</v>
      </c>
      <c r="M444" s="635">
        <v>7</v>
      </c>
      <c r="N444" s="636">
        <v>3193.8501603437003</v>
      </c>
    </row>
    <row r="445" spans="1:14" ht="14.4" customHeight="1" x14ac:dyDescent="0.3">
      <c r="A445" s="631" t="s">
        <v>534</v>
      </c>
      <c r="B445" s="632" t="s">
        <v>536</v>
      </c>
      <c r="C445" s="633" t="s">
        <v>556</v>
      </c>
      <c r="D445" s="634" t="s">
        <v>557</v>
      </c>
      <c r="E445" s="633" t="s">
        <v>537</v>
      </c>
      <c r="F445" s="634" t="s">
        <v>538</v>
      </c>
      <c r="G445" s="633" t="s">
        <v>562</v>
      </c>
      <c r="H445" s="633" t="s">
        <v>1442</v>
      </c>
      <c r="I445" s="633" t="s">
        <v>1443</v>
      </c>
      <c r="J445" s="633" t="s">
        <v>754</v>
      </c>
      <c r="K445" s="633" t="s">
        <v>1444</v>
      </c>
      <c r="L445" s="635">
        <v>134.15946374460233</v>
      </c>
      <c r="M445" s="635">
        <v>2</v>
      </c>
      <c r="N445" s="636">
        <v>268.31892748920467</v>
      </c>
    </row>
    <row r="446" spans="1:14" ht="14.4" customHeight="1" x14ac:dyDescent="0.3">
      <c r="A446" s="631" t="s">
        <v>534</v>
      </c>
      <c r="B446" s="632" t="s">
        <v>536</v>
      </c>
      <c r="C446" s="633" t="s">
        <v>556</v>
      </c>
      <c r="D446" s="634" t="s">
        <v>557</v>
      </c>
      <c r="E446" s="633" t="s">
        <v>537</v>
      </c>
      <c r="F446" s="634" t="s">
        <v>538</v>
      </c>
      <c r="G446" s="633" t="s">
        <v>562</v>
      </c>
      <c r="H446" s="633" t="s">
        <v>1713</v>
      </c>
      <c r="I446" s="633" t="s">
        <v>1714</v>
      </c>
      <c r="J446" s="633" t="s">
        <v>1715</v>
      </c>
      <c r="K446" s="633" t="s">
        <v>650</v>
      </c>
      <c r="L446" s="635">
        <v>210.45000000000002</v>
      </c>
      <c r="M446" s="635">
        <v>23</v>
      </c>
      <c r="N446" s="636">
        <v>4840.3500000000004</v>
      </c>
    </row>
    <row r="447" spans="1:14" ht="14.4" customHeight="1" x14ac:dyDescent="0.3">
      <c r="A447" s="631" t="s">
        <v>534</v>
      </c>
      <c r="B447" s="632" t="s">
        <v>536</v>
      </c>
      <c r="C447" s="633" t="s">
        <v>556</v>
      </c>
      <c r="D447" s="634" t="s">
        <v>557</v>
      </c>
      <c r="E447" s="633" t="s">
        <v>537</v>
      </c>
      <c r="F447" s="634" t="s">
        <v>538</v>
      </c>
      <c r="G447" s="633" t="s">
        <v>562</v>
      </c>
      <c r="H447" s="633" t="s">
        <v>1716</v>
      </c>
      <c r="I447" s="633" t="s">
        <v>1717</v>
      </c>
      <c r="J447" s="633" t="s">
        <v>1718</v>
      </c>
      <c r="K447" s="633" t="s">
        <v>1719</v>
      </c>
      <c r="L447" s="635">
        <v>8505.92</v>
      </c>
      <c r="M447" s="635">
        <v>3</v>
      </c>
      <c r="N447" s="636">
        <v>25517.760000000002</v>
      </c>
    </row>
    <row r="448" spans="1:14" ht="14.4" customHeight="1" x14ac:dyDescent="0.3">
      <c r="A448" s="631" t="s">
        <v>534</v>
      </c>
      <c r="B448" s="632" t="s">
        <v>536</v>
      </c>
      <c r="C448" s="633" t="s">
        <v>556</v>
      </c>
      <c r="D448" s="634" t="s">
        <v>557</v>
      </c>
      <c r="E448" s="633" t="s">
        <v>537</v>
      </c>
      <c r="F448" s="634" t="s">
        <v>538</v>
      </c>
      <c r="G448" s="633" t="s">
        <v>562</v>
      </c>
      <c r="H448" s="633" t="s">
        <v>1720</v>
      </c>
      <c r="I448" s="633" t="s">
        <v>1721</v>
      </c>
      <c r="J448" s="633" t="s">
        <v>1718</v>
      </c>
      <c r="K448" s="633" t="s">
        <v>1722</v>
      </c>
      <c r="L448" s="635">
        <v>1506.41</v>
      </c>
      <c r="M448" s="635">
        <v>5</v>
      </c>
      <c r="N448" s="636">
        <v>7532.05</v>
      </c>
    </row>
    <row r="449" spans="1:14" ht="14.4" customHeight="1" x14ac:dyDescent="0.3">
      <c r="A449" s="631" t="s">
        <v>534</v>
      </c>
      <c r="B449" s="632" t="s">
        <v>536</v>
      </c>
      <c r="C449" s="633" t="s">
        <v>556</v>
      </c>
      <c r="D449" s="634" t="s">
        <v>557</v>
      </c>
      <c r="E449" s="633" t="s">
        <v>537</v>
      </c>
      <c r="F449" s="634" t="s">
        <v>538</v>
      </c>
      <c r="G449" s="633" t="s">
        <v>562</v>
      </c>
      <c r="H449" s="633" t="s">
        <v>1723</v>
      </c>
      <c r="I449" s="633" t="s">
        <v>1724</v>
      </c>
      <c r="J449" s="633" t="s">
        <v>1725</v>
      </c>
      <c r="K449" s="633" t="s">
        <v>1726</v>
      </c>
      <c r="L449" s="635">
        <v>36.506666666666668</v>
      </c>
      <c r="M449" s="635">
        <v>60</v>
      </c>
      <c r="N449" s="636">
        <v>2190.4</v>
      </c>
    </row>
    <row r="450" spans="1:14" ht="14.4" customHeight="1" x14ac:dyDescent="0.3">
      <c r="A450" s="631" t="s">
        <v>534</v>
      </c>
      <c r="B450" s="632" t="s">
        <v>536</v>
      </c>
      <c r="C450" s="633" t="s">
        <v>556</v>
      </c>
      <c r="D450" s="634" t="s">
        <v>557</v>
      </c>
      <c r="E450" s="633" t="s">
        <v>537</v>
      </c>
      <c r="F450" s="634" t="s">
        <v>538</v>
      </c>
      <c r="G450" s="633" t="s">
        <v>562</v>
      </c>
      <c r="H450" s="633" t="s">
        <v>1727</v>
      </c>
      <c r="I450" s="633" t="s">
        <v>1728</v>
      </c>
      <c r="J450" s="633" t="s">
        <v>1729</v>
      </c>
      <c r="K450" s="633" t="s">
        <v>1463</v>
      </c>
      <c r="L450" s="635">
        <v>2967</v>
      </c>
      <c r="M450" s="635">
        <v>4</v>
      </c>
      <c r="N450" s="636">
        <v>11868</v>
      </c>
    </row>
    <row r="451" spans="1:14" ht="14.4" customHeight="1" x14ac:dyDescent="0.3">
      <c r="A451" s="631" t="s">
        <v>534</v>
      </c>
      <c r="B451" s="632" t="s">
        <v>536</v>
      </c>
      <c r="C451" s="633" t="s">
        <v>556</v>
      </c>
      <c r="D451" s="634" t="s">
        <v>557</v>
      </c>
      <c r="E451" s="633" t="s">
        <v>537</v>
      </c>
      <c r="F451" s="634" t="s">
        <v>538</v>
      </c>
      <c r="G451" s="633" t="s">
        <v>562</v>
      </c>
      <c r="H451" s="633" t="s">
        <v>1487</v>
      </c>
      <c r="I451" s="633" t="s">
        <v>1488</v>
      </c>
      <c r="J451" s="633" t="s">
        <v>1489</v>
      </c>
      <c r="K451" s="633" t="s">
        <v>1490</v>
      </c>
      <c r="L451" s="635">
        <v>75.933809523809515</v>
      </c>
      <c r="M451" s="635">
        <v>21</v>
      </c>
      <c r="N451" s="636">
        <v>1594.6099999999997</v>
      </c>
    </row>
    <row r="452" spans="1:14" ht="14.4" customHeight="1" x14ac:dyDescent="0.3">
      <c r="A452" s="631" t="s">
        <v>534</v>
      </c>
      <c r="B452" s="632" t="s">
        <v>536</v>
      </c>
      <c r="C452" s="633" t="s">
        <v>556</v>
      </c>
      <c r="D452" s="634" t="s">
        <v>557</v>
      </c>
      <c r="E452" s="633" t="s">
        <v>537</v>
      </c>
      <c r="F452" s="634" t="s">
        <v>538</v>
      </c>
      <c r="G452" s="633" t="s">
        <v>562</v>
      </c>
      <c r="H452" s="633" t="s">
        <v>1730</v>
      </c>
      <c r="I452" s="633" t="s">
        <v>1731</v>
      </c>
      <c r="J452" s="633" t="s">
        <v>1732</v>
      </c>
      <c r="K452" s="633"/>
      <c r="L452" s="635">
        <v>667.63985311080307</v>
      </c>
      <c r="M452" s="635">
        <v>27</v>
      </c>
      <c r="N452" s="636">
        <v>18026.276033991682</v>
      </c>
    </row>
    <row r="453" spans="1:14" ht="14.4" customHeight="1" x14ac:dyDescent="0.3">
      <c r="A453" s="631" t="s">
        <v>534</v>
      </c>
      <c r="B453" s="632" t="s">
        <v>536</v>
      </c>
      <c r="C453" s="633" t="s">
        <v>556</v>
      </c>
      <c r="D453" s="634" t="s">
        <v>557</v>
      </c>
      <c r="E453" s="633" t="s">
        <v>537</v>
      </c>
      <c r="F453" s="634" t="s">
        <v>538</v>
      </c>
      <c r="G453" s="633" t="s">
        <v>562</v>
      </c>
      <c r="H453" s="633" t="s">
        <v>1733</v>
      </c>
      <c r="I453" s="633" t="s">
        <v>246</v>
      </c>
      <c r="J453" s="633" t="s">
        <v>1734</v>
      </c>
      <c r="K453" s="633"/>
      <c r="L453" s="635">
        <v>399.33333333333303</v>
      </c>
      <c r="M453" s="635">
        <v>7</v>
      </c>
      <c r="N453" s="636">
        <v>2795.3333333333312</v>
      </c>
    </row>
    <row r="454" spans="1:14" ht="14.4" customHeight="1" x14ac:dyDescent="0.3">
      <c r="A454" s="631" t="s">
        <v>534</v>
      </c>
      <c r="B454" s="632" t="s">
        <v>536</v>
      </c>
      <c r="C454" s="633" t="s">
        <v>556</v>
      </c>
      <c r="D454" s="634" t="s">
        <v>557</v>
      </c>
      <c r="E454" s="633" t="s">
        <v>537</v>
      </c>
      <c r="F454" s="634" t="s">
        <v>538</v>
      </c>
      <c r="G454" s="633" t="s">
        <v>562</v>
      </c>
      <c r="H454" s="633" t="s">
        <v>1735</v>
      </c>
      <c r="I454" s="633" t="s">
        <v>246</v>
      </c>
      <c r="J454" s="633" t="s">
        <v>1736</v>
      </c>
      <c r="K454" s="633"/>
      <c r="L454" s="635">
        <v>62.662185516532261</v>
      </c>
      <c r="M454" s="635">
        <v>22</v>
      </c>
      <c r="N454" s="636">
        <v>1378.5680813637098</v>
      </c>
    </row>
    <row r="455" spans="1:14" ht="14.4" customHeight="1" x14ac:dyDescent="0.3">
      <c r="A455" s="631" t="s">
        <v>534</v>
      </c>
      <c r="B455" s="632" t="s">
        <v>536</v>
      </c>
      <c r="C455" s="633" t="s">
        <v>556</v>
      </c>
      <c r="D455" s="634" t="s">
        <v>557</v>
      </c>
      <c r="E455" s="633" t="s">
        <v>537</v>
      </c>
      <c r="F455" s="634" t="s">
        <v>538</v>
      </c>
      <c r="G455" s="633" t="s">
        <v>562</v>
      </c>
      <c r="H455" s="633" t="s">
        <v>1737</v>
      </c>
      <c r="I455" s="633" t="s">
        <v>1738</v>
      </c>
      <c r="J455" s="633" t="s">
        <v>1739</v>
      </c>
      <c r="K455" s="633" t="s">
        <v>1740</v>
      </c>
      <c r="L455" s="635">
        <v>165.08220833333331</v>
      </c>
      <c r="M455" s="635">
        <v>240</v>
      </c>
      <c r="N455" s="636">
        <v>39619.729999999996</v>
      </c>
    </row>
    <row r="456" spans="1:14" ht="14.4" customHeight="1" x14ac:dyDescent="0.3">
      <c r="A456" s="631" t="s">
        <v>534</v>
      </c>
      <c r="B456" s="632" t="s">
        <v>536</v>
      </c>
      <c r="C456" s="633" t="s">
        <v>556</v>
      </c>
      <c r="D456" s="634" t="s">
        <v>557</v>
      </c>
      <c r="E456" s="633" t="s">
        <v>537</v>
      </c>
      <c r="F456" s="634" t="s">
        <v>538</v>
      </c>
      <c r="G456" s="633" t="s">
        <v>562</v>
      </c>
      <c r="H456" s="633" t="s">
        <v>1741</v>
      </c>
      <c r="I456" s="633" t="s">
        <v>246</v>
      </c>
      <c r="J456" s="633" t="s">
        <v>1742</v>
      </c>
      <c r="K456" s="633" t="s">
        <v>1743</v>
      </c>
      <c r="L456" s="635">
        <v>7750.08</v>
      </c>
      <c r="M456" s="635">
        <v>1</v>
      </c>
      <c r="N456" s="636">
        <v>7750.08</v>
      </c>
    </row>
    <row r="457" spans="1:14" ht="14.4" customHeight="1" x14ac:dyDescent="0.3">
      <c r="A457" s="631" t="s">
        <v>534</v>
      </c>
      <c r="B457" s="632" t="s">
        <v>536</v>
      </c>
      <c r="C457" s="633" t="s">
        <v>556</v>
      </c>
      <c r="D457" s="634" t="s">
        <v>557</v>
      </c>
      <c r="E457" s="633" t="s">
        <v>537</v>
      </c>
      <c r="F457" s="634" t="s">
        <v>538</v>
      </c>
      <c r="G457" s="633" t="s">
        <v>562</v>
      </c>
      <c r="H457" s="633" t="s">
        <v>1032</v>
      </c>
      <c r="I457" s="633" t="s">
        <v>1032</v>
      </c>
      <c r="J457" s="633" t="s">
        <v>1033</v>
      </c>
      <c r="K457" s="633" t="s">
        <v>1034</v>
      </c>
      <c r="L457" s="635">
        <v>285.01679999999999</v>
      </c>
      <c r="M457" s="635">
        <v>5</v>
      </c>
      <c r="N457" s="636">
        <v>1425.0839999999998</v>
      </c>
    </row>
    <row r="458" spans="1:14" ht="14.4" customHeight="1" x14ac:dyDescent="0.3">
      <c r="A458" s="631" t="s">
        <v>534</v>
      </c>
      <c r="B458" s="632" t="s">
        <v>536</v>
      </c>
      <c r="C458" s="633" t="s">
        <v>556</v>
      </c>
      <c r="D458" s="634" t="s">
        <v>557</v>
      </c>
      <c r="E458" s="633" t="s">
        <v>537</v>
      </c>
      <c r="F458" s="634" t="s">
        <v>538</v>
      </c>
      <c r="G458" s="633" t="s">
        <v>562</v>
      </c>
      <c r="H458" s="633" t="s">
        <v>1744</v>
      </c>
      <c r="I458" s="633" t="s">
        <v>246</v>
      </c>
      <c r="J458" s="633" t="s">
        <v>1745</v>
      </c>
      <c r="K458" s="633"/>
      <c r="L458" s="635">
        <v>5166.72</v>
      </c>
      <c r="M458" s="635">
        <v>3</v>
      </c>
      <c r="N458" s="636">
        <v>15500.16</v>
      </c>
    </row>
    <row r="459" spans="1:14" ht="14.4" customHeight="1" x14ac:dyDescent="0.3">
      <c r="A459" s="631" t="s">
        <v>534</v>
      </c>
      <c r="B459" s="632" t="s">
        <v>536</v>
      </c>
      <c r="C459" s="633" t="s">
        <v>556</v>
      </c>
      <c r="D459" s="634" t="s">
        <v>557</v>
      </c>
      <c r="E459" s="633" t="s">
        <v>537</v>
      </c>
      <c r="F459" s="634" t="s">
        <v>538</v>
      </c>
      <c r="G459" s="633" t="s">
        <v>562</v>
      </c>
      <c r="H459" s="633" t="s">
        <v>1528</v>
      </c>
      <c r="I459" s="633" t="s">
        <v>1528</v>
      </c>
      <c r="J459" s="633" t="s">
        <v>594</v>
      </c>
      <c r="K459" s="633" t="s">
        <v>1529</v>
      </c>
      <c r="L459" s="635">
        <v>60.259999999999991</v>
      </c>
      <c r="M459" s="635">
        <v>2</v>
      </c>
      <c r="N459" s="636">
        <v>120.51999999999998</v>
      </c>
    </row>
    <row r="460" spans="1:14" ht="14.4" customHeight="1" x14ac:dyDescent="0.3">
      <c r="A460" s="631" t="s">
        <v>534</v>
      </c>
      <c r="B460" s="632" t="s">
        <v>536</v>
      </c>
      <c r="C460" s="633" t="s">
        <v>556</v>
      </c>
      <c r="D460" s="634" t="s">
        <v>557</v>
      </c>
      <c r="E460" s="633" t="s">
        <v>537</v>
      </c>
      <c r="F460" s="634" t="s">
        <v>538</v>
      </c>
      <c r="G460" s="633" t="s">
        <v>1039</v>
      </c>
      <c r="H460" s="633" t="s">
        <v>1068</v>
      </c>
      <c r="I460" s="633" t="s">
        <v>1069</v>
      </c>
      <c r="J460" s="633" t="s">
        <v>1070</v>
      </c>
      <c r="K460" s="633" t="s">
        <v>1071</v>
      </c>
      <c r="L460" s="635">
        <v>144.52998165408079</v>
      </c>
      <c r="M460" s="635">
        <v>8</v>
      </c>
      <c r="N460" s="636">
        <v>1156.2398532326463</v>
      </c>
    </row>
    <row r="461" spans="1:14" ht="14.4" customHeight="1" x14ac:dyDescent="0.3">
      <c r="A461" s="631" t="s">
        <v>534</v>
      </c>
      <c r="B461" s="632" t="s">
        <v>536</v>
      </c>
      <c r="C461" s="633" t="s">
        <v>556</v>
      </c>
      <c r="D461" s="634" t="s">
        <v>557</v>
      </c>
      <c r="E461" s="633" t="s">
        <v>537</v>
      </c>
      <c r="F461" s="634" t="s">
        <v>538</v>
      </c>
      <c r="G461" s="633" t="s">
        <v>1039</v>
      </c>
      <c r="H461" s="633" t="s">
        <v>1194</v>
      </c>
      <c r="I461" s="633" t="s">
        <v>1195</v>
      </c>
      <c r="J461" s="633" t="s">
        <v>1196</v>
      </c>
      <c r="K461" s="633" t="s">
        <v>1197</v>
      </c>
      <c r="L461" s="635">
        <v>266.35000000000002</v>
      </c>
      <c r="M461" s="635">
        <v>1</v>
      </c>
      <c r="N461" s="636">
        <v>266.35000000000002</v>
      </c>
    </row>
    <row r="462" spans="1:14" ht="14.4" customHeight="1" x14ac:dyDescent="0.3">
      <c r="A462" s="631" t="s">
        <v>534</v>
      </c>
      <c r="B462" s="632" t="s">
        <v>536</v>
      </c>
      <c r="C462" s="633" t="s">
        <v>556</v>
      </c>
      <c r="D462" s="634" t="s">
        <v>557</v>
      </c>
      <c r="E462" s="633" t="s">
        <v>537</v>
      </c>
      <c r="F462" s="634" t="s">
        <v>538</v>
      </c>
      <c r="G462" s="633" t="s">
        <v>1039</v>
      </c>
      <c r="H462" s="633" t="s">
        <v>1557</v>
      </c>
      <c r="I462" s="633" t="s">
        <v>1558</v>
      </c>
      <c r="J462" s="633" t="s">
        <v>1070</v>
      </c>
      <c r="K462" s="633" t="s">
        <v>1559</v>
      </c>
      <c r="L462" s="635">
        <v>147.43002220239458</v>
      </c>
      <c r="M462" s="635">
        <v>18</v>
      </c>
      <c r="N462" s="636">
        <v>2653.7403996431026</v>
      </c>
    </row>
    <row r="463" spans="1:14" ht="14.4" customHeight="1" x14ac:dyDescent="0.3">
      <c r="A463" s="631" t="s">
        <v>534</v>
      </c>
      <c r="B463" s="632" t="s">
        <v>536</v>
      </c>
      <c r="C463" s="633" t="s">
        <v>556</v>
      </c>
      <c r="D463" s="634" t="s">
        <v>557</v>
      </c>
      <c r="E463" s="633" t="s">
        <v>537</v>
      </c>
      <c r="F463" s="634" t="s">
        <v>538</v>
      </c>
      <c r="G463" s="633" t="s">
        <v>1039</v>
      </c>
      <c r="H463" s="633" t="s">
        <v>1560</v>
      </c>
      <c r="I463" s="633" t="s">
        <v>1561</v>
      </c>
      <c r="J463" s="633" t="s">
        <v>1048</v>
      </c>
      <c r="K463" s="633" t="s">
        <v>1562</v>
      </c>
      <c r="L463" s="635">
        <v>224.89</v>
      </c>
      <c r="M463" s="635">
        <v>2</v>
      </c>
      <c r="N463" s="636">
        <v>449.78</v>
      </c>
    </row>
    <row r="464" spans="1:14" ht="14.4" customHeight="1" x14ac:dyDescent="0.3">
      <c r="A464" s="631" t="s">
        <v>534</v>
      </c>
      <c r="B464" s="632" t="s">
        <v>536</v>
      </c>
      <c r="C464" s="633" t="s">
        <v>556</v>
      </c>
      <c r="D464" s="634" t="s">
        <v>557</v>
      </c>
      <c r="E464" s="633" t="s">
        <v>537</v>
      </c>
      <c r="F464" s="634" t="s">
        <v>538</v>
      </c>
      <c r="G464" s="633" t="s">
        <v>1039</v>
      </c>
      <c r="H464" s="633" t="s">
        <v>1746</v>
      </c>
      <c r="I464" s="633" t="s">
        <v>1747</v>
      </c>
      <c r="J464" s="633" t="s">
        <v>1748</v>
      </c>
      <c r="K464" s="633" t="s">
        <v>1749</v>
      </c>
      <c r="L464" s="635">
        <v>722.87916599585856</v>
      </c>
      <c r="M464" s="635">
        <v>26</v>
      </c>
      <c r="N464" s="636">
        <v>18794.858315892321</v>
      </c>
    </row>
    <row r="465" spans="1:14" ht="14.4" customHeight="1" thickBot="1" x14ac:dyDescent="0.35">
      <c r="A465" s="637" t="s">
        <v>534</v>
      </c>
      <c r="B465" s="638" t="s">
        <v>536</v>
      </c>
      <c r="C465" s="639" t="s">
        <v>556</v>
      </c>
      <c r="D465" s="640" t="s">
        <v>557</v>
      </c>
      <c r="E465" s="639" t="s">
        <v>537</v>
      </c>
      <c r="F465" s="640" t="s">
        <v>538</v>
      </c>
      <c r="G465" s="639" t="s">
        <v>1039</v>
      </c>
      <c r="H465" s="639" t="s">
        <v>1750</v>
      </c>
      <c r="I465" s="639" t="s">
        <v>1750</v>
      </c>
      <c r="J465" s="639" t="s">
        <v>1751</v>
      </c>
      <c r="K465" s="639" t="s">
        <v>1752</v>
      </c>
      <c r="L465" s="641">
        <v>2932.5</v>
      </c>
      <c r="M465" s="641">
        <v>3</v>
      </c>
      <c r="N465" s="642">
        <v>8797.5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>
    <tabColor theme="0" tint="-0.249977111117893"/>
    <pageSetUpPr fitToPage="1"/>
  </sheetPr>
  <dimension ref="A1:F60"/>
  <sheetViews>
    <sheetView showGridLines="0" showRowColHeaders="0" workbookViewId="0">
      <pane ySplit="4" topLeftCell="A5" activePane="bottomLeft" state="frozen"/>
      <selection activeCell="A6" sqref="A6"/>
      <selection pane="bottomLeft" sqref="A1:F1"/>
    </sheetView>
  </sheetViews>
  <sheetFormatPr defaultRowHeight="14.4" customHeight="1" x14ac:dyDescent="0.3"/>
  <cols>
    <col min="1" max="1" width="46.6640625" style="260" customWidth="1"/>
    <col min="2" max="2" width="10" style="343" customWidth="1"/>
    <col min="3" max="3" width="5.5546875" style="346" customWidth="1"/>
    <col min="4" max="4" width="10" style="343" customWidth="1"/>
    <col min="5" max="5" width="5.5546875" style="346" customWidth="1"/>
    <col min="6" max="6" width="10" style="343" customWidth="1"/>
    <col min="7" max="16384" width="8.88671875" style="260"/>
  </cols>
  <sheetData>
    <row r="1" spans="1:6" ht="37.200000000000003" customHeight="1" thickBot="1" x14ac:dyDescent="0.4">
      <c r="A1" s="493" t="s">
        <v>214</v>
      </c>
      <c r="B1" s="494"/>
      <c r="C1" s="494"/>
      <c r="D1" s="494"/>
      <c r="E1" s="494"/>
      <c r="F1" s="494"/>
    </row>
    <row r="2" spans="1:6" ht="14.4" customHeight="1" thickBot="1" x14ac:dyDescent="0.35">
      <c r="A2" s="389" t="s">
        <v>298</v>
      </c>
      <c r="B2" s="67"/>
      <c r="C2" s="68"/>
      <c r="D2" s="69"/>
      <c r="E2" s="68"/>
      <c r="F2" s="69"/>
    </row>
    <row r="3" spans="1:6" ht="14.4" customHeight="1" thickBot="1" x14ac:dyDescent="0.35">
      <c r="A3" s="215"/>
      <c r="B3" s="495" t="s">
        <v>165</v>
      </c>
      <c r="C3" s="496"/>
      <c r="D3" s="497" t="s">
        <v>164</v>
      </c>
      <c r="E3" s="496"/>
      <c r="F3" s="105" t="s">
        <v>6</v>
      </c>
    </row>
    <row r="4" spans="1:6" ht="14.4" customHeight="1" thickBot="1" x14ac:dyDescent="0.35">
      <c r="A4" s="643" t="s">
        <v>190</v>
      </c>
      <c r="B4" s="644" t="s">
        <v>17</v>
      </c>
      <c r="C4" s="645" t="s">
        <v>5</v>
      </c>
      <c r="D4" s="644" t="s">
        <v>17</v>
      </c>
      <c r="E4" s="645" t="s">
        <v>5</v>
      </c>
      <c r="F4" s="646" t="s">
        <v>17</v>
      </c>
    </row>
    <row r="5" spans="1:6" ht="14.4" customHeight="1" x14ac:dyDescent="0.3">
      <c r="A5" s="657" t="s">
        <v>1753</v>
      </c>
      <c r="B5" s="629">
        <v>10429.200000000001</v>
      </c>
      <c r="C5" s="647">
        <v>8.9438088723593864E-2</v>
      </c>
      <c r="D5" s="629">
        <v>106178.8374574101</v>
      </c>
      <c r="E5" s="647">
        <v>0.91056191127640618</v>
      </c>
      <c r="F5" s="630">
        <v>116608.0374574101</v>
      </c>
    </row>
    <row r="6" spans="1:6" ht="14.4" customHeight="1" x14ac:dyDescent="0.3">
      <c r="A6" s="658" t="s">
        <v>1754</v>
      </c>
      <c r="B6" s="635">
        <v>2085.8333333333335</v>
      </c>
      <c r="C6" s="648">
        <v>6.0981608082613339E-2</v>
      </c>
      <c r="D6" s="635">
        <v>32118.468568768065</v>
      </c>
      <c r="E6" s="648">
        <v>0.93901839191738667</v>
      </c>
      <c r="F6" s="636">
        <v>34204.301902101397</v>
      </c>
    </row>
    <row r="7" spans="1:6" ht="14.4" customHeight="1" x14ac:dyDescent="0.3">
      <c r="A7" s="658" t="s">
        <v>1755</v>
      </c>
      <c r="B7" s="635">
        <v>204.13</v>
      </c>
      <c r="C7" s="648">
        <v>2.1428521901403061E-3</v>
      </c>
      <c r="D7" s="635">
        <v>95056.75684009245</v>
      </c>
      <c r="E7" s="648">
        <v>0.99785714780985968</v>
      </c>
      <c r="F7" s="636">
        <v>95260.886840092455</v>
      </c>
    </row>
    <row r="8" spans="1:6" ht="14.4" customHeight="1" thickBot="1" x14ac:dyDescent="0.35">
      <c r="A8" s="659" t="s">
        <v>1756</v>
      </c>
      <c r="B8" s="650"/>
      <c r="C8" s="651">
        <v>0</v>
      </c>
      <c r="D8" s="650">
        <v>289.05999940531001</v>
      </c>
      <c r="E8" s="651">
        <v>1</v>
      </c>
      <c r="F8" s="652">
        <v>289.05999940531001</v>
      </c>
    </row>
    <row r="9" spans="1:6" ht="14.4" customHeight="1" thickBot="1" x14ac:dyDescent="0.35">
      <c r="A9" s="653" t="s">
        <v>6</v>
      </c>
      <c r="B9" s="654">
        <v>12719.163333333334</v>
      </c>
      <c r="C9" s="655">
        <v>5.1627883186060826E-2</v>
      </c>
      <c r="D9" s="654">
        <v>233643.12286567592</v>
      </c>
      <c r="E9" s="655">
        <v>0.94837211681393918</v>
      </c>
      <c r="F9" s="656">
        <v>246362.28619900925</v>
      </c>
    </row>
    <row r="10" spans="1:6" ht="14.4" customHeight="1" thickBot="1" x14ac:dyDescent="0.35"/>
    <row r="11" spans="1:6" ht="14.4" customHeight="1" x14ac:dyDescent="0.3">
      <c r="A11" s="657" t="s">
        <v>1757</v>
      </c>
      <c r="B11" s="629">
        <v>12515.033333333335</v>
      </c>
      <c r="C11" s="647">
        <v>0.39971499976886227</v>
      </c>
      <c r="D11" s="629">
        <v>18794.858315892321</v>
      </c>
      <c r="E11" s="647">
        <v>0.60028500023113784</v>
      </c>
      <c r="F11" s="630">
        <v>31309.891649225654</v>
      </c>
    </row>
    <row r="12" spans="1:6" ht="14.4" customHeight="1" x14ac:dyDescent="0.3">
      <c r="A12" s="658" t="s">
        <v>1758</v>
      </c>
      <c r="B12" s="635">
        <v>104.17</v>
      </c>
      <c r="C12" s="648">
        <v>0.57612963884740886</v>
      </c>
      <c r="D12" s="635">
        <v>76.64</v>
      </c>
      <c r="E12" s="648">
        <v>0.42387036115259114</v>
      </c>
      <c r="F12" s="636">
        <v>180.81</v>
      </c>
    </row>
    <row r="13" spans="1:6" ht="14.4" customHeight="1" x14ac:dyDescent="0.3">
      <c r="A13" s="658" t="s">
        <v>1759</v>
      </c>
      <c r="B13" s="635">
        <v>99.96</v>
      </c>
      <c r="C13" s="648">
        <v>0.32920563825582932</v>
      </c>
      <c r="D13" s="635">
        <v>203.67999999999992</v>
      </c>
      <c r="E13" s="648">
        <v>0.67079436174417062</v>
      </c>
      <c r="F13" s="636">
        <v>303.63999999999993</v>
      </c>
    </row>
    <row r="14" spans="1:6" ht="14.4" customHeight="1" x14ac:dyDescent="0.3">
      <c r="A14" s="658" t="s">
        <v>1760</v>
      </c>
      <c r="B14" s="635"/>
      <c r="C14" s="648">
        <v>0</v>
      </c>
      <c r="D14" s="635">
        <v>3132.6</v>
      </c>
      <c r="E14" s="648">
        <v>1</v>
      </c>
      <c r="F14" s="636">
        <v>3132.6</v>
      </c>
    </row>
    <row r="15" spans="1:6" ht="14.4" customHeight="1" x14ac:dyDescent="0.3">
      <c r="A15" s="658" t="s">
        <v>1761</v>
      </c>
      <c r="B15" s="635"/>
      <c r="C15" s="648">
        <v>0</v>
      </c>
      <c r="D15" s="635">
        <v>376.42874875683401</v>
      </c>
      <c r="E15" s="648">
        <v>1</v>
      </c>
      <c r="F15" s="636">
        <v>376.42874875683401</v>
      </c>
    </row>
    <row r="16" spans="1:6" ht="14.4" customHeight="1" x14ac:dyDescent="0.3">
      <c r="A16" s="658" t="s">
        <v>1762</v>
      </c>
      <c r="B16" s="635"/>
      <c r="C16" s="648">
        <v>0</v>
      </c>
      <c r="D16" s="635">
        <v>11298.149950237686</v>
      </c>
      <c r="E16" s="648">
        <v>1</v>
      </c>
      <c r="F16" s="636">
        <v>11298.149950237686</v>
      </c>
    </row>
    <row r="17" spans="1:6" ht="14.4" customHeight="1" x14ac:dyDescent="0.3">
      <c r="A17" s="658" t="s">
        <v>1763</v>
      </c>
      <c r="B17" s="635"/>
      <c r="C17" s="648">
        <v>0</v>
      </c>
      <c r="D17" s="635">
        <v>473.4</v>
      </c>
      <c r="E17" s="648">
        <v>1</v>
      </c>
      <c r="F17" s="636">
        <v>473.4</v>
      </c>
    </row>
    <row r="18" spans="1:6" ht="14.4" customHeight="1" x14ac:dyDescent="0.3">
      <c r="A18" s="658" t="s">
        <v>1764</v>
      </c>
      <c r="B18" s="635"/>
      <c r="C18" s="648">
        <v>0</v>
      </c>
      <c r="D18" s="635">
        <v>5084.9475440723236</v>
      </c>
      <c r="E18" s="648">
        <v>1</v>
      </c>
      <c r="F18" s="636">
        <v>5084.9475440723236</v>
      </c>
    </row>
    <row r="19" spans="1:6" ht="14.4" customHeight="1" x14ac:dyDescent="0.3">
      <c r="A19" s="658" t="s">
        <v>1765</v>
      </c>
      <c r="B19" s="635"/>
      <c r="C19" s="648">
        <v>0</v>
      </c>
      <c r="D19" s="635">
        <v>801.73</v>
      </c>
      <c r="E19" s="648">
        <v>1</v>
      </c>
      <c r="F19" s="636">
        <v>801.73</v>
      </c>
    </row>
    <row r="20" spans="1:6" ht="14.4" customHeight="1" x14ac:dyDescent="0.3">
      <c r="A20" s="658" t="s">
        <v>1766</v>
      </c>
      <c r="B20" s="635"/>
      <c r="C20" s="648">
        <v>0</v>
      </c>
      <c r="D20" s="635">
        <v>7456.1084357472664</v>
      </c>
      <c r="E20" s="648">
        <v>1</v>
      </c>
      <c r="F20" s="636">
        <v>7456.1084357472664</v>
      </c>
    </row>
    <row r="21" spans="1:6" ht="14.4" customHeight="1" x14ac:dyDescent="0.3">
      <c r="A21" s="658" t="s">
        <v>1767</v>
      </c>
      <c r="B21" s="635"/>
      <c r="C21" s="648">
        <v>0</v>
      </c>
      <c r="D21" s="635">
        <v>561.29999999999995</v>
      </c>
      <c r="E21" s="648">
        <v>1</v>
      </c>
      <c r="F21" s="636">
        <v>561.29999999999995</v>
      </c>
    </row>
    <row r="22" spans="1:6" ht="14.4" customHeight="1" x14ac:dyDescent="0.3">
      <c r="A22" s="658" t="s">
        <v>1768</v>
      </c>
      <c r="B22" s="635"/>
      <c r="C22" s="648">
        <v>0</v>
      </c>
      <c r="D22" s="635">
        <v>267.64</v>
      </c>
      <c r="E22" s="648">
        <v>1</v>
      </c>
      <c r="F22" s="636">
        <v>267.64</v>
      </c>
    </row>
    <row r="23" spans="1:6" ht="14.4" customHeight="1" x14ac:dyDescent="0.3">
      <c r="A23" s="658" t="s">
        <v>1769</v>
      </c>
      <c r="B23" s="635"/>
      <c r="C23" s="648">
        <v>0</v>
      </c>
      <c r="D23" s="635">
        <v>30.589999999999996</v>
      </c>
      <c r="E23" s="648">
        <v>1</v>
      </c>
      <c r="F23" s="636">
        <v>30.589999999999996</v>
      </c>
    </row>
    <row r="24" spans="1:6" ht="14.4" customHeight="1" x14ac:dyDescent="0.3">
      <c r="A24" s="658" t="s">
        <v>1770</v>
      </c>
      <c r="B24" s="635"/>
      <c r="C24" s="648">
        <v>0</v>
      </c>
      <c r="D24" s="635">
        <v>64.73</v>
      </c>
      <c r="E24" s="648">
        <v>1</v>
      </c>
      <c r="F24" s="636">
        <v>64.73</v>
      </c>
    </row>
    <row r="25" spans="1:6" ht="14.4" customHeight="1" x14ac:dyDescent="0.3">
      <c r="A25" s="658" t="s">
        <v>1771</v>
      </c>
      <c r="B25" s="635"/>
      <c r="C25" s="648">
        <v>0</v>
      </c>
      <c r="D25" s="635">
        <v>1557.16</v>
      </c>
      <c r="E25" s="648">
        <v>1</v>
      </c>
      <c r="F25" s="636">
        <v>1557.16</v>
      </c>
    </row>
    <row r="26" spans="1:6" ht="14.4" customHeight="1" x14ac:dyDescent="0.3">
      <c r="A26" s="658" t="s">
        <v>1772</v>
      </c>
      <c r="B26" s="635"/>
      <c r="C26" s="648">
        <v>0</v>
      </c>
      <c r="D26" s="635">
        <v>1040.7293189466498</v>
      </c>
      <c r="E26" s="648">
        <v>1</v>
      </c>
      <c r="F26" s="636">
        <v>1040.7293189466498</v>
      </c>
    </row>
    <row r="27" spans="1:6" ht="14.4" customHeight="1" x14ac:dyDescent="0.3">
      <c r="A27" s="658" t="s">
        <v>1773</v>
      </c>
      <c r="B27" s="635"/>
      <c r="C27" s="648">
        <v>0</v>
      </c>
      <c r="D27" s="635">
        <v>290.14</v>
      </c>
      <c r="E27" s="648">
        <v>1</v>
      </c>
      <c r="F27" s="636">
        <v>290.14</v>
      </c>
    </row>
    <row r="28" spans="1:6" ht="14.4" customHeight="1" x14ac:dyDescent="0.3">
      <c r="A28" s="658" t="s">
        <v>1774</v>
      </c>
      <c r="B28" s="635"/>
      <c r="C28" s="648">
        <v>0</v>
      </c>
      <c r="D28" s="635">
        <v>5050.2015970048969</v>
      </c>
      <c r="E28" s="648">
        <v>1</v>
      </c>
      <c r="F28" s="636">
        <v>5050.2015970048969</v>
      </c>
    </row>
    <row r="29" spans="1:6" ht="14.4" customHeight="1" x14ac:dyDescent="0.3">
      <c r="A29" s="658" t="s">
        <v>1775</v>
      </c>
      <c r="B29" s="635"/>
      <c r="C29" s="648">
        <v>0</v>
      </c>
      <c r="D29" s="635">
        <v>58929.995015744949</v>
      </c>
      <c r="E29" s="648">
        <v>1</v>
      </c>
      <c r="F29" s="636">
        <v>58929.995015744949</v>
      </c>
    </row>
    <row r="30" spans="1:6" ht="14.4" customHeight="1" x14ac:dyDescent="0.3">
      <c r="A30" s="658" t="s">
        <v>1776</v>
      </c>
      <c r="B30" s="635"/>
      <c r="C30" s="648">
        <v>0</v>
      </c>
      <c r="D30" s="635">
        <v>8797.5</v>
      </c>
      <c r="E30" s="648">
        <v>1</v>
      </c>
      <c r="F30" s="636">
        <v>8797.5</v>
      </c>
    </row>
    <row r="31" spans="1:6" ht="14.4" customHeight="1" x14ac:dyDescent="0.3">
      <c r="A31" s="658" t="s">
        <v>1777</v>
      </c>
      <c r="B31" s="635"/>
      <c r="C31" s="648">
        <v>0</v>
      </c>
      <c r="D31" s="635">
        <v>807.41978437338958</v>
      </c>
      <c r="E31" s="648">
        <v>1</v>
      </c>
      <c r="F31" s="636">
        <v>807.41978437338958</v>
      </c>
    </row>
    <row r="32" spans="1:6" ht="14.4" customHeight="1" x14ac:dyDescent="0.3">
      <c r="A32" s="658" t="s">
        <v>1778</v>
      </c>
      <c r="B32" s="635"/>
      <c r="C32" s="648">
        <v>0</v>
      </c>
      <c r="D32" s="635">
        <v>13839.637237243684</v>
      </c>
      <c r="E32" s="648">
        <v>1</v>
      </c>
      <c r="F32" s="636">
        <v>13839.637237243684</v>
      </c>
    </row>
    <row r="33" spans="1:6" ht="14.4" customHeight="1" x14ac:dyDescent="0.3">
      <c r="A33" s="658" t="s">
        <v>1779</v>
      </c>
      <c r="B33" s="635"/>
      <c r="C33" s="648">
        <v>0</v>
      </c>
      <c r="D33" s="635">
        <v>1242.3196203943664</v>
      </c>
      <c r="E33" s="648">
        <v>1</v>
      </c>
      <c r="F33" s="636">
        <v>1242.3196203943664</v>
      </c>
    </row>
    <row r="34" spans="1:6" ht="14.4" customHeight="1" x14ac:dyDescent="0.3">
      <c r="A34" s="658" t="s">
        <v>1780</v>
      </c>
      <c r="B34" s="635"/>
      <c r="C34" s="648">
        <v>0</v>
      </c>
      <c r="D34" s="635">
        <v>661.41</v>
      </c>
      <c r="E34" s="648">
        <v>1</v>
      </c>
      <c r="F34" s="636">
        <v>661.41</v>
      </c>
    </row>
    <row r="35" spans="1:6" ht="14.4" customHeight="1" x14ac:dyDescent="0.3">
      <c r="A35" s="658" t="s">
        <v>1781</v>
      </c>
      <c r="B35" s="635"/>
      <c r="C35" s="648">
        <v>0</v>
      </c>
      <c r="D35" s="635">
        <v>15606.883201671088</v>
      </c>
      <c r="E35" s="648">
        <v>1</v>
      </c>
      <c r="F35" s="636">
        <v>15606.883201671088</v>
      </c>
    </row>
    <row r="36" spans="1:6" ht="14.4" customHeight="1" x14ac:dyDescent="0.3">
      <c r="A36" s="658" t="s">
        <v>1782</v>
      </c>
      <c r="B36" s="635"/>
      <c r="C36" s="648">
        <v>0</v>
      </c>
      <c r="D36" s="635">
        <v>6511.4076008245102</v>
      </c>
      <c r="E36" s="648">
        <v>1</v>
      </c>
      <c r="F36" s="636">
        <v>6511.4076008245102</v>
      </c>
    </row>
    <row r="37" spans="1:6" ht="14.4" customHeight="1" x14ac:dyDescent="0.3">
      <c r="A37" s="658" t="s">
        <v>1783</v>
      </c>
      <c r="B37" s="635"/>
      <c r="C37" s="648">
        <v>0</v>
      </c>
      <c r="D37" s="635">
        <v>115.08999999999999</v>
      </c>
      <c r="E37" s="648">
        <v>1</v>
      </c>
      <c r="F37" s="636">
        <v>115.08999999999999</v>
      </c>
    </row>
    <row r="38" spans="1:6" ht="14.4" customHeight="1" x14ac:dyDescent="0.3">
      <c r="A38" s="658" t="s">
        <v>1784</v>
      </c>
      <c r="B38" s="635"/>
      <c r="C38" s="648">
        <v>0</v>
      </c>
      <c r="D38" s="635">
        <v>15817.5690435164</v>
      </c>
      <c r="E38" s="648">
        <v>1</v>
      </c>
      <c r="F38" s="636">
        <v>15817.5690435164</v>
      </c>
    </row>
    <row r="39" spans="1:6" ht="14.4" customHeight="1" x14ac:dyDescent="0.3">
      <c r="A39" s="658" t="s">
        <v>1785</v>
      </c>
      <c r="B39" s="635"/>
      <c r="C39" s="648">
        <v>0</v>
      </c>
      <c r="D39" s="635">
        <v>439.08000000000004</v>
      </c>
      <c r="E39" s="648">
        <v>1</v>
      </c>
      <c r="F39" s="636">
        <v>439.08000000000004</v>
      </c>
    </row>
    <row r="40" spans="1:6" ht="14.4" customHeight="1" x14ac:dyDescent="0.3">
      <c r="A40" s="658" t="s">
        <v>1786</v>
      </c>
      <c r="B40" s="635"/>
      <c r="C40" s="648">
        <v>0</v>
      </c>
      <c r="D40" s="635">
        <v>6842.4047517053623</v>
      </c>
      <c r="E40" s="648">
        <v>1</v>
      </c>
      <c r="F40" s="636">
        <v>6842.4047517053623</v>
      </c>
    </row>
    <row r="41" spans="1:6" ht="14.4" customHeight="1" x14ac:dyDescent="0.3">
      <c r="A41" s="658" t="s">
        <v>1787</v>
      </c>
      <c r="B41" s="635"/>
      <c r="C41" s="648">
        <v>0</v>
      </c>
      <c r="D41" s="635">
        <v>501.86</v>
      </c>
      <c r="E41" s="648">
        <v>1</v>
      </c>
      <c r="F41" s="636">
        <v>501.86</v>
      </c>
    </row>
    <row r="42" spans="1:6" ht="14.4" customHeight="1" x14ac:dyDescent="0.3">
      <c r="A42" s="658" t="s">
        <v>1788</v>
      </c>
      <c r="B42" s="635"/>
      <c r="C42" s="648">
        <v>0</v>
      </c>
      <c r="D42" s="635">
        <v>2990</v>
      </c>
      <c r="E42" s="648">
        <v>1</v>
      </c>
      <c r="F42" s="636">
        <v>2990</v>
      </c>
    </row>
    <row r="43" spans="1:6" ht="14.4" customHeight="1" x14ac:dyDescent="0.3">
      <c r="A43" s="658" t="s">
        <v>1789</v>
      </c>
      <c r="B43" s="635"/>
      <c r="C43" s="648">
        <v>0</v>
      </c>
      <c r="D43" s="635">
        <v>72.239783020758409</v>
      </c>
      <c r="E43" s="648">
        <v>1</v>
      </c>
      <c r="F43" s="636">
        <v>72.239783020758409</v>
      </c>
    </row>
    <row r="44" spans="1:6" ht="14.4" customHeight="1" x14ac:dyDescent="0.3">
      <c r="A44" s="658" t="s">
        <v>1790</v>
      </c>
      <c r="B44" s="635"/>
      <c r="C44" s="648">
        <v>0</v>
      </c>
      <c r="D44" s="635">
        <v>299.70999999999998</v>
      </c>
      <c r="E44" s="648">
        <v>1</v>
      </c>
      <c r="F44" s="636">
        <v>299.70999999999998</v>
      </c>
    </row>
    <row r="45" spans="1:6" ht="14.4" customHeight="1" x14ac:dyDescent="0.3">
      <c r="A45" s="658" t="s">
        <v>1791</v>
      </c>
      <c r="B45" s="635"/>
      <c r="C45" s="648">
        <v>0</v>
      </c>
      <c r="D45" s="635">
        <v>671.50010423616072</v>
      </c>
      <c r="E45" s="648">
        <v>1</v>
      </c>
      <c r="F45" s="636">
        <v>671.50010423616072</v>
      </c>
    </row>
    <row r="46" spans="1:6" ht="14.4" customHeight="1" x14ac:dyDescent="0.3">
      <c r="A46" s="658" t="s">
        <v>1792</v>
      </c>
      <c r="B46" s="635"/>
      <c r="C46" s="648">
        <v>0</v>
      </c>
      <c r="D46" s="635">
        <v>1964.9112653227367</v>
      </c>
      <c r="E46" s="648">
        <v>1</v>
      </c>
      <c r="F46" s="636">
        <v>1964.9112653227367</v>
      </c>
    </row>
    <row r="47" spans="1:6" ht="14.4" customHeight="1" x14ac:dyDescent="0.3">
      <c r="A47" s="658" t="s">
        <v>1793</v>
      </c>
      <c r="B47" s="635"/>
      <c r="C47" s="648">
        <v>0</v>
      </c>
      <c r="D47" s="635">
        <v>83.200258940203497</v>
      </c>
      <c r="E47" s="648">
        <v>1</v>
      </c>
      <c r="F47" s="636">
        <v>83.200258940203497</v>
      </c>
    </row>
    <row r="48" spans="1:6" ht="14.4" customHeight="1" x14ac:dyDescent="0.3">
      <c r="A48" s="658" t="s">
        <v>1794</v>
      </c>
      <c r="B48" s="635"/>
      <c r="C48" s="648">
        <v>0</v>
      </c>
      <c r="D48" s="635">
        <v>2022.622729880421</v>
      </c>
      <c r="E48" s="648">
        <v>1</v>
      </c>
      <c r="F48" s="636">
        <v>2022.622729880421</v>
      </c>
    </row>
    <row r="49" spans="1:6" ht="14.4" customHeight="1" x14ac:dyDescent="0.3">
      <c r="A49" s="658" t="s">
        <v>1795</v>
      </c>
      <c r="B49" s="635"/>
      <c r="C49" s="648">
        <v>0</v>
      </c>
      <c r="D49" s="635">
        <v>244.45905158050257</v>
      </c>
      <c r="E49" s="648">
        <v>1</v>
      </c>
      <c r="F49" s="636">
        <v>244.45905158050257</v>
      </c>
    </row>
    <row r="50" spans="1:6" ht="14.4" customHeight="1" x14ac:dyDescent="0.3">
      <c r="A50" s="658" t="s">
        <v>1796</v>
      </c>
      <c r="B50" s="635"/>
      <c r="C50" s="648">
        <v>0</v>
      </c>
      <c r="D50" s="635">
        <v>1905.56</v>
      </c>
      <c r="E50" s="648">
        <v>1</v>
      </c>
      <c r="F50" s="636">
        <v>1905.56</v>
      </c>
    </row>
    <row r="51" spans="1:6" ht="14.4" customHeight="1" x14ac:dyDescent="0.3">
      <c r="A51" s="658" t="s">
        <v>1797</v>
      </c>
      <c r="B51" s="635"/>
      <c r="C51" s="648">
        <v>0</v>
      </c>
      <c r="D51" s="635">
        <v>552.84982231479626</v>
      </c>
      <c r="E51" s="648">
        <v>1</v>
      </c>
      <c r="F51" s="636">
        <v>552.84982231479626</v>
      </c>
    </row>
    <row r="52" spans="1:6" ht="14.4" customHeight="1" x14ac:dyDescent="0.3">
      <c r="A52" s="658" t="s">
        <v>1798</v>
      </c>
      <c r="B52" s="635"/>
      <c r="C52" s="648">
        <v>0</v>
      </c>
      <c r="D52" s="635">
        <v>283.80122031471399</v>
      </c>
      <c r="E52" s="648">
        <v>1</v>
      </c>
      <c r="F52" s="636">
        <v>283.80122031471399</v>
      </c>
    </row>
    <row r="53" spans="1:6" ht="14.4" customHeight="1" x14ac:dyDescent="0.3">
      <c r="A53" s="658" t="s">
        <v>1799</v>
      </c>
      <c r="B53" s="635"/>
      <c r="C53" s="648">
        <v>0</v>
      </c>
      <c r="D53" s="635">
        <v>151.24999999999994</v>
      </c>
      <c r="E53" s="648">
        <v>1</v>
      </c>
      <c r="F53" s="636">
        <v>151.24999999999994</v>
      </c>
    </row>
    <row r="54" spans="1:6" ht="14.4" customHeight="1" x14ac:dyDescent="0.3">
      <c r="A54" s="658" t="s">
        <v>1800</v>
      </c>
      <c r="B54" s="635"/>
      <c r="C54" s="648">
        <v>0</v>
      </c>
      <c r="D54" s="635">
        <v>608.15936830835096</v>
      </c>
      <c r="E54" s="648">
        <v>1</v>
      </c>
      <c r="F54" s="636">
        <v>608.15936830835096</v>
      </c>
    </row>
    <row r="55" spans="1:6" ht="14.4" customHeight="1" x14ac:dyDescent="0.3">
      <c r="A55" s="658" t="s">
        <v>1801</v>
      </c>
      <c r="B55" s="635"/>
      <c r="C55" s="648">
        <v>0</v>
      </c>
      <c r="D55" s="635">
        <v>1546.2495778227856</v>
      </c>
      <c r="E55" s="648">
        <v>1</v>
      </c>
      <c r="F55" s="636">
        <v>1546.2495778227856</v>
      </c>
    </row>
    <row r="56" spans="1:6" ht="14.4" customHeight="1" x14ac:dyDescent="0.3">
      <c r="A56" s="658" t="s">
        <v>1802</v>
      </c>
      <c r="B56" s="635"/>
      <c r="C56" s="648">
        <v>0</v>
      </c>
      <c r="D56" s="635">
        <v>12419.602287896256</v>
      </c>
      <c r="E56" s="648">
        <v>1</v>
      </c>
      <c r="F56" s="636">
        <v>12419.602287896256</v>
      </c>
    </row>
    <row r="57" spans="1:6" ht="14.4" customHeight="1" x14ac:dyDescent="0.3">
      <c r="A57" s="658" t="s">
        <v>1803</v>
      </c>
      <c r="B57" s="635"/>
      <c r="C57" s="648">
        <v>0</v>
      </c>
      <c r="D57" s="635">
        <v>16425.675354984494</v>
      </c>
      <c r="E57" s="648">
        <v>1</v>
      </c>
      <c r="F57" s="636">
        <v>16425.675354984494</v>
      </c>
    </row>
    <row r="58" spans="1:6" ht="14.4" customHeight="1" x14ac:dyDescent="0.3">
      <c r="A58" s="658" t="s">
        <v>1804</v>
      </c>
      <c r="B58" s="635"/>
      <c r="C58" s="648">
        <v>0</v>
      </c>
      <c r="D58" s="635">
        <v>3225.7020403810457</v>
      </c>
      <c r="E58" s="648">
        <v>1</v>
      </c>
      <c r="F58" s="636">
        <v>3225.7020403810457</v>
      </c>
    </row>
    <row r="59" spans="1:6" ht="14.4" customHeight="1" thickBot="1" x14ac:dyDescent="0.35">
      <c r="A59" s="659" t="s">
        <v>1805</v>
      </c>
      <c r="B59" s="650"/>
      <c r="C59" s="651">
        <v>0</v>
      </c>
      <c r="D59" s="650">
        <v>1502.0198345409767</v>
      </c>
      <c r="E59" s="651">
        <v>1</v>
      </c>
      <c r="F59" s="652">
        <v>1502.0198345409767</v>
      </c>
    </row>
    <row r="60" spans="1:6" ht="14.4" customHeight="1" thickBot="1" x14ac:dyDescent="0.35">
      <c r="A60" s="653" t="s">
        <v>6</v>
      </c>
      <c r="B60" s="654">
        <v>12719.163333333334</v>
      </c>
      <c r="C60" s="655">
        <v>5.1627883186060826E-2</v>
      </c>
      <c r="D60" s="654">
        <v>233643.12286567589</v>
      </c>
      <c r="E60" s="655">
        <v>0.94837211681393918</v>
      </c>
      <c r="F60" s="656">
        <v>246362.28619900922</v>
      </c>
    </row>
  </sheetData>
  <mergeCells count="3">
    <mergeCell ref="A1:F1"/>
    <mergeCell ref="B3:C3"/>
    <mergeCell ref="D3:E3"/>
  </mergeCells>
  <conditionalFormatting sqref="C5:C1048576">
    <cfRule type="cellIs" dxfId="50" priority="8" stopIfTrue="1" operator="greaterThan">
      <formula>0.1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29</vt:i4>
      </vt:variant>
      <vt:variant>
        <vt:lpstr>Pojmenované oblasti</vt:lpstr>
      </vt:variant>
      <vt:variant>
        <vt:i4>3</vt:i4>
      </vt:variant>
    </vt:vector>
  </HeadingPairs>
  <TitlesOfParts>
    <vt:vector size="32" baseType="lpstr">
      <vt:lpstr>Obsah</vt:lpstr>
      <vt:lpstr>Motivace</vt:lpstr>
      <vt:lpstr>HI</vt:lpstr>
      <vt:lpstr>HI Graf</vt:lpstr>
      <vt:lpstr>Man Tab</vt:lpstr>
      <vt:lpstr>HV</vt:lpstr>
      <vt:lpstr>Léky Žádanky</vt:lpstr>
      <vt:lpstr>LŽ Detail</vt:lpstr>
      <vt:lpstr>LŽ PL</vt:lpstr>
      <vt:lpstr>LŽ PL Detail</vt:lpstr>
      <vt:lpstr>Léky Recepty</vt:lpstr>
      <vt:lpstr>LRp Lékaři</vt:lpstr>
      <vt:lpstr>LRp Detail</vt:lpstr>
      <vt:lpstr>LRp PL</vt:lpstr>
      <vt:lpstr>LRp PL Detail</vt:lpstr>
      <vt:lpstr>Materiál Žádanky</vt:lpstr>
      <vt:lpstr>MŽ Detail</vt:lpstr>
      <vt:lpstr>Osobní náklady</vt:lpstr>
      <vt:lpstr>ON Data</vt:lpstr>
      <vt:lpstr>ZV Vykáz.-A</vt:lpstr>
      <vt:lpstr>ZV Vykáz.-A Detail</vt:lpstr>
      <vt:lpstr>ZV Vykáz.-H</vt:lpstr>
      <vt:lpstr>ZV Vykáz.-H Detail</vt:lpstr>
      <vt:lpstr>CaseMix</vt:lpstr>
      <vt:lpstr>ALOS</vt:lpstr>
      <vt:lpstr>Total</vt:lpstr>
      <vt:lpstr>ZV Vyžád.</vt:lpstr>
      <vt:lpstr>ZV Vyžád. Detail</vt:lpstr>
      <vt:lpstr>OD TISS</vt:lpstr>
      <vt:lpstr>doměsíce</vt:lpstr>
      <vt:lpstr>ALOS!Oblast_tisku</vt:lpstr>
      <vt:lpstr>CaseMix!Oblast_tisku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2014-03-27T10:03:47Z</cp:lastPrinted>
  <dcterms:created xsi:type="dcterms:W3CDTF">2013-04-17T20:15:29Z</dcterms:created>
  <dcterms:modified xsi:type="dcterms:W3CDTF">2014-03-27T10:34:29Z</dcterms:modified>
</cp:coreProperties>
</file>