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Ž Statim" sheetId="427" r:id="rId11"/>
    <sheet name="Léky Recepty" sheetId="346" r:id="rId12"/>
    <sheet name="LRp Lékaři" sheetId="415" r:id="rId13"/>
    <sheet name="LRp Detail" sheetId="347" r:id="rId14"/>
    <sheet name="LRp PL" sheetId="388" r:id="rId15"/>
    <sheet name="LRp PL Detail" sheetId="390" r:id="rId16"/>
    <sheet name="Materiál Žádanky" sheetId="420" r:id="rId17"/>
    <sheet name="MŽ Detail" sheetId="403" r:id="rId18"/>
    <sheet name="Osobní náklady" sheetId="419" r:id="rId19"/>
    <sheet name="ON Data" sheetId="418" state="hidden" r:id="rId20"/>
    <sheet name="ZV Vykáz.-A" sheetId="344" r:id="rId21"/>
    <sheet name="ZV Vykáz.-A Lékaři" sheetId="429" r:id="rId22"/>
    <sheet name="ZV Vykáz.-A Detail" sheetId="345" r:id="rId23"/>
    <sheet name="ZV Vykáz.-H" sheetId="410" r:id="rId24"/>
    <sheet name="ZV Vykáz.-H Detail" sheetId="377" r:id="rId25"/>
    <sheet name="CaseMix" sheetId="370" r:id="rId26"/>
    <sheet name="ALOS" sheetId="374" r:id="rId27"/>
    <sheet name="Total" sheetId="371" r:id="rId28"/>
    <sheet name="ZV Vyžád." sheetId="342" r:id="rId29"/>
    <sheet name="ZV Vyžád. Detail" sheetId="343" r:id="rId30"/>
    <sheet name="OD TISS" sheetId="372" r:id="rId31"/>
  </sheets>
  <definedNames>
    <definedName name="_xlnm._FilterDatabase" localSheetId="5" hidden="1">HV!$A$5:$A$5</definedName>
    <definedName name="_xlnm._FilterDatabase" localSheetId="11" hidden="1">'Léky Recepty'!$A$4:$M$4</definedName>
    <definedName name="_xlnm._FilterDatabase" localSheetId="6" hidden="1">'Léky Žádanky'!$A$4:$I$4</definedName>
    <definedName name="_xlnm._FilterDatabase" localSheetId="13" hidden="1">'LRp Detail'!$A$6:$U$6</definedName>
    <definedName name="_xlnm._FilterDatabase" localSheetId="12" hidden="1">'LRp Lékaři'!$A$4:$N$4</definedName>
    <definedName name="_xlnm._FilterDatabase" localSheetId="14" hidden="1">'LRp PL'!$A$3:$F$50</definedName>
    <definedName name="_xlnm._FilterDatabase" localSheetId="15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10" hidden="1">'LŽ Statim'!$A$5:$I$5</definedName>
    <definedName name="_xlnm._FilterDatabase" localSheetId="4" hidden="1">'Man Tab'!$A$5:$A$31</definedName>
    <definedName name="_xlnm._FilterDatabase" localSheetId="16" hidden="1">'Materiál Žádanky'!$A$4:$I$4</definedName>
    <definedName name="_xlnm._FilterDatabase" localSheetId="17" hidden="1">'MŽ Detail'!$A$4:$K$4</definedName>
    <definedName name="_xlnm._FilterDatabase" localSheetId="30" hidden="1">'OD TISS'!$A$5:$N$5</definedName>
    <definedName name="_xlnm._FilterDatabase" localSheetId="27" hidden="1">Total!$A$4:$W$4</definedName>
    <definedName name="_xlnm._FilterDatabase" localSheetId="22" hidden="1">'ZV Vykáz.-A Detail'!$A$5:$P$5</definedName>
    <definedName name="_xlnm._FilterDatabase" localSheetId="21" hidden="1">'ZV Vykáz.-A Lékaři'!$A$4:$A$5</definedName>
    <definedName name="_xlnm._FilterDatabase" localSheetId="24" hidden="1">'ZV Vykáz.-H Detail'!$A$5:$Q$5</definedName>
    <definedName name="_xlnm._FilterDatabase" localSheetId="28" hidden="1">'ZV Vyžád.'!$A$5:$M$5</definedName>
    <definedName name="_xlnm._FilterDatabase" localSheetId="29" hidden="1">'ZV Vyžád. Detail'!$A$5:$Q$5</definedName>
    <definedName name="doměsíce">'HI Graf'!$C$11</definedName>
    <definedName name="_xlnm.Print_Area" localSheetId="26">ALOS!$A$1:$M$45</definedName>
    <definedName name="_xlnm.Print_Area" localSheetId="25">CaseMix!$A$1:$M$39</definedName>
  </definedNames>
  <calcPr calcId="152511"/>
</workbook>
</file>

<file path=xl/calcChain.xml><?xml version="1.0" encoding="utf-8"?>
<calcChain xmlns="http://schemas.openxmlformats.org/spreadsheetml/2006/main">
  <c r="T47" i="371" l="1"/>
  <c r="V47" i="371" s="1"/>
  <c r="S47" i="371"/>
  <c r="R47" i="371"/>
  <c r="Q47" i="371"/>
  <c r="U46" i="371"/>
  <c r="T46" i="371"/>
  <c r="V46" i="371" s="1"/>
  <c r="S46" i="371"/>
  <c r="R46" i="371"/>
  <c r="Q46" i="371"/>
  <c r="V45" i="371"/>
  <c r="U45" i="371"/>
  <c r="T45" i="371"/>
  <c r="S45" i="371"/>
  <c r="R45" i="371"/>
  <c r="Q45" i="371"/>
  <c r="U44" i="371"/>
  <c r="T44" i="371"/>
  <c r="V44" i="371" s="1"/>
  <c r="S44" i="371"/>
  <c r="R44" i="371"/>
  <c r="Q44" i="371"/>
  <c r="V43" i="371"/>
  <c r="U43" i="371"/>
  <c r="T43" i="371"/>
  <c r="S43" i="371"/>
  <c r="R43" i="371"/>
  <c r="Q43" i="371"/>
  <c r="V42" i="371"/>
  <c r="U42" i="371"/>
  <c r="T42" i="371"/>
  <c r="S42" i="371"/>
  <c r="R42" i="371"/>
  <c r="Q42" i="371"/>
  <c r="V41" i="371"/>
  <c r="U41" i="371"/>
  <c r="T41" i="371"/>
  <c r="S41" i="371"/>
  <c r="R41" i="371"/>
  <c r="Q41" i="371"/>
  <c r="U40" i="371"/>
  <c r="T40" i="371"/>
  <c r="V40" i="371" s="1"/>
  <c r="S40" i="371"/>
  <c r="R40" i="371"/>
  <c r="Q40" i="371"/>
  <c r="T39" i="371"/>
  <c r="S39" i="371"/>
  <c r="V39" i="371" s="1"/>
  <c r="R39" i="371"/>
  <c r="Q39" i="371"/>
  <c r="U38" i="371"/>
  <c r="T38" i="371"/>
  <c r="V38" i="371" s="1"/>
  <c r="S38" i="371"/>
  <c r="R38" i="371"/>
  <c r="Q38" i="371"/>
  <c r="V37" i="371"/>
  <c r="U37" i="371"/>
  <c r="T37" i="37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U34" i="371"/>
  <c r="T34" i="371"/>
  <c r="V34" i="371" s="1"/>
  <c r="S34" i="371"/>
  <c r="R34" i="371"/>
  <c r="Q34" i="371"/>
  <c r="T33" i="371"/>
  <c r="S33" i="371"/>
  <c r="V33" i="371" s="1"/>
  <c r="R33" i="371"/>
  <c r="Q33" i="371"/>
  <c r="V32" i="371"/>
  <c r="U32" i="371"/>
  <c r="T32" i="371"/>
  <c r="S32" i="371"/>
  <c r="R32" i="371"/>
  <c r="Q32" i="371"/>
  <c r="V31" i="371"/>
  <c r="U31" i="371"/>
  <c r="T31" i="371"/>
  <c r="S31" i="371"/>
  <c r="R31" i="371"/>
  <c r="Q31" i="371"/>
  <c r="V30" i="371"/>
  <c r="U30" i="371"/>
  <c r="T30" i="371"/>
  <c r="S30" i="371"/>
  <c r="R30" i="371"/>
  <c r="Q30" i="371"/>
  <c r="V29" i="371"/>
  <c r="U29" i="371"/>
  <c r="T29" i="371"/>
  <c r="S29" i="371"/>
  <c r="R29" i="371"/>
  <c r="Q29" i="371"/>
  <c r="U28" i="371"/>
  <c r="T28" i="371"/>
  <c r="V28" i="371" s="1"/>
  <c r="S28" i="371"/>
  <c r="R28" i="371"/>
  <c r="Q28" i="371"/>
  <c r="V27" i="371"/>
  <c r="U27" i="371"/>
  <c r="T27" i="371"/>
  <c r="S27" i="371"/>
  <c r="R27" i="371"/>
  <c r="Q27" i="371"/>
  <c r="U26" i="371"/>
  <c r="T26" i="371"/>
  <c r="V26" i="371" s="1"/>
  <c r="S26" i="371"/>
  <c r="R26" i="371"/>
  <c r="Q26" i="371"/>
  <c r="T25" i="371"/>
  <c r="S25" i="371"/>
  <c r="V25" i="371" s="1"/>
  <c r="R25" i="371"/>
  <c r="Q25" i="371"/>
  <c r="U24" i="371"/>
  <c r="T24" i="371"/>
  <c r="V24" i="371" s="1"/>
  <c r="S24" i="371"/>
  <c r="R24" i="371"/>
  <c r="Q24" i="371"/>
  <c r="T23" i="371"/>
  <c r="S23" i="371"/>
  <c r="V23" i="371" s="1"/>
  <c r="R23" i="371"/>
  <c r="Q23" i="371"/>
  <c r="U22" i="371"/>
  <c r="T22" i="371"/>
  <c r="V22" i="371" s="1"/>
  <c r="S22" i="371"/>
  <c r="R22" i="371"/>
  <c r="Q22" i="371"/>
  <c r="T21" i="371"/>
  <c r="S21" i="371"/>
  <c r="V21" i="371" s="1"/>
  <c r="R21" i="371"/>
  <c r="Q21" i="371"/>
  <c r="U20" i="371"/>
  <c r="T20" i="371"/>
  <c r="V20" i="371" s="1"/>
  <c r="S20" i="371"/>
  <c r="R20" i="371"/>
  <c r="Q20" i="371"/>
  <c r="T19" i="371"/>
  <c r="S19" i="371"/>
  <c r="V19" i="371" s="1"/>
  <c r="R19" i="371"/>
  <c r="Q19" i="371"/>
  <c r="U18" i="371"/>
  <c r="T18" i="371"/>
  <c r="V18" i="371" s="1"/>
  <c r="S18" i="371"/>
  <c r="R18" i="371"/>
  <c r="Q18" i="371"/>
  <c r="T17" i="371"/>
  <c r="S17" i="371"/>
  <c r="V17" i="371" s="1"/>
  <c r="R17" i="371"/>
  <c r="Q17" i="371"/>
  <c r="U16" i="371"/>
  <c r="T16" i="371"/>
  <c r="V16" i="371" s="1"/>
  <c r="S16" i="371"/>
  <c r="R16" i="371"/>
  <c r="Q16" i="371"/>
  <c r="T15" i="371"/>
  <c r="S15" i="371"/>
  <c r="V15" i="371" s="1"/>
  <c r="R15" i="371"/>
  <c r="Q15" i="371"/>
  <c r="U14" i="371"/>
  <c r="T14" i="371"/>
  <c r="V14" i="371" s="1"/>
  <c r="S14" i="371"/>
  <c r="R14" i="371"/>
  <c r="Q14" i="371"/>
  <c r="T13" i="371"/>
  <c r="S13" i="371"/>
  <c r="V13" i="371" s="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T9" i="371"/>
  <c r="S9" i="371"/>
  <c r="V9" i="371" s="1"/>
  <c r="R9" i="371"/>
  <c r="Q9" i="371"/>
  <c r="U8" i="371"/>
  <c r="T8" i="371"/>
  <c r="V8" i="371" s="1"/>
  <c r="S8" i="371"/>
  <c r="R8" i="371"/>
  <c r="Q8" i="371"/>
  <c r="T7" i="371"/>
  <c r="S7" i="371"/>
  <c r="V7" i="371" s="1"/>
  <c r="R7" i="371"/>
  <c r="Q7" i="371"/>
  <c r="V6" i="371"/>
  <c r="U6" i="371"/>
  <c r="T6" i="371"/>
  <c r="S6" i="371"/>
  <c r="R6" i="371"/>
  <c r="Q6" i="371"/>
  <c r="V5" i="371"/>
  <c r="U5" i="371"/>
  <c r="T5" i="371"/>
  <c r="S5" i="371"/>
  <c r="R5" i="371"/>
  <c r="Q5" i="371"/>
  <c r="U7" i="371" l="1"/>
  <c r="U9" i="371"/>
  <c r="U13" i="371"/>
  <c r="U15" i="371"/>
  <c r="U17" i="371"/>
  <c r="U19" i="371"/>
  <c r="U21" i="371"/>
  <c r="U23" i="371"/>
  <c r="U25" i="371"/>
  <c r="U33" i="371"/>
  <c r="U39" i="371"/>
  <c r="U47" i="371"/>
  <c r="AG21" i="419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C22" i="419" l="1"/>
  <c r="E22" i="419"/>
  <c r="H22" i="419"/>
  <c r="L22" i="419"/>
  <c r="P22" i="419"/>
  <c r="T22" i="419"/>
  <c r="X22" i="419"/>
  <c r="AB22" i="419"/>
  <c r="AF22" i="419"/>
  <c r="B22" i="419"/>
  <c r="I22" i="419"/>
  <c r="M22" i="419"/>
  <c r="Q22" i="419"/>
  <c r="U22" i="419"/>
  <c r="Y22" i="419"/>
  <c r="A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27" i="383"/>
  <c r="G3" i="429"/>
  <c r="F3" i="429"/>
  <c r="E3" i="429"/>
  <c r="D3" i="429"/>
  <c r="C3" i="429"/>
  <c r="B3" i="429"/>
  <c r="A36" i="383" l="1"/>
  <c r="A9" i="414" l="1"/>
  <c r="A15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9" i="414" s="1"/>
  <c r="E9" i="414" s="1"/>
  <c r="H3" i="427"/>
  <c r="I3" i="427"/>
  <c r="F3" i="427"/>
  <c r="AG26" i="419" l="1"/>
  <c r="AG25" i="419"/>
  <c r="C11" i="340" l="1"/>
  <c r="A21" i="383" l="1"/>
  <c r="A11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F27" i="419" s="1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5" i="414" l="1"/>
  <c r="D7" i="414"/>
  <c r="J24" i="370" l="1"/>
  <c r="J23" i="370"/>
  <c r="J22" i="370"/>
  <c r="J21" i="370"/>
  <c r="J20" i="370"/>
  <c r="J19" i="370"/>
  <c r="J18" i="370"/>
  <c r="A28" i="414" l="1"/>
  <c r="A18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6" i="414" l="1"/>
  <c r="A25" i="414"/>
  <c r="A24" i="414"/>
  <c r="A23" i="414" l="1"/>
  <c r="A22" i="414"/>
  <c r="A19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8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1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20" i="414" s="1"/>
  <c r="C11" i="339"/>
  <c r="H11" i="339" l="1"/>
  <c r="G11" i="339"/>
  <c r="A27" i="414"/>
  <c r="A21" i="414"/>
  <c r="A20" i="414"/>
  <c r="A15" i="414"/>
  <c r="A12" i="414"/>
  <c r="A11" i="414"/>
  <c r="A8" i="414"/>
  <c r="A7" i="414"/>
  <c r="A16" i="414"/>
  <c r="A4" i="414"/>
  <c r="A6" i="339" l="1"/>
  <c r="A5" i="339"/>
  <c r="D4" i="414"/>
  <c r="D19" i="414"/>
  <c r="D16" i="414"/>
  <c r="C19" i="414"/>
  <c r="C16" i="414"/>
  <c r="D12" i="414" l="1"/>
  <c r="D8" i="414"/>
  <c r="C15" i="414" l="1"/>
  <c r="C7" i="414"/>
  <c r="D11" i="414" l="1"/>
  <c r="E11" i="414" s="1"/>
  <c r="E21" i="414"/>
  <c r="E20" i="414"/>
  <c r="E15" i="414"/>
  <c r="E7" i="414"/>
  <c r="E12" i="414"/>
  <c r="E8" i="414"/>
  <c r="A17" i="383" l="1"/>
  <c r="A20" i="383" l="1"/>
  <c r="A14" i="383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5" i="414" s="1"/>
  <c r="E25" i="414" s="1"/>
  <c r="I39" i="370"/>
  <c r="I26" i="370"/>
  <c r="E12" i="339"/>
  <c r="M39" i="370"/>
  <c r="E26" i="370"/>
  <c r="D24" i="414" s="1"/>
  <c r="E24" i="414" s="1"/>
  <c r="L39" i="370"/>
  <c r="C12" i="339"/>
  <c r="E13" i="370"/>
  <c r="D23" i="414" s="1"/>
  <c r="E23" i="414" s="1"/>
  <c r="L13" i="370"/>
  <c r="B12" i="339"/>
  <c r="F12" i="339" s="1"/>
  <c r="I13" i="370"/>
  <c r="D26" i="414" s="1"/>
  <c r="E26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U3" i="347" s="1"/>
  <c r="N3" i="347"/>
  <c r="S3" i="347" s="1"/>
  <c r="M3" i="347"/>
  <c r="Q3" i="347" s="1"/>
  <c r="M3" i="387"/>
  <c r="K3" i="387" s="1"/>
  <c r="L3" i="387"/>
  <c r="J3" i="387"/>
  <c r="I3" i="387"/>
  <c r="G3" i="387"/>
  <c r="H3" i="387" s="1"/>
  <c r="F3" i="387"/>
  <c r="N3" i="220"/>
  <c r="L3" i="220" s="1"/>
  <c r="C22" i="414"/>
  <c r="D22" i="414"/>
  <c r="N3" i="372" l="1"/>
  <c r="H3" i="390"/>
  <c r="F3" i="372"/>
  <c r="C28" i="414"/>
  <c r="E28" i="414" s="1"/>
  <c r="F13" i="339"/>
  <c r="E13" i="339"/>
  <c r="E15" i="339" s="1"/>
  <c r="J3" i="372"/>
  <c r="H12" i="339"/>
  <c r="G12" i="339"/>
  <c r="K3" i="390"/>
  <c r="A4" i="383"/>
  <c r="A35" i="383"/>
  <c r="A34" i="383"/>
  <c r="A33" i="383"/>
  <c r="A32" i="383"/>
  <c r="A31" i="383"/>
  <c r="A30" i="383"/>
  <c r="A29" i="383"/>
  <c r="A28" i="383"/>
  <c r="A26" i="383"/>
  <c r="A23" i="383"/>
  <c r="A22" i="383"/>
  <c r="A19" i="383"/>
  <c r="A18" i="383"/>
  <c r="A16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D18" i="414"/>
  <c r="C4" i="414"/>
  <c r="H13" i="339" l="1"/>
  <c r="F15" i="339"/>
  <c r="D27" i="414"/>
  <c r="E27" i="414" s="1"/>
  <c r="E16" i="414"/>
  <c r="E4" i="414"/>
  <c r="C6" i="340"/>
  <c r="D6" i="340" s="1"/>
  <c r="B4" i="340"/>
  <c r="G13" i="339"/>
  <c r="B13" i="340" l="1"/>
  <c r="B12" i="340"/>
  <c r="G15" i="339"/>
  <c r="H15" i="339"/>
  <c r="C4" i="340"/>
  <c r="E19" i="414"/>
  <c r="E22" i="414"/>
  <c r="D4" i="340"/>
  <c r="E6" i="340"/>
  <c r="C18" i="414"/>
  <c r="E18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<sst xmlns="http://schemas.openxmlformats.org/spreadsheetml/2006/main" count="19542" uniqueCount="4513">
  <si>
    <t>NS</t>
  </si>
  <si>
    <t>Účet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</si>
  <si>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</si>
  <si>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</si>
  <si>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</si>
  <si>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</si>
  <si>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</si>
  <si>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</si>
  <si>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</si>
  <si>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</si>
  <si>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</si>
  <si>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</si>
  <si>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</si>
  <si>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</si>
  <si>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</si>
  <si>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</si>
  <si>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</si>
  <si>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</si>
  <si>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</si>
  <si>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</si>
  <si>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</si>
  <si>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</si>
  <si>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</si>
  <si>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</si>
  <si>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</si>
  <si>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</si>
  <si>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</si>
  <si>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</si>
  <si>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</si>
  <si>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</si>
  <si>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</si>
  <si>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</si>
  <si>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</si>
  <si>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</si>
  <si>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</si>
  <si>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</si>
  <si>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</si>
  <si>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</si>
  <si>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</si>
  <si>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</si>
  <si>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</si>
  <si>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</si>
  <si>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</si>
  <si>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</si>
  <si>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</si>
  <si>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</si>
  <si>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</si>
  <si>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</si>
  <si>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</si>
  <si>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</si>
  <si>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</si>
  <si>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</si>
  <si>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</si>
  <si>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</si>
  <si>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</si>
  <si>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</si>
  <si>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</si>
  <si>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</si>
  <si>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</si>
  <si>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</si>
  <si>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</si>
  <si>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</si>
  <si>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</si>
  <si>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</si>
  <si>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</si>
  <si>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</si>
  <si>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</si>
  <si>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</si>
  <si>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</si>
  <si>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</si>
  <si>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</si>
  <si>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</si>
  <si>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</si>
  <si>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</si>
  <si>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</si>
  <si>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</si>
  <si>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</si>
  <si>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</si>
  <si>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</si>
  <si>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</si>
  <si>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</si>
  <si>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</si>
  <si>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</si>
  <si>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</si>
  <si>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</si>
  <si>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</si>
  <si>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</si>
  <si>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</si>
  <si>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</si>
  <si>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</si>
  <si>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</si>
  <si>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</si>
  <si>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</si>
  <si>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</si>
  <si>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</si>
  <si>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</si>
  <si>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</si>
  <si>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</si>
  <si>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</si>
  <si>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</si>
  <si>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</si>
  <si>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</si>
  <si>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</si>
  <si>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</si>
  <si>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</si>
  <si>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</si>
  <si>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</si>
  <si>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</si>
  <si>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</si>
  <si>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</si>
  <si>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</si>
  <si>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</si>
  <si>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</si>
  <si>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</si>
  <si>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</si>
  <si>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</si>
  <si>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</si>
  <si>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</si>
  <si>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</si>
  <si>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</si>
  <si>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</si>
  <si>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</si>
  <si>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</si>
  <si>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</si>
  <si>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</si>
  <si>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</si>
  <si>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</si>
  <si>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</si>
  <si>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</si>
  <si>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</si>
  <si>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</si>
  <si>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</si>
  <si>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</si>
  <si>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</si>
  <si>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</si>
  <si>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</si>
  <si>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</si>
  <si>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</si>
  <si>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</si>
  <si>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</si>
  <si>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</si>
  <si>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</si>
  <si>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</si>
  <si>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</si>
  <si>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</si>
  <si>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</si>
  <si>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</si>
  <si>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</si>
  <si>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</si>
  <si>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</si>
  <si>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</si>
  <si>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</si>
  <si>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</si>
  <si>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</si>
  <si>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</si>
  <si>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</si>
  <si>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</si>
  <si>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</si>
  <si>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</si>
  <si>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</si>
  <si>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</si>
  <si>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</si>
  <si>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</si>
  <si>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</si>
  <si>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</si>
  <si>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</si>
  <si>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</si>
  <si>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</si>
  <si>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</si>
  <si>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</si>
  <si>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</si>
  <si>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</si>
  <si>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</si>
  <si>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</si>
  <si>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</si>
  <si>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</si>
  <si>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</si>
  <si>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</si>
  <si>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</si>
  <si>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</si>
  <si>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</si>
  <si>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</si>
  <si>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</si>
  <si>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</si>
  <si>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</si>
  <si>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</si>
  <si>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</si>
  <si>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</si>
  <si>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</si>
  <si>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</si>
  <si>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</si>
  <si>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</si>
  <si>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</si>
  <si>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</si>
  <si>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</si>
  <si>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</si>
  <si>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</si>
  <si>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</si>
  <si>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</si>
  <si>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</si>
  <si>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</si>
  <si>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</si>
  <si>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</si>
  <si>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</si>
  <si>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</si>
  <si>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</si>
  <si>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</si>
  <si>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</si>
  <si>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Přehled plnění pozitivniho listu (PL) -
   spotřeba léčivých přípravků dle objemu Kč mimo PL</t>
  </si>
  <si>
    <t>DRG mimo vyjmenované baze</t>
  </si>
  <si>
    <t>Vyjmenované baze DRG</t>
  </si>
  <si>
    <t>optimum 100% *</t>
  </si>
  <si>
    <t>optimum 95% *</t>
  </si>
  <si>
    <t>333 - Cizinci</t>
  </si>
  <si>
    <t>Lékař / ATC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</si>
  <si>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</si>
  <si>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</si>
  <si>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</si>
  <si>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</si>
  <si>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</si>
  <si>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</si>
  <si>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</si>
  <si>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</si>
  <si>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</si>
  <si>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</si>
  <si>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</si>
  <si>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</si>
  <si>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</si>
  <si>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</si>
  <si>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</si>
  <si>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</si>
  <si>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</si>
  <si>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</si>
  <si>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</si>
  <si>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</si>
  <si>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</si>
  <si>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</si>
  <si>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</si>
  <si>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</si>
  <si>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</si>
  <si>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</si>
  <si>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</si>
  <si>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</si>
  <si>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</si>
  <si>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</si>
  <si>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</si>
  <si>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</si>
  <si>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</si>
  <si>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</si>
  <si>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</si>
  <si>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</si>
  <si>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</si>
  <si>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</si>
  <si>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</si>
  <si>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</si>
  <si>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</si>
  <si>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</si>
  <si>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</si>
  <si>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</si>
  <si>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</si>
  <si>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</si>
  <si>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</si>
  <si>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</si>
  <si>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</si>
  <si>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</si>
  <si>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</si>
  <si>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</si>
  <si>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</si>
  <si>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</si>
  <si>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</si>
  <si>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</si>
  <si>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</si>
  <si>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</si>
  <si>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</si>
  <si>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</si>
  <si>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</si>
  <si>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</si>
  <si>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</si>
  <si>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</si>
  <si>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</si>
  <si>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</si>
  <si>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</si>
  <si>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</si>
  <si>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</si>
  <si>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</si>
  <si>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</si>
  <si>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</si>
  <si>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</si>
  <si>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</si>
  <si>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</si>
  <si>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</si>
  <si>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</si>
  <si>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Případy hospitalizací se při výpočtu casemixu v letech 2012, 2013, 2014 rozumí případy hospitalizací přepočtené pomocí pravidel pro Klasifikaci a sestavování případů</t>
  </si>
  <si>
    <t>Počet případů hospitalizací</t>
  </si>
  <si>
    <t>Casemix v letech 2012, 2013, 2014 je počet případů hospitalizací ukončených ve sledovaném období, poskytovatelem vykázaných a zdravotní pojišťovnou uznaných,</t>
  </si>
  <si>
    <t>které jsou podle Klasifikace zařazeny do skupin vztažených k diagnóze, vynásobený indexy 2014 (viz příloha č. 10)</t>
  </si>
  <si>
    <t>* Legenda (viz Vyhláška MZ ČR Sbírka zákonů č. 428/2013)</t>
  </si>
  <si>
    <t>Dle vyhlášky FNOL musí dosáhnout casemixu 97% a počtu případů hospitalizací 93% u každé pojišťovny (se zohledněním přesunu pojištěnců)</t>
  </si>
  <si>
    <t>hospitalizací platných pro rok 2014 (grouper 010.006)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</si>
  <si>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</si>
  <si>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</si>
  <si>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</si>
  <si>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</si>
  <si>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</si>
  <si>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</si>
  <si>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</si>
  <si>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</si>
  <si>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</si>
  <si>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</si>
  <si>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</si>
  <si>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</si>
  <si>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Počet výkonů</t>
  </si>
  <si>
    <t>ZV Vykáz.-A Lékaři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</si>
  <si>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</si>
  <si>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</si>
  <si>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</si>
  <si>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</si>
  <si>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</si>
  <si>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</si>
  <si>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</si>
  <si>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</si>
  <si>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</si>
  <si>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</si>
  <si>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</si>
  <si>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</si>
  <si>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</si>
  <si>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</si>
  <si>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</si>
  <si>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</si>
  <si>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</si>
  <si>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</si>
  <si>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</si>
  <si>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</si>
  <si>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</si>
  <si>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</si>
  <si>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</si>
  <si>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</si>
  <si>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</si>
  <si>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</si>
  <si>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</si>
  <si>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</si>
  <si>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</si>
  <si>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</si>
  <si>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</si>
  <si>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</si>
  <si>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</si>
  <si>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</si>
  <si>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</si>
  <si>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50113012     léky - trombolýza (LEK)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</si>
  <si>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</si>
  <si>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</si>
  <si>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</si>
  <si>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</si>
  <si>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</si>
  <si>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</si>
  <si>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</si>
  <si>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50115004     implant.umělé těl.náhr.-kovové (s.Z_506)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</si>
  <si>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</si>
  <si>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</si>
  <si>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</si>
  <si>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</si>
  <si>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</si>
  <si>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</si>
  <si>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</si>
  <si>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</si>
  <si>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</si>
  <si>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 (sk.Z_513)</t>
  </si>
  <si>
    <t>50115079     ostatní ZPr - intenzivní péče (sk.Z_542)</t>
  </si>
  <si>
    <t>--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</si>
  <si>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</si>
  <si>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</si>
  <si>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</si>
  <si>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</si>
  <si>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</si>
  <si>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</si>
  <si>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</si>
  <si>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</si>
  <si>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</si>
  <si>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</si>
  <si>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</si>
  <si>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</si>
  <si>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</si>
  <si>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</si>
  <si>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</si>
  <si>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</si>
  <si>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</si>
  <si>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50118001     ND - ostatní (všeob.sklad) (sk.V38)</t>
  </si>
  <si>
    <t>50118002     ND - zdravot.techn.(sklad) (sk.Z39)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</si>
  <si>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</si>
  <si>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</si>
  <si>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</si>
  <si>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</si>
  <si>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</si>
  <si>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</si>
  <si>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</si>
  <si>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</si>
  <si>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</si>
  <si>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</si>
  <si>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</si>
  <si>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</si>
  <si>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</si>
  <si>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</si>
  <si>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</si>
  <si>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</si>
  <si>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</si>
  <si>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</si>
  <si>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</si>
  <si>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</si>
  <si>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</si>
  <si>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</si>
  <si>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</si>
  <si>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</si>
  <si>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</si>
  <si>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</si>
  <si>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</si>
  <si>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51203001     cestovné zahraniční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</si>
  <si>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</si>
  <si>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</si>
  <si>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</si>
  <si>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</si>
  <si>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</si>
  <si>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</si>
  <si>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</si>
  <si>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</si>
  <si>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</si>
  <si>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</si>
  <si>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</si>
  <si>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</si>
  <si>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</si>
  <si>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</si>
  <si>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</si>
  <si>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</si>
  <si>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</si>
  <si>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</si>
  <si>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51874     Ostatní služby</t>
  </si>
  <si>
    <t>51874003     znalecké posudky, odměny z klinických hodnocení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</si>
  <si>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</si>
  <si>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</si>
  <si>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</si>
  <si>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</si>
  <si>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</si>
  <si>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</si>
  <si>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</si>
  <si>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</si>
  <si>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</si>
  <si>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</si>
  <si>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</si>
  <si>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</si>
  <si>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</si>
  <si>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</si>
  <si>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</si>
  <si>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</si>
  <si>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</si>
  <si>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</si>
  <si>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</si>
  <si>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</si>
  <si>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</si>
  <si>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</si>
  <si>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</si>
  <si>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</si>
  <si>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</si>
  <si>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54925     Ostatní výplaty fyzickým osobám(OPMČ)</t>
  </si>
  <si>
    <t>54925000     odškodn.-náhr.mzdy zam.(OPMČ)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</si>
  <si>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</si>
  <si>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</si>
  <si>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</si>
  <si>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</si>
  <si>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</si>
  <si>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</si>
  <si>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</si>
  <si>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</si>
  <si>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</si>
  <si>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</si>
  <si>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</si>
  <si>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</si>
  <si>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</si>
  <si>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</si>
  <si>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</si>
  <si>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</si>
  <si>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</si>
  <si>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</si>
  <si>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</si>
  <si>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</si>
  <si>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</si>
  <si>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</si>
  <si>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</si>
  <si>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55802     DDHM - provozní</t>
  </si>
  <si>
    <t>55802002     DDHM - ostatní provozní technika (sk.V_35)</t>
  </si>
  <si>
    <t>55802081     DDHM - provozní (finanční dary)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</si>
  <si>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</si>
  <si>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</si>
  <si>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</si>
  <si>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</si>
  <si>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</si>
  <si>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</si>
  <si>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</si>
  <si>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</si>
  <si>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</si>
  <si>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</si>
  <si>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</si>
  <si>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</si>
  <si>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</si>
  <si>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</si>
  <si>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</si>
  <si>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</si>
  <si>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60229     Zdr. výkony - ost. ZP sled.položky  OZPI</t>
  </si>
  <si>
    <t>60229290     výkony pojištěncům EHS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</si>
  <si>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</si>
  <si>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</si>
  <si>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</si>
  <si>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</si>
  <si>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</si>
  <si>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</si>
  <si>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</si>
  <si>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</si>
  <si>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64803     Čerpání RF - čerpání fin. darů</t>
  </si>
  <si>
    <t>64803000     čerpání RF - čerpání finančních darů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</si>
  <si>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</si>
  <si>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</si>
  <si>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</si>
  <si>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</si>
  <si>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</si>
  <si>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64924443     znalecké posudky - Znaleký ústav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</si>
  <si>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</si>
  <si>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</si>
  <si>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</si>
  <si>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</si>
  <si>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</si>
  <si>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</si>
  <si>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</si>
  <si>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</si>
  <si>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</si>
  <si>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</si>
  <si>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</si>
  <si>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</si>
  <si>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</si>
  <si>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</si>
  <si>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</si>
  <si>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</si>
  <si>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</si>
  <si>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</si>
  <si>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</si>
  <si>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</si>
  <si>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</si>
  <si>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</si>
  <si>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</si>
  <si>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</si>
  <si>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</si>
  <si>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</si>
  <si>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</si>
  <si>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</si>
  <si>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</si>
  <si>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</si>
  <si>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>Kardiochirurgická klinika</t>
  </si>
  <si>
    <t/>
  </si>
  <si>
    <t>50113007     léky - krev.deriváty ZUL (LEK)</t>
  </si>
  <si>
    <t>Kardiochirurgická klinika Celkem</t>
  </si>
  <si>
    <t>SumaKL</t>
  </si>
  <si>
    <t>5011</t>
  </si>
  <si>
    <t>lůžkové oddělení 50</t>
  </si>
  <si>
    <t>lůžkové oddělení 50 Celkem</t>
  </si>
  <si>
    <t>SumaNS</t>
  </si>
  <si>
    <t>mezeraNS</t>
  </si>
  <si>
    <t>5021</t>
  </si>
  <si>
    <t>ambulance</t>
  </si>
  <si>
    <t>ambulance Celkem</t>
  </si>
  <si>
    <t>5031</t>
  </si>
  <si>
    <t>JIP 50B</t>
  </si>
  <si>
    <t>JIP 50B Celkem</t>
  </si>
  <si>
    <t>5062</t>
  </si>
  <si>
    <t>operační sál - lokální</t>
  </si>
  <si>
    <t>operační sál - lokální Celkem</t>
  </si>
  <si>
    <t>5001</t>
  </si>
  <si>
    <t>vedení klinického pracoviště</t>
  </si>
  <si>
    <t>vedení klinického pracoviště Celkem</t>
  </si>
  <si>
    <t>50113001</t>
  </si>
  <si>
    <t>136083</t>
  </si>
  <si>
    <t>AMPICILLIN AND SULBACTAM IBI 1 G + 500 MG PRÁŠEK P</t>
  </si>
  <si>
    <t>INJ PLV SOL 10X1G+500MG/LAH</t>
  </si>
  <si>
    <t>147982</t>
  </si>
  <si>
    <t>TELMISARTAN-RATIOPHARM 80 MG</t>
  </si>
  <si>
    <t>POR TBL NOB 28X80MG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</si>
  <si>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</si>
  <si>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</si>
  <si>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</si>
  <si>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</si>
  <si>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</si>
  <si>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</si>
  <si>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</si>
  <si>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51367</t>
  </si>
  <si>
    <t>INF SOL 10X250MLPELAH</t>
  </si>
  <si>
    <t>100168</t>
  </si>
  <si>
    <t>168</t>
  </si>
  <si>
    <t>HYDROCHLOROTHIAZID LECIVA</t>
  </si>
  <si>
    <t>TBL 20X25MG</t>
  </si>
  <si>
    <t>100269</t>
  </si>
  <si>
    <t>269</t>
  </si>
  <si>
    <t>PREDNISON 5 LECIVA</t>
  </si>
  <si>
    <t>TBL 20X5MG</t>
  </si>
  <si>
    <t>100362</t>
  </si>
  <si>
    <t>362</t>
  </si>
  <si>
    <t>ADRENALIN LECIVA</t>
  </si>
  <si>
    <t>INJ 5X1ML/1MG</t>
  </si>
  <si>
    <t>100499</t>
  </si>
  <si>
    <t>499</t>
  </si>
  <si>
    <t>MAGNESIUM SULFURICUM BIOTIKA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</si>
  <si>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</si>
  <si>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</si>
  <si>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</si>
  <si>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</si>
  <si>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</si>
  <si>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</si>
  <si>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</si>
  <si>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</si>
  <si>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</si>
  <si>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100720</t>
  </si>
  <si>
    <t>720</t>
  </si>
  <si>
    <t>KANAVIT</t>
  </si>
  <si>
    <t>GTT 1X5ML 20MG/ML</t>
  </si>
  <si>
    <t>101125</t>
  </si>
  <si>
    <t>1125</t>
  </si>
  <si>
    <t>MORPHIN BIOTIKA 1%</t>
  </si>
  <si>
    <t>INJ 10X1ML/10MG</t>
  </si>
  <si>
    <t>101290</t>
  </si>
  <si>
    <t>1290</t>
  </si>
  <si>
    <t>DIAPREL MR</t>
  </si>
  <si>
    <t>TBL RET 60X30MG</t>
  </si>
  <si>
    <t>102133</t>
  </si>
  <si>
    <t>2133</t>
  </si>
  <si>
    <t>FUROSEMID BIOTIKA</t>
  </si>
  <si>
    <t>INJ 5X2ML/20MG</t>
  </si>
  <si>
    <t>102478</t>
  </si>
  <si>
    <t>2478</t>
  </si>
  <si>
    <t>DIAZEPAM SLOVAKOFARMA</t>
  </si>
  <si>
    <t>TBL 20X10MG</t>
  </si>
  <si>
    <t>102479</t>
  </si>
  <si>
    <t>2479</t>
  </si>
  <si>
    <t>DITHIADEN</t>
  </si>
  <si>
    <t>TBL 20X2MG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</si>
  <si>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</si>
  <si>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</si>
  <si>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</si>
  <si>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</si>
  <si>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</si>
  <si>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</si>
  <si>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</si>
  <si>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</si>
  <si>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103575</t>
  </si>
  <si>
    <t>3575</t>
  </si>
  <si>
    <t>HEPAROID LECIVA</t>
  </si>
  <si>
    <t>UNG 1X30GM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</si>
  <si>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</si>
  <si>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</si>
  <si>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</si>
  <si>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</si>
  <si>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</si>
  <si>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</si>
  <si>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</si>
  <si>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</si>
  <si>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</si>
  <si>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</si>
  <si>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NOVALGIN</t>
  </si>
  <si>
    <t>INJ 10X2ML/1000MG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</si>
  <si>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</si>
  <si>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</si>
  <si>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</si>
  <si>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</si>
  <si>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</si>
  <si>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</si>
  <si>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</si>
  <si>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</si>
  <si>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117189</t>
  </si>
  <si>
    <t>17189</t>
  </si>
  <si>
    <t>KALIUM CHLORATUM BIOMEDICA</t>
  </si>
  <si>
    <t>POR TBLFLM100X500MG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</si>
  <si>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</si>
  <si>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</si>
  <si>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</si>
  <si>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</si>
  <si>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</si>
  <si>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</si>
  <si>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</si>
  <si>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</si>
  <si>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</si>
  <si>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</si>
  <si>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</si>
  <si>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130434</t>
  </si>
  <si>
    <t>30434</t>
  </si>
  <si>
    <t>VEROSPIRON</t>
  </si>
  <si>
    <t>TBL 100X25MG</t>
  </si>
  <si>
    <t>132917</t>
  </si>
  <si>
    <t>32917</t>
  </si>
  <si>
    <t>PREDUCTAL MR</t>
  </si>
  <si>
    <t>POR TBL RET 60X35MG</t>
  </si>
  <si>
    <t>146117</t>
  </si>
  <si>
    <t>IBALGIN KRÉM 50G</t>
  </si>
  <si>
    <t>DRM CRM 1X50GM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</si>
  <si>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</si>
  <si>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</si>
  <si>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</si>
  <si>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</si>
  <si>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</si>
  <si>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</si>
  <si>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</si>
  <si>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149013</t>
  </si>
  <si>
    <t>49013</t>
  </si>
  <si>
    <t>SOTAHEXAL 80</t>
  </si>
  <si>
    <t>POR TBL NOB 50X80MG</t>
  </si>
  <si>
    <t>149317</t>
  </si>
  <si>
    <t>49317</t>
  </si>
  <si>
    <t>CALCIUM GLUCONICUM 10% B.BRAUN</t>
  </si>
  <si>
    <t>INJ SOL 20X10ML</t>
  </si>
  <si>
    <t>154150</t>
  </si>
  <si>
    <t>54150</t>
  </si>
  <si>
    <t>EGILOK 25MG</t>
  </si>
  <si>
    <t>TBL 60X25MG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</si>
  <si>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</si>
  <si>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</si>
  <si>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</si>
  <si>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</si>
  <si>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</si>
  <si>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</si>
  <si>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</si>
  <si>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</si>
  <si>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</si>
  <si>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</si>
  <si>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</si>
  <si>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158037</t>
  </si>
  <si>
    <t>58037</t>
  </si>
  <si>
    <t>BETALOC ZOK 50MG</t>
  </si>
  <si>
    <t>TBL RET 30X50MG</t>
  </si>
  <si>
    <t>166555</t>
  </si>
  <si>
    <t>66555</t>
  </si>
  <si>
    <t>MAGNOSOLV</t>
  </si>
  <si>
    <t>GRA 30X6.1GM(SACKY)</t>
  </si>
  <si>
    <t>183270</t>
  </si>
  <si>
    <t>83270</t>
  </si>
  <si>
    <t>EBRANTIL 30 RETARD</t>
  </si>
  <si>
    <t>POR CPS PRO 50X30MG</t>
  </si>
  <si>
    <t>188219</t>
  </si>
  <si>
    <t>88219</t>
  </si>
  <si>
    <t>LEXAURIN</t>
  </si>
  <si>
    <t>TBL 30X3MG</t>
  </si>
  <si>
    <t>188356</t>
  </si>
  <si>
    <t>88356</t>
  </si>
  <si>
    <t>CARDILAN</t>
  </si>
  <si>
    <t>TBL 100X175MG</t>
  </si>
  <si>
    <t>192086</t>
  </si>
  <si>
    <t>92086</t>
  </si>
  <si>
    <t>ROWATINEX</t>
  </si>
  <si>
    <t>GTT 1X10ML</t>
  </si>
  <si>
    <t>192351</t>
  </si>
  <si>
    <t>92351</t>
  </si>
  <si>
    <t>ATROVENT 0.025%</t>
  </si>
  <si>
    <t>INH SOL 1X20ML</t>
  </si>
  <si>
    <t>193105</t>
  </si>
  <si>
    <t>93105</t>
  </si>
  <si>
    <t>DEGAN</t>
  </si>
  <si>
    <t>INJ 50X2ML/10MG</t>
  </si>
  <si>
    <t>193746</t>
  </si>
  <si>
    <t>93746</t>
  </si>
  <si>
    <t>HEPARIN LECIVA</t>
  </si>
  <si>
    <t>INJ 1X10ML/50KU</t>
  </si>
  <si>
    <t>197522</t>
  </si>
  <si>
    <t>97522</t>
  </si>
  <si>
    <t>DETRALEX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</si>
  <si>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</si>
  <si>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</si>
  <si>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</si>
  <si>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</si>
  <si>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</si>
  <si>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</si>
  <si>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</si>
  <si>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</si>
  <si>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</si>
  <si>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395294</t>
  </si>
  <si>
    <t>180306</t>
  </si>
  <si>
    <t>TANTUM VERDE</t>
  </si>
  <si>
    <t>LIQ 1X240ML-PET TR</t>
  </si>
  <si>
    <t>395997</t>
  </si>
  <si>
    <t>DZ SOFTASEPT N BEZBARVÝ 250 ml</t>
  </si>
  <si>
    <t>840220</t>
  </si>
  <si>
    <t>Lactobacillus acidophil.cps.75 bez laktózy</t>
  </si>
  <si>
    <t>841059</t>
  </si>
  <si>
    <t>Indulona olivová ung.100g</t>
  </si>
  <si>
    <t>841535</t>
  </si>
  <si>
    <t>MENALIND Kožní ochranný krém 200 ml</t>
  </si>
  <si>
    <t>841572</t>
  </si>
  <si>
    <t>MENALIND Ubrousky 50ks náhradní náplň</t>
  </si>
  <si>
    <t>844145</t>
  </si>
  <si>
    <t>56350</t>
  </si>
  <si>
    <t>SPECIES UROLOGICAE PLANTA</t>
  </si>
  <si>
    <t>SPC 20X1.5GM(SÁČKY)</t>
  </si>
  <si>
    <t>845008</t>
  </si>
  <si>
    <t>107806</t>
  </si>
  <si>
    <t>AESCIN-TEVA</t>
  </si>
  <si>
    <t>POR TBL FLM 30X20MG</t>
  </si>
  <si>
    <t>845697</t>
  </si>
  <si>
    <t>125599</t>
  </si>
  <si>
    <t>KALNORMIN</t>
  </si>
  <si>
    <t>POR TBL PRO 30X1GM</t>
  </si>
  <si>
    <t>846413</t>
  </si>
  <si>
    <t>57585</t>
  </si>
  <si>
    <t>Espumisan cps.100x40mg-blistr</t>
  </si>
  <si>
    <t>0057585</t>
  </si>
  <si>
    <t>847488</t>
  </si>
  <si>
    <t>107869</t>
  </si>
  <si>
    <t>APO-ALLOPURINOL</t>
  </si>
  <si>
    <t>POR TBL NOB 100X100MG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</si>
  <si>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</si>
  <si>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</si>
  <si>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</si>
  <si>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</si>
  <si>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</si>
  <si>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</si>
  <si>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</si>
  <si>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</si>
  <si>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848632</t>
  </si>
  <si>
    <t>125315</t>
  </si>
  <si>
    <t>TIAPRIDAL</t>
  </si>
  <si>
    <t>INJ SOL 12X2ML/100MG</t>
  </si>
  <si>
    <t>848866</t>
  </si>
  <si>
    <t>119654</t>
  </si>
  <si>
    <t>SORBIFER DURULES</t>
  </si>
  <si>
    <t>POR TBL FLM 100X100MG</t>
  </si>
  <si>
    <t>848930</t>
  </si>
  <si>
    <t>155781</t>
  </si>
  <si>
    <t>GODASAL 100</t>
  </si>
  <si>
    <t>POR TBL NOB 50</t>
  </si>
  <si>
    <t>848950</t>
  </si>
  <si>
    <t>155148</t>
  </si>
  <si>
    <t>PARALEN 500</t>
  </si>
  <si>
    <t>POR TBL NOB 12X500MG</t>
  </si>
  <si>
    <t>849561</t>
  </si>
  <si>
    <t>125060</t>
  </si>
  <si>
    <t>APO-AMLO 5</t>
  </si>
  <si>
    <t>POR TBL NOB 30X5MG</t>
  </si>
  <si>
    <t>849941</t>
  </si>
  <si>
    <t>162142</t>
  </si>
  <si>
    <t>POR TBL NOB 24X500MG</t>
  </si>
  <si>
    <t>930065</t>
  </si>
  <si>
    <t>DZ PRONTOSAN ROZTOK 350ml</t>
  </si>
  <si>
    <t>53761</t>
  </si>
  <si>
    <t>NEBILET</t>
  </si>
  <si>
    <t>POR TBL NOB 28X5MG</t>
  </si>
  <si>
    <t>100489</t>
  </si>
  <si>
    <t>489</t>
  </si>
  <si>
    <t>INJ 5X1ML/10MG</t>
  </si>
  <si>
    <t>100536</t>
  </si>
  <si>
    <t>536</t>
  </si>
  <si>
    <t>NORADRENALIN LECIVA</t>
  </si>
  <si>
    <t>109139</t>
  </si>
  <si>
    <t>176129</t>
  </si>
  <si>
    <t>HEMINEVRIN 300 MG</t>
  </si>
  <si>
    <t>POR CPS MOL 100X300MG</t>
  </si>
  <si>
    <t>110086</t>
  </si>
  <si>
    <t>10086</t>
  </si>
  <si>
    <t>NEODOLPASSE</t>
  </si>
  <si>
    <t>INF 10X250ML</t>
  </si>
  <si>
    <t>118305</t>
  </si>
  <si>
    <t>18305</t>
  </si>
  <si>
    <t>RINGERFUNDIN B.BRAUN</t>
  </si>
  <si>
    <t>INF SOL10X1000ML PE</t>
  </si>
  <si>
    <t>155824</t>
  </si>
  <si>
    <t>55824</t>
  </si>
  <si>
    <t>INJ 5X5ML/2500MG</t>
  </si>
  <si>
    <t>157866</t>
  </si>
  <si>
    <t>57866</t>
  </si>
  <si>
    <t>TOBRADEX</t>
  </si>
  <si>
    <t>GTT OPH 1X5ML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</si>
  <si>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</si>
  <si>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</si>
  <si>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</si>
  <si>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</si>
  <si>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</si>
  <si>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</si>
  <si>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</si>
  <si>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</si>
  <si>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</si>
  <si>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</si>
  <si>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ERDOMED 300MG</t>
  </si>
  <si>
    <t>CPS 10X300MG</t>
  </si>
  <si>
    <t>194919</t>
  </si>
  <si>
    <t>94919</t>
  </si>
  <si>
    <t>AMBROBENE 7.5MG/ML</t>
  </si>
  <si>
    <t>SOL 1X40ML</t>
  </si>
  <si>
    <t>394130</t>
  </si>
  <si>
    <t>B-komplex Zentiva 30drg</t>
  </si>
  <si>
    <t>841541</t>
  </si>
  <si>
    <t>MENALIND Mycí emulze 500ml</t>
  </si>
  <si>
    <t>848625</t>
  </si>
  <si>
    <t>138841</t>
  </si>
  <si>
    <t>DORETA 37,5 MG/325 MG</t>
  </si>
  <si>
    <t>POR TBL FLM 30</t>
  </si>
  <si>
    <t>849087</t>
  </si>
  <si>
    <t>138840</t>
  </si>
  <si>
    <t>POR TBL FLM 20</t>
  </si>
  <si>
    <t>849276</t>
  </si>
  <si>
    <t>155875</t>
  </si>
  <si>
    <t>TRENTAL</t>
  </si>
  <si>
    <t>INF SOL 5X5ML/100MG</t>
  </si>
  <si>
    <t>102684</t>
  </si>
  <si>
    <t>2684</t>
  </si>
  <si>
    <t>GEL 1X20GM</t>
  </si>
  <si>
    <t>109210</t>
  </si>
  <si>
    <t>9210</t>
  </si>
  <si>
    <t>LEKOPTIN</t>
  </si>
  <si>
    <t>INJ 50X2ML/5MG</t>
  </si>
  <si>
    <t>100409</t>
  </si>
  <si>
    <t>409</t>
  </si>
  <si>
    <t>CALCIUM CHLORATUM BIOTIKA</t>
  </si>
  <si>
    <t>INJ 5X10ML 10%</t>
  </si>
  <si>
    <t>194852</t>
  </si>
  <si>
    <t>94852</t>
  </si>
  <si>
    <t>SOLUVIT N PRO INFUS.</t>
  </si>
  <si>
    <t>INJ SIC 10</t>
  </si>
  <si>
    <t>841550</t>
  </si>
  <si>
    <t>Emspoma Z 300 ml/proti bolesti</t>
  </si>
  <si>
    <t>114926</t>
  </si>
  <si>
    <t>14926</t>
  </si>
  <si>
    <t>INHIBACE 2.5 MG</t>
  </si>
  <si>
    <t>POR TBL FLM28X2.5MG</t>
  </si>
  <si>
    <t>183730</t>
  </si>
  <si>
    <t>83730</t>
  </si>
  <si>
    <t>GOPTEN 2MG</t>
  </si>
  <si>
    <t>CPS 28X2MG</t>
  </si>
  <si>
    <t>705048</t>
  </si>
  <si>
    <t>Emspoma Z 200ml/proti bolesti tuba</t>
  </si>
  <si>
    <t>777144</t>
  </si>
  <si>
    <t>Emspoma Z 500g/proti bolesti</t>
  </si>
  <si>
    <t>790011</t>
  </si>
  <si>
    <t>Emspoma M 500g/chladivá</t>
  </si>
  <si>
    <t>108499</t>
  </si>
  <si>
    <t>8499</t>
  </si>
  <si>
    <t>DIPIDOLOR</t>
  </si>
  <si>
    <t>INJ 5X2ML 7.5MG/ML</t>
  </si>
  <si>
    <t>169724</t>
  </si>
  <si>
    <t>69724</t>
  </si>
  <si>
    <t>ARDEAELYTOSOL NA.HYDR.CARB.4.2%</t>
  </si>
  <si>
    <t>INF 1X80ML</t>
  </si>
  <si>
    <t>848725</t>
  </si>
  <si>
    <t>107677</t>
  </si>
  <si>
    <t>KALIUMCHLORID 7.45% BRAUN</t>
  </si>
  <si>
    <t>INF CNC SOL 20X100ML</t>
  </si>
  <si>
    <t>849390</t>
  </si>
  <si>
    <t>163314</t>
  </si>
  <si>
    <t>ATROPIN-POS 0,5% gtt.</t>
  </si>
  <si>
    <t>GTT. OPh .1 x 10 ml</t>
  </si>
  <si>
    <t>128786</t>
  </si>
  <si>
    <t>28786</t>
  </si>
  <si>
    <t>TOVIAZ 4 MG</t>
  </si>
  <si>
    <t>POR TBL PRO 28X4MG</t>
  </si>
  <si>
    <t>845813</t>
  </si>
  <si>
    <t>Deca durabolin 50mg amp.1x1ml</t>
  </si>
  <si>
    <t>900071</t>
  </si>
  <si>
    <t>KL TBL MAGN.LACT 0,5G+B6 0,02G, 100TBL</t>
  </si>
  <si>
    <t>844148</t>
  </si>
  <si>
    <t>104694</t>
  </si>
  <si>
    <t>MUCOSOLVAN PRO DOSPĚLÉ</t>
  </si>
  <si>
    <t>POR SIR 1X100ML</t>
  </si>
  <si>
    <t>844350</t>
  </si>
  <si>
    <t>KL ETHANOL.C.BENZINO 160G</t>
  </si>
  <si>
    <t>920200</t>
  </si>
  <si>
    <t>15877</t>
  </si>
  <si>
    <t>DZ BRAUNOL 1 L</t>
  </si>
  <si>
    <t>840572</t>
  </si>
  <si>
    <t>Sonografický gel Vita 520ml</t>
  </si>
  <si>
    <t>921284</t>
  </si>
  <si>
    <t>KL ETHER 180G</t>
  </si>
  <si>
    <t>101674</t>
  </si>
  <si>
    <t>1674</t>
  </si>
  <si>
    <t>JOX SPR 30ML</t>
  </si>
  <si>
    <t>168903</t>
  </si>
  <si>
    <t>XARELTO 20 MG</t>
  </si>
  <si>
    <t>POR TBL FLM 28X20MG</t>
  </si>
  <si>
    <t>120159</t>
  </si>
  <si>
    <t>20159</t>
  </si>
  <si>
    <t>MONOTAB 20</t>
  </si>
  <si>
    <t>POR TBL NOB 20X20MG</t>
  </si>
  <si>
    <t>920065</t>
  </si>
  <si>
    <t>KL SOL.METHYLROS.CHL.1% 100G</t>
  </si>
  <si>
    <t>176954</t>
  </si>
  <si>
    <t>ALGIFEN NEO</t>
  </si>
  <si>
    <t>POR GTT SOL 1X50ML</t>
  </si>
  <si>
    <t>200863</t>
  </si>
  <si>
    <t>OPHTHALMO-SEPTONEX</t>
  </si>
  <si>
    <t>OPH GTT SOL 1X10ML PLAST</t>
  </si>
  <si>
    <t>395712</t>
  </si>
  <si>
    <t>HBF Calcium panthotenát mast 30g</t>
  </si>
  <si>
    <t>397174</t>
  </si>
  <si>
    <t>IR  PosiFlush  1x 10 ml  Fresenius Kabi</t>
  </si>
  <si>
    <t>10 ml F1/1 v předplněné stříkačce</t>
  </si>
  <si>
    <t>198058</t>
  </si>
  <si>
    <t>SANVAL 10 MG</t>
  </si>
  <si>
    <t>POR TBL FLM 100X10MG</t>
  </si>
  <si>
    <t>P</t>
  </si>
  <si>
    <t>49115</t>
  </si>
  <si>
    <t>CONTROLOC 20 MG</t>
  </si>
  <si>
    <t>POR TBL ENT 100X20MG</t>
  </si>
  <si>
    <t>56972</t>
  </si>
  <si>
    <t>TRITACE 1,25 MG</t>
  </si>
  <si>
    <t>POR TBL NOB 20X1.25MG</t>
  </si>
  <si>
    <t>56976</t>
  </si>
  <si>
    <t>TRITACE 2,5 MG</t>
  </si>
  <si>
    <t>POR TBL NOB 20X2.5MG</t>
  </si>
  <si>
    <t>105496</t>
  </si>
  <si>
    <t>5496</t>
  </si>
  <si>
    <t>ZODAC</t>
  </si>
  <si>
    <t>TBL OBD 60X10MG</t>
  </si>
  <si>
    <t>113767</t>
  </si>
  <si>
    <t>13767</t>
  </si>
  <si>
    <t>CORDARONE</t>
  </si>
  <si>
    <t>POR TBL NOB30X200MG</t>
  </si>
  <si>
    <t>114439</t>
  </si>
  <si>
    <t>14439</t>
  </si>
  <si>
    <t>FOKUSIN</t>
  </si>
  <si>
    <t>POR CPS RDR30X0.4MG</t>
  </si>
  <si>
    <t>115864</t>
  </si>
  <si>
    <t>15864</t>
  </si>
  <si>
    <t>TRITACE 10</t>
  </si>
  <si>
    <t>POR TBL NOB 30X10MG</t>
  </si>
  <si>
    <t>117121</t>
  </si>
  <si>
    <t>17121</t>
  </si>
  <si>
    <t>LANZUL</t>
  </si>
  <si>
    <t>CPS 28X30MG</t>
  </si>
  <si>
    <t>125034</t>
  </si>
  <si>
    <t>25034</t>
  </si>
  <si>
    <t>DORMICUM</t>
  </si>
  <si>
    <t>INJ SOL 10X1ML/5MG</t>
  </si>
  <si>
    <t>126409</t>
  </si>
  <si>
    <t>26409</t>
  </si>
  <si>
    <t>ARIXTRA</t>
  </si>
  <si>
    <t>INJ SOL 10X0.5ML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</si>
  <si>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</si>
  <si>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</si>
  <si>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</si>
  <si>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</si>
  <si>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</si>
  <si>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</si>
  <si>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</si>
  <si>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</si>
  <si>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</si>
  <si>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</si>
  <si>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140368</t>
  </si>
  <si>
    <t>40368</t>
  </si>
  <si>
    <t>MEDROL 4 MG</t>
  </si>
  <si>
    <t>POR TBL NOB30X4MG-L</t>
  </si>
  <si>
    <t>147740</t>
  </si>
  <si>
    <t>47740</t>
  </si>
  <si>
    <t>RIVOCOR 5</t>
  </si>
  <si>
    <t>POR TBL FLM 30X5MG</t>
  </si>
  <si>
    <t>147741</t>
  </si>
  <si>
    <t>47741</t>
  </si>
  <si>
    <t>RIVOCOR 10</t>
  </si>
  <si>
    <t>POR TBL FLM 30X10MG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</si>
  <si>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</si>
  <si>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</si>
  <si>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</si>
  <si>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</si>
  <si>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</si>
  <si>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</si>
  <si>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</si>
  <si>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</si>
  <si>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</si>
  <si>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</si>
  <si>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</si>
  <si>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</si>
  <si>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</si>
  <si>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</si>
  <si>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</si>
  <si>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159806</t>
  </si>
  <si>
    <t>59806</t>
  </si>
  <si>
    <t>FRAXIPARINE FORTE</t>
  </si>
  <si>
    <t>INJ 10X0.6ML/11.4KU</t>
  </si>
  <si>
    <t>159808</t>
  </si>
  <si>
    <t>59808</t>
  </si>
  <si>
    <t>INJ 10X0.8ML/15.2KU</t>
  </si>
  <si>
    <t>166759</t>
  </si>
  <si>
    <t>KINITO 50 MG, POTAHOVANÉ TABLETY</t>
  </si>
  <si>
    <t>POR TBL FLM 40X50MG</t>
  </si>
  <si>
    <t>190957</t>
  </si>
  <si>
    <t>90957</t>
  </si>
  <si>
    <t>XANAX</t>
  </si>
  <si>
    <t>TBL 30X0.25MG</t>
  </si>
  <si>
    <t>193016</t>
  </si>
  <si>
    <t>93016</t>
  </si>
  <si>
    <t>SORTIS 20MG</t>
  </si>
  <si>
    <t>TBL OBD 30X20MG</t>
  </si>
  <si>
    <t>194114</t>
  </si>
  <si>
    <t>94114</t>
  </si>
  <si>
    <t>WARFARIN</t>
  </si>
  <si>
    <t>TBL 100X5MG</t>
  </si>
  <si>
    <t>845220</t>
  </si>
  <si>
    <t>101211</t>
  </si>
  <si>
    <t>PRESTARIUM NEO</t>
  </si>
  <si>
    <t>POR TBL FLM 90X5MG</t>
  </si>
  <si>
    <t>848765</t>
  </si>
  <si>
    <t>107938</t>
  </si>
  <si>
    <t>INJ SOL 6X3ML/150MG</t>
  </si>
  <si>
    <t>849453</t>
  </si>
  <si>
    <t>163077</t>
  </si>
  <si>
    <t>AMARYL 2 MG</t>
  </si>
  <si>
    <t>POR TBL NOB 30X2MG</t>
  </si>
  <si>
    <t>849990</t>
  </si>
  <si>
    <t>102596</t>
  </si>
  <si>
    <t>CARVESAN 6,25</t>
  </si>
  <si>
    <t>POR TBL NOB 30X6,25MG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</si>
  <si>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</si>
  <si>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</si>
  <si>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</si>
  <si>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</si>
  <si>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</si>
  <si>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</si>
  <si>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</si>
  <si>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</si>
  <si>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</si>
  <si>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</si>
  <si>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</si>
  <si>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</si>
  <si>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142546</t>
  </si>
  <si>
    <t>42546</t>
  </si>
  <si>
    <t>LACTULOSE AL SIRUP</t>
  </si>
  <si>
    <t>POR SIR 1X200ML</t>
  </si>
  <si>
    <t>158191</t>
  </si>
  <si>
    <t>TELMISARTAN SANDOZ 80 MG</t>
  </si>
  <si>
    <t>POR TBL NOB 30X80MG</t>
  </si>
  <si>
    <t>169189</t>
  </si>
  <si>
    <t>69189</t>
  </si>
  <si>
    <t>EUTHYROX 50</t>
  </si>
  <si>
    <t>TBL 100X50RG</t>
  </si>
  <si>
    <t>193019</t>
  </si>
  <si>
    <t>93019</t>
  </si>
  <si>
    <t>SORTIS 40MG</t>
  </si>
  <si>
    <t>TBL OBD 30X40MG</t>
  </si>
  <si>
    <t>846340</t>
  </si>
  <si>
    <t>122690</t>
  </si>
  <si>
    <t>PRESTARIUM NEO COMBI 5mg/1,25mg</t>
  </si>
  <si>
    <t>POR TBL FLM 90</t>
  </si>
  <si>
    <t>849187</t>
  </si>
  <si>
    <t>111902</t>
  </si>
  <si>
    <t>NITRESAN 20 MG</t>
  </si>
  <si>
    <t>POR TBL NOB 30X20MG</t>
  </si>
  <si>
    <t>118167</t>
  </si>
  <si>
    <t>18167</t>
  </si>
  <si>
    <t>PROPOFOL 1% MCT/LCT FRESENIUS</t>
  </si>
  <si>
    <t>INJ EML 5X20ML</t>
  </si>
  <si>
    <t>848923</t>
  </si>
  <si>
    <t>148076</t>
  </si>
  <si>
    <t>ROSUCARD 40 MG POTAHOVANÉ TABLETY</t>
  </si>
  <si>
    <t>POR TBL FLM 30X40MG</t>
  </si>
  <si>
    <t>132058</t>
  </si>
  <si>
    <t>32058</t>
  </si>
  <si>
    <t>INJ SOL 10X0.3ML</t>
  </si>
  <si>
    <t>132059</t>
  </si>
  <si>
    <t>32059</t>
  </si>
  <si>
    <t>INJ SOL 10X0.4ML</t>
  </si>
  <si>
    <t>849666</t>
  </si>
  <si>
    <t>119688</t>
  </si>
  <si>
    <t>POR TBL ENT 100X40MG</t>
  </si>
  <si>
    <t>115010</t>
  </si>
  <si>
    <t>15010</t>
  </si>
  <si>
    <t>DORMICUM 15 MG</t>
  </si>
  <si>
    <t>TBL OBD 10X15MG</t>
  </si>
  <si>
    <t>849578</t>
  </si>
  <si>
    <t>149480</t>
  </si>
  <si>
    <t>ZYLLT 75 MG</t>
  </si>
  <si>
    <t>POR TBL FLM 28X75MG</t>
  </si>
  <si>
    <t>191922</t>
  </si>
  <si>
    <t>SIOFOR 1000</t>
  </si>
  <si>
    <t>POR TBL FLM 60X1000MG</t>
  </si>
  <si>
    <t>846141</t>
  </si>
  <si>
    <t>107794</t>
  </si>
  <si>
    <t>ZOXON 4</t>
  </si>
  <si>
    <t>POR TBL NOB 90X4MG</t>
  </si>
  <si>
    <t>119592</t>
  </si>
  <si>
    <t>19592</t>
  </si>
  <si>
    <t>TORVACARD 20</t>
  </si>
  <si>
    <t>50113006</t>
  </si>
  <si>
    <t>110996</t>
  </si>
  <si>
    <t>10996</t>
  </si>
  <si>
    <t>NUTRIFLEX PLUS</t>
  </si>
  <si>
    <t>INF SOL 5X2000ML</t>
  </si>
  <si>
    <t>841761</t>
  </si>
  <si>
    <t>PreOp 4x200ml</t>
  </si>
  <si>
    <t>501394</t>
  </si>
  <si>
    <t>152199</t>
  </si>
  <si>
    <t>NUTRIFLEX OMEGA plus 2 500 ml</t>
  </si>
  <si>
    <t>INF EML 5X2500ML</t>
  </si>
  <si>
    <t>133331</t>
  </si>
  <si>
    <t>33331</t>
  </si>
  <si>
    <t>NUTRIDRINK BALÍČEK 5+1</t>
  </si>
  <si>
    <t>POR SOL 6X200ML</t>
  </si>
  <si>
    <t>33751</t>
  </si>
  <si>
    <t>NUTRIDRINK CREME S PŘÍCHUTÍ ČOKOLÁDOVOU</t>
  </si>
  <si>
    <t>POR SOL 4X125GM</t>
  </si>
  <si>
    <t>848362</t>
  </si>
  <si>
    <t>33488</t>
  </si>
  <si>
    <t>NUTRIDRINK PROTEIN S PŘÍCHUTÍ VANILKOVOU</t>
  </si>
  <si>
    <t>POR SOL 1X200ML</t>
  </si>
  <si>
    <t>987792</t>
  </si>
  <si>
    <t>33749</t>
  </si>
  <si>
    <t>NUTRIDRINK CREME S PŘÍCHUTÍ BANÁNOVOU</t>
  </si>
  <si>
    <t>33833</t>
  </si>
  <si>
    <t>DIASIP S PŘÍCHUTÍ CAPPUCCINO</t>
  </si>
  <si>
    <t>POR SOL 4X200ML</t>
  </si>
  <si>
    <t>50113013</t>
  </si>
  <si>
    <t>153922</t>
  </si>
  <si>
    <t>53922</t>
  </si>
  <si>
    <t>CIPHIN PRO INFUSION.200MG/100ML</t>
  </si>
  <si>
    <t>INF 1X100ML/200MG</t>
  </si>
  <si>
    <t>102427</t>
  </si>
  <si>
    <t>2427</t>
  </si>
  <si>
    <t>ENTIZOL</t>
  </si>
  <si>
    <t>TBL 20X250MG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</si>
  <si>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</si>
  <si>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</si>
  <si>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</si>
  <si>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</si>
  <si>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</si>
  <si>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</si>
  <si>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</si>
  <si>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</si>
  <si>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153202</t>
  </si>
  <si>
    <t>53202</t>
  </si>
  <si>
    <t>CIPHIN 500</t>
  </si>
  <si>
    <t>TBL OBD 10X500MG</t>
  </si>
  <si>
    <t>111706</t>
  </si>
  <si>
    <t>11706</t>
  </si>
  <si>
    <t>BISEPTOL 480</t>
  </si>
  <si>
    <t>INJ 10X5ML</t>
  </si>
  <si>
    <t>162187</t>
  </si>
  <si>
    <t>CIPROFLOXACIN KABI 400 MG/200 ML INFUZNÍ ROZTOK</t>
  </si>
  <si>
    <t>INF SOL 10X400MG/200ML</t>
  </si>
  <si>
    <t>105951</t>
  </si>
  <si>
    <t>5951</t>
  </si>
  <si>
    <t>AMOKSIKLAV 1G</t>
  </si>
  <si>
    <t>TBL OBD 14X1GM</t>
  </si>
  <si>
    <t>116600</t>
  </si>
  <si>
    <t>16600</t>
  </si>
  <si>
    <t>INJ PLV SOL 1X1.5GM</t>
  </si>
  <si>
    <t>158092</t>
  </si>
  <si>
    <t>58092</t>
  </si>
  <si>
    <t>CEFAZOLIN SANDOZ 1 G</t>
  </si>
  <si>
    <t>INJ SIC 10X1GM</t>
  </si>
  <si>
    <t>172972</t>
  </si>
  <si>
    <t>72972</t>
  </si>
  <si>
    <t>AMOKSIKLAV 1.2GM</t>
  </si>
  <si>
    <t>INJ SIC 5X1.2GM</t>
  </si>
  <si>
    <t>103902</t>
  </si>
  <si>
    <t>3902</t>
  </si>
  <si>
    <t>ZYVOXID</t>
  </si>
  <si>
    <t>POR TBL FLM10X600MG</t>
  </si>
  <si>
    <t>162180</t>
  </si>
  <si>
    <t>CIPROFLOXACIN KABI 200 MG/100 ML INFUZNÍ ROZTOK</t>
  </si>
  <si>
    <t>INF SOL 10X200MG/100ML</t>
  </si>
  <si>
    <t>166265</t>
  </si>
  <si>
    <t>VANCOMYCIN MYLAN 500 MG</t>
  </si>
  <si>
    <t>INF PLV SOL 1X500MG</t>
  </si>
  <si>
    <t>166269</t>
  </si>
  <si>
    <t>VANCOMYCIN MYLAN 1000 MG</t>
  </si>
  <si>
    <t>INF PLV SOL 1X1GM</t>
  </si>
  <si>
    <t>185526</t>
  </si>
  <si>
    <t>85526</t>
  </si>
  <si>
    <t>SUFENTA FORTE I.V.</t>
  </si>
  <si>
    <t>INJ 5X1ML/0.05MG</t>
  </si>
  <si>
    <t>129027</t>
  </si>
  <si>
    <t>PROPOFOL-LIPURO 1 % (10MG/ML)</t>
  </si>
  <si>
    <t>INJ+INF EML 10X100ML/1000MG</t>
  </si>
  <si>
    <t>24550</t>
  </si>
  <si>
    <t>ONDANSETRON KABI 2 MG/ML</t>
  </si>
  <si>
    <t>INJ SOL 5X4ML</t>
  </si>
  <si>
    <t>47244</t>
  </si>
  <si>
    <t>GLUKÓZA 5 BRAUN</t>
  </si>
  <si>
    <t>47249</t>
  </si>
  <si>
    <t>INF SOL 10X250ML-PE</t>
  </si>
  <si>
    <t>47256</t>
  </si>
  <si>
    <t>INF SOL 20X100ML-PE</t>
  </si>
  <si>
    <t>109159</t>
  </si>
  <si>
    <t>9159</t>
  </si>
  <si>
    <t>HYLAK FORTE</t>
  </si>
  <si>
    <t>GTT 1X100ML</t>
  </si>
  <si>
    <t>132992</t>
  </si>
  <si>
    <t>32992</t>
  </si>
  <si>
    <t>ATROVENT N</t>
  </si>
  <si>
    <t>INH SOL PSS200X20RG</t>
  </si>
  <si>
    <t>144305</t>
  </si>
  <si>
    <t>44305</t>
  </si>
  <si>
    <t>EUPHYLLIN CR N 200</t>
  </si>
  <si>
    <t>CPS RET 50X200MG</t>
  </si>
  <si>
    <t>158746</t>
  </si>
  <si>
    <t>58746</t>
  </si>
  <si>
    <t>KARDEGIC 0.5 G</t>
  </si>
  <si>
    <t>INJ PSO LQF 6+SOL</t>
  </si>
  <si>
    <t>159941</t>
  </si>
  <si>
    <t>59941</t>
  </si>
  <si>
    <t>SMECTA</t>
  </si>
  <si>
    <t>PLV POR 1X30SACKU</t>
  </si>
  <si>
    <t>183974</t>
  </si>
  <si>
    <t>83974</t>
  </si>
  <si>
    <t>BETALOC</t>
  </si>
  <si>
    <t>INJ 5X5ML/5MG</t>
  </si>
  <si>
    <t>184284</t>
  </si>
  <si>
    <t>CONCOR COMBI 5 MG/5 MG</t>
  </si>
  <si>
    <t>POR TBL NOB 30</t>
  </si>
  <si>
    <t>184700</t>
  </si>
  <si>
    <t>84700</t>
  </si>
  <si>
    <t>OTOBACID N</t>
  </si>
  <si>
    <t>AUR GTT SOL 1X5ML</t>
  </si>
  <si>
    <t>185656</t>
  </si>
  <si>
    <t>85656</t>
  </si>
  <si>
    <t>DORSIFLEX</t>
  </si>
  <si>
    <t>TBL 30X200MG</t>
  </si>
  <si>
    <t>188217</t>
  </si>
  <si>
    <t>88217</t>
  </si>
  <si>
    <t>TBL 30X1.5MG</t>
  </si>
  <si>
    <t>192853</t>
  </si>
  <si>
    <t>POR CPS DUR 20X2MG</t>
  </si>
  <si>
    <t>199333</t>
  </si>
  <si>
    <t>99333</t>
  </si>
  <si>
    <t>FUROSEMID BIOTIKA FORTE</t>
  </si>
  <si>
    <t>INJ 10X10ML/125MG</t>
  </si>
  <si>
    <t>843905</t>
  </si>
  <si>
    <t>103391</t>
  </si>
  <si>
    <t>MUCOSOLVAN</t>
  </si>
  <si>
    <t>POR GTT SOL+INH SOL 60ML</t>
  </si>
  <si>
    <t>844960</t>
  </si>
  <si>
    <t>125114</t>
  </si>
  <si>
    <t>TBL 60X100 MG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</si>
  <si>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</si>
  <si>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</si>
  <si>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</si>
  <si>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</si>
  <si>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</si>
  <si>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</si>
  <si>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</si>
  <si>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850552</t>
  </si>
  <si>
    <t>167852</t>
  </si>
  <si>
    <t>TWYNSTA 80 MG/5 MG</t>
  </si>
  <si>
    <t>850602</t>
  </si>
  <si>
    <t>Sonogel na ultrazvuk 500ml</t>
  </si>
  <si>
    <t>900441</t>
  </si>
  <si>
    <t>KL ETHER  LÉKOPISNÝ 1000 ml Fagron, Kulich</t>
  </si>
  <si>
    <t>jednotka 1 ks   UN 1155</t>
  </si>
  <si>
    <t>905097</t>
  </si>
  <si>
    <t>158767</t>
  </si>
  <si>
    <t>DZ OCTENISEPT 250 ml</t>
  </si>
  <si>
    <t>sprej</t>
  </si>
  <si>
    <t>987465</t>
  </si>
  <si>
    <t>Menalind vlhké ošetř.ubrousky 50ks náhradní náplň</t>
  </si>
  <si>
    <t>988179</t>
  </si>
  <si>
    <t>SUPP.GLYCERINI SANOVA Glycerín.čípky Extra 3g 10ks</t>
  </si>
  <si>
    <t>51384</t>
  </si>
  <si>
    <t>INF SOL 10X1000MLPLAH</t>
  </si>
  <si>
    <t>100394</t>
  </si>
  <si>
    <t>394</t>
  </si>
  <si>
    <t>ATROPIN BIOTIKA 1MG</t>
  </si>
  <si>
    <t>INJ 10X1ML/1MG</t>
  </si>
  <si>
    <t>111337</t>
  </si>
  <si>
    <t>52421</t>
  </si>
  <si>
    <t>GERATAM 3 G</t>
  </si>
  <si>
    <t>INJ SOL 4X15ML/3GM</t>
  </si>
  <si>
    <t>145981</t>
  </si>
  <si>
    <t>45981</t>
  </si>
  <si>
    <t>CERNEVIT</t>
  </si>
  <si>
    <t>INJ PLV SOL10X750MG</t>
  </si>
  <si>
    <t>159357</t>
  </si>
  <si>
    <t>59357</t>
  </si>
  <si>
    <t>RINGERUV ROZTOK BRAUN</t>
  </si>
  <si>
    <t>INF 10X500ML(LDPE)</t>
  </si>
  <si>
    <t>193724</t>
  </si>
  <si>
    <t>93724</t>
  </si>
  <si>
    <t>INDOMETACIN 100 BERLIN-CHEMIE</t>
  </si>
  <si>
    <t>SUP 10X100MG</t>
  </si>
  <si>
    <t>848172</t>
  </si>
  <si>
    <t>Biopron9  Premium tob.60</t>
  </si>
  <si>
    <t>900240</t>
  </si>
  <si>
    <t>DZ TRIXO LIND 500ML</t>
  </si>
  <si>
    <t>843056</t>
  </si>
  <si>
    <t>Sanimed indiferentní gel 500ml</t>
  </si>
  <si>
    <t>100874</t>
  </si>
  <si>
    <t>874</t>
  </si>
  <si>
    <t>OPHTHALMO-AZULEN</t>
  </si>
  <si>
    <t>UNG OPH 1X5GM</t>
  </si>
  <si>
    <t>112319</t>
  </si>
  <si>
    <t>12319</t>
  </si>
  <si>
    <t>TRANSMETIL 500MG INJEKCE</t>
  </si>
  <si>
    <t>INJ SIC 5X500MG+5ML</t>
  </si>
  <si>
    <t>159398</t>
  </si>
  <si>
    <t>59398</t>
  </si>
  <si>
    <t>TRACUTIL</t>
  </si>
  <si>
    <t>INF 5X10ML</t>
  </si>
  <si>
    <t>162597</t>
  </si>
  <si>
    <t>62597</t>
  </si>
  <si>
    <t>ENAP I.V.</t>
  </si>
  <si>
    <t>INJ 5X1ML/1.25MG</t>
  </si>
  <si>
    <t>169725</t>
  </si>
  <si>
    <t>69725</t>
  </si>
  <si>
    <t>ARDEAELYTOSOL NA.HYDR.CARB.8.4%</t>
  </si>
  <si>
    <t>169789</t>
  </si>
  <si>
    <t>69789</t>
  </si>
  <si>
    <t>INF 1X500ML</t>
  </si>
  <si>
    <t>187822</t>
  </si>
  <si>
    <t>87822</t>
  </si>
  <si>
    <t>ARDUAN</t>
  </si>
  <si>
    <t>INJ SIC 25X4MG+2ML</t>
  </si>
  <si>
    <t>194916</t>
  </si>
  <si>
    <t>94916</t>
  </si>
  <si>
    <t>AMBROBENE</t>
  </si>
  <si>
    <t>INJ 5X2ML/15MG</t>
  </si>
  <si>
    <t>902087</t>
  </si>
  <si>
    <t>IR  CITRALYSAT K2 5000 ml</t>
  </si>
  <si>
    <t>dialys.rozt.</t>
  </si>
  <si>
    <t>100392</t>
  </si>
  <si>
    <t>392</t>
  </si>
  <si>
    <t>ATROPIN BIOTIKA 0.5MG</t>
  </si>
  <si>
    <t>INJ 10X1ML/0.5MG</t>
  </si>
  <si>
    <t>113373</t>
  </si>
  <si>
    <t>154858</t>
  </si>
  <si>
    <t xml:space="preserve">PROTAMIN MEDA AMPULLEN </t>
  </si>
  <si>
    <t>INJ 5X5ML/5KU</t>
  </si>
  <si>
    <t>117011</t>
  </si>
  <si>
    <t>17011</t>
  </si>
  <si>
    <t>DICYNONE 250</t>
  </si>
  <si>
    <t>INJ SOL 4X2ML/250MG</t>
  </si>
  <si>
    <t>169671</t>
  </si>
  <si>
    <t>69671</t>
  </si>
  <si>
    <t>INJECTIO PROCAIN.CHLOR.0.2% ARD</t>
  </si>
  <si>
    <t>INJ 1X500ML 0.2%</t>
  </si>
  <si>
    <t>394712</t>
  </si>
  <si>
    <t>IR  AQUA STERILE OPLACH.1x1000 ml ECOTAINER</t>
  </si>
  <si>
    <t>IR OPLACH</t>
  </si>
  <si>
    <t>104178</t>
  </si>
  <si>
    <t>4178</t>
  </si>
  <si>
    <t>TRIAMCINOLON E LECIVA</t>
  </si>
  <si>
    <t>UNG 1X20GM</t>
  </si>
  <si>
    <t>180988</t>
  </si>
  <si>
    <t>GENTADEX 5 MG/ML + 1 MG/ML</t>
  </si>
  <si>
    <t>OPH GTT SOL 1X5ML</t>
  </si>
  <si>
    <t>840987</t>
  </si>
  <si>
    <t>IR  AQUA STERILE OPLACH.6x1000 ml</t>
  </si>
  <si>
    <t>IR OPLACH-FR</t>
  </si>
  <si>
    <t>843217</t>
  </si>
  <si>
    <t>CATAPRES 0,15MG INJ</t>
  </si>
  <si>
    <t>INJ 5X1ML/0.15MG</t>
  </si>
  <si>
    <t>58880</t>
  </si>
  <si>
    <t>DOLMINA 100 SR</t>
  </si>
  <si>
    <t>POR TBL PRO 20X100MG</t>
  </si>
  <si>
    <t>102132</t>
  </si>
  <si>
    <t>2132</t>
  </si>
  <si>
    <t>INJ 10X10ML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</si>
  <si>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</si>
  <si>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</si>
  <si>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</si>
  <si>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</si>
  <si>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</si>
  <si>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</si>
  <si>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</si>
  <si>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850729</t>
  </si>
  <si>
    <t>157875</t>
  </si>
  <si>
    <t>PARACETAMOL KABI 10MG/ML</t>
  </si>
  <si>
    <t>INF SOL 10X100ML/1000MG</t>
  </si>
  <si>
    <t>155911</t>
  </si>
  <si>
    <t>55911</t>
  </si>
  <si>
    <t>PEROXID VODÍKU 3% COO</t>
  </si>
  <si>
    <t>DRM SOL 1X100ML 3%</t>
  </si>
  <si>
    <t>850675</t>
  </si>
  <si>
    <t>Menalind professional tělové mléko 500ml</t>
  </si>
  <si>
    <t>844242</t>
  </si>
  <si>
    <t>105937</t>
  </si>
  <si>
    <t>TETRASPAN 6%</t>
  </si>
  <si>
    <t>INF SOL 20X500ML</t>
  </si>
  <si>
    <t>930535</t>
  </si>
  <si>
    <t>DZ OCTENIDOL 250ml</t>
  </si>
  <si>
    <t>447</t>
  </si>
  <si>
    <t>EPHEDRIN BIOTIKA</t>
  </si>
  <si>
    <t>INJ SOL 10X1ML/50MG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</si>
  <si>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</si>
  <si>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</si>
  <si>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</si>
  <si>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</si>
  <si>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</si>
  <si>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</si>
  <si>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171616</t>
  </si>
  <si>
    <t>TACHYBEN I.V. 50 MG INJEKČNÍ ROZTOK</t>
  </si>
  <si>
    <t>INJ SOL 5X10ML/50MG</t>
  </si>
  <si>
    <t>192414</t>
  </si>
  <si>
    <t>92414</t>
  </si>
  <si>
    <t>SEPTONEX</t>
  </si>
  <si>
    <t>SPR 1X45ML</t>
  </si>
  <si>
    <t>149990</t>
  </si>
  <si>
    <t>49990</t>
  </si>
  <si>
    <t>EXACYL</t>
  </si>
  <si>
    <t>INJ 5X5ML/500MG</t>
  </si>
  <si>
    <t>187825</t>
  </si>
  <si>
    <t>87825</t>
  </si>
  <si>
    <t>INF 1X200ML</t>
  </si>
  <si>
    <t>191217</t>
  </si>
  <si>
    <t>91217</t>
  </si>
  <si>
    <t>VENTER</t>
  </si>
  <si>
    <t>TBL 50X1GM</t>
  </si>
  <si>
    <t>902082</t>
  </si>
  <si>
    <t>IR  NATRIUM CITRICUM 4%1x2000ml</t>
  </si>
  <si>
    <t>IR dialyzační roztokl Phoenix po 6ks</t>
  </si>
  <si>
    <t>850027</t>
  </si>
  <si>
    <t>125122</t>
  </si>
  <si>
    <t>APO-DICLO SR 100</t>
  </si>
  <si>
    <t>POR TBL RET 100X100MG</t>
  </si>
  <si>
    <t>132221</t>
  </si>
  <si>
    <t>32221</t>
  </si>
  <si>
    <t>MEDISOL BI0</t>
  </si>
  <si>
    <t>DLPHFLSOL1X4.8LT+SO</t>
  </si>
  <si>
    <t>154113</t>
  </si>
  <si>
    <t>54113</t>
  </si>
  <si>
    <t>MEDISOL K2</t>
  </si>
  <si>
    <t>SOL 1X5LT(VAK)</t>
  </si>
  <si>
    <t>168653</t>
  </si>
  <si>
    <t>DEXDOR</t>
  </si>
  <si>
    <t>INF CNC SOL 4X4ML</t>
  </si>
  <si>
    <t>137493</t>
  </si>
  <si>
    <t>ESMOCARD HCL ORPHA 2500 MG/10 ML KONCENTRÁT PRO PŘ</t>
  </si>
  <si>
    <t>INF CNC SOL 1X2500MG/10ML</t>
  </si>
  <si>
    <t>394153</t>
  </si>
  <si>
    <t>Calcium pantotenicum mast 30g Generica</t>
  </si>
  <si>
    <t>186762</t>
  </si>
  <si>
    <t>86762</t>
  </si>
  <si>
    <t>DOBUJECT</t>
  </si>
  <si>
    <t>INF 5X5ML/250MG</t>
  </si>
  <si>
    <t>198054</t>
  </si>
  <si>
    <t>POR TBL FLM 20X10MG</t>
  </si>
  <si>
    <t>193874</t>
  </si>
  <si>
    <t>TOLUCOMBI 40 MG/12,5 MG</t>
  </si>
  <si>
    <t>150660</t>
  </si>
  <si>
    <t>CEREBROLYSIN</t>
  </si>
  <si>
    <t>INJ SOL 5X10ML</t>
  </si>
  <si>
    <t>203092</t>
  </si>
  <si>
    <t>LIDOCAIN EGIS 10 %</t>
  </si>
  <si>
    <t>DRM SPR SOL 1X38GM</t>
  </si>
  <si>
    <t>147144</t>
  </si>
  <si>
    <t>47144</t>
  </si>
  <si>
    <t>LETROX 100</t>
  </si>
  <si>
    <t>TBL 100X100RG</t>
  </si>
  <si>
    <t>149531</t>
  </si>
  <si>
    <t>49531</t>
  </si>
  <si>
    <t>CONTROLOC I.V.</t>
  </si>
  <si>
    <t>INJ PLV SOL 1X40MG</t>
  </si>
  <si>
    <t>118175</t>
  </si>
  <si>
    <t>18175</t>
  </si>
  <si>
    <t>INJ EML 10X100ML</t>
  </si>
  <si>
    <t>185325</t>
  </si>
  <si>
    <t>85325</t>
  </si>
  <si>
    <t>INJ SOL 5X3ML/15MG</t>
  </si>
  <si>
    <t>110820</t>
  </si>
  <si>
    <t>10820</t>
  </si>
  <si>
    <t>ZOFRAN</t>
  </si>
  <si>
    <t>INJ SOL 5X4ML/8MG</t>
  </si>
  <si>
    <t>142392</t>
  </si>
  <si>
    <t>42392</t>
  </si>
  <si>
    <t>TRACRIUM 50</t>
  </si>
  <si>
    <t>INJ 5X5ML/50MG</t>
  </si>
  <si>
    <t>184245</t>
  </si>
  <si>
    <t>LETROX 75</t>
  </si>
  <si>
    <t>POR TBL NOB 100X75MCG II</t>
  </si>
  <si>
    <t>133381</t>
  </si>
  <si>
    <t>33381</t>
  </si>
  <si>
    <t>INTESTAMIN</t>
  </si>
  <si>
    <t>POR SOL 1X500ML</t>
  </si>
  <si>
    <t>111453</t>
  </si>
  <si>
    <t>11453</t>
  </si>
  <si>
    <t>OLICLINOMEL N8-800</t>
  </si>
  <si>
    <t>INF EML4X2000ML</t>
  </si>
  <si>
    <t>846016</t>
  </si>
  <si>
    <t>Nutrison Advanced Protison 500ml</t>
  </si>
  <si>
    <t>1X500ML</t>
  </si>
  <si>
    <t>142003</t>
  </si>
  <si>
    <t>NEPHROTECT</t>
  </si>
  <si>
    <t>INF SOL 10X500ML</t>
  </si>
  <si>
    <t>149409</t>
  </si>
  <si>
    <t>49409</t>
  </si>
  <si>
    <t>AMINOPLASMAL B.BRAUN 5% E</t>
  </si>
  <si>
    <t>152194</t>
  </si>
  <si>
    <t>NUTRIFLEX OMEGA SPECIAL</t>
  </si>
  <si>
    <t>INF EML 5X1250ML</t>
  </si>
  <si>
    <t>133474</t>
  </si>
  <si>
    <t>33474</t>
  </si>
  <si>
    <t>NUTRIDRINK JUICE STYLE S PŘÍCHUTÍ JABLEČNOU</t>
  </si>
  <si>
    <t>133473</t>
  </si>
  <si>
    <t>33473</t>
  </si>
  <si>
    <t>NUTRIDRINK JUICE STYLE S PŘÍCHUTÍ JAHODOVOU</t>
  </si>
  <si>
    <t>33424</t>
  </si>
  <si>
    <t>NUTRISON ADVANCED CUBISON</t>
  </si>
  <si>
    <t>POR SOL 1X1000ML</t>
  </si>
  <si>
    <t>395579</t>
  </si>
  <si>
    <t>33752</t>
  </si>
  <si>
    <t>NUTRIDRINK CREME S PŘÍCHUTÍ LES.OVOCE</t>
  </si>
  <si>
    <t>4x125ml</t>
  </si>
  <si>
    <t>111592</t>
  </si>
  <si>
    <t>11592</t>
  </si>
  <si>
    <t>METRONIDAZOL 500MG BRAUN</t>
  </si>
  <si>
    <t>INJ 10X100ML(LDPE)</t>
  </si>
  <si>
    <t>183487</t>
  </si>
  <si>
    <t>83487</t>
  </si>
  <si>
    <t>MERONEM 500MG I.V.</t>
  </si>
  <si>
    <t>INJ SIC 10X500MG</t>
  </si>
  <si>
    <t>162496</t>
  </si>
  <si>
    <t>TAZIP 4 G/0,5 G</t>
  </si>
  <si>
    <t>INJ+INF PLV SOL 10X4,5GM</t>
  </si>
  <si>
    <t>103377</t>
  </si>
  <si>
    <t>3377</t>
  </si>
  <si>
    <t>153853</t>
  </si>
  <si>
    <t>53853</t>
  </si>
  <si>
    <t>KLACID 500</t>
  </si>
  <si>
    <t>TBL OBD 14X500MG</t>
  </si>
  <si>
    <t>849567</t>
  </si>
  <si>
    <t>125249</t>
  </si>
  <si>
    <t>126127</t>
  </si>
  <si>
    <t>26127</t>
  </si>
  <si>
    <t>TYGACIL 50 MG</t>
  </si>
  <si>
    <t>INF PLV SOL 10X50MG/5ML</t>
  </si>
  <si>
    <t>120605</t>
  </si>
  <si>
    <t>20605</t>
  </si>
  <si>
    <t>COLOMYCIN INJEKCE 1000000 IU</t>
  </si>
  <si>
    <t>INJ PLV SOL 10X1MU</t>
  </si>
  <si>
    <t>168998</t>
  </si>
  <si>
    <t>68998</t>
  </si>
  <si>
    <t>AMPICILIN BIOTIKA</t>
  </si>
  <si>
    <t>INJ 10X1000MG</t>
  </si>
  <si>
    <t>166137</t>
  </si>
  <si>
    <t>66137</t>
  </si>
  <si>
    <t>OFLOXIN INF</t>
  </si>
  <si>
    <t>145010</t>
  </si>
  <si>
    <t>45010</t>
  </si>
  <si>
    <t>AZITROMYCIN SANDOZ 500 MG</t>
  </si>
  <si>
    <t>POR TBL FLM 3X500MG</t>
  </si>
  <si>
    <t>147977</t>
  </si>
  <si>
    <t>MEROPENEM HOSPIRA 1 G</t>
  </si>
  <si>
    <t>INJ+INF PLV SOL 10X1GM</t>
  </si>
  <si>
    <t>113453</t>
  </si>
  <si>
    <t>PIPERACILLIN/TAZOBACTAM KABI 4 G/0,5 G</t>
  </si>
  <si>
    <t>INF PLV SOL 10X4.5GM</t>
  </si>
  <si>
    <t>202911</t>
  </si>
  <si>
    <t>DILIZOLEN 2 MG/ML</t>
  </si>
  <si>
    <t>INF SOL 10X300ML/600MG</t>
  </si>
  <si>
    <t>137499</t>
  </si>
  <si>
    <t>KLACID I.V.</t>
  </si>
  <si>
    <t>50113014</t>
  </si>
  <si>
    <t>165989</t>
  </si>
  <si>
    <t>65989</t>
  </si>
  <si>
    <t>MYCOMAX « INF. INFUZ</t>
  </si>
  <si>
    <t>113798</t>
  </si>
  <si>
    <t>13798</t>
  </si>
  <si>
    <t>CANESTEN KRÉM</t>
  </si>
  <si>
    <t>CRM 1X20GM/200MG</t>
  </si>
  <si>
    <t>166036</t>
  </si>
  <si>
    <t>66036</t>
  </si>
  <si>
    <t>MYCOMAX 100</t>
  </si>
  <si>
    <t>CPS 28X100MG</t>
  </si>
  <si>
    <t>164401</t>
  </si>
  <si>
    <t>FLUCONAZOL KABI 2 MG/ML</t>
  </si>
  <si>
    <t>INF SOL 10X100ML/200MG</t>
  </si>
  <si>
    <t>50113008</t>
  </si>
  <si>
    <t>97910</t>
  </si>
  <si>
    <t>Human Albumin 20% 100 ml GRIFOLS</t>
  </si>
  <si>
    <t>137484</t>
  </si>
  <si>
    <t>ANBINEX 500 I.U. Grifols</t>
  </si>
  <si>
    <t>75634</t>
  </si>
  <si>
    <t>Prothromplex Total 600 I.U.BAXTER</t>
  </si>
  <si>
    <t>0138455</t>
  </si>
  <si>
    <t>ALBUNORM 20%</t>
  </si>
  <si>
    <t>INF SOL 1X100ML</t>
  </si>
  <si>
    <t>51383</t>
  </si>
  <si>
    <t>INF SOL 10X500MLPELAH</t>
  </si>
  <si>
    <t>100498</t>
  </si>
  <si>
    <t>498</t>
  </si>
  <si>
    <t>102486</t>
  </si>
  <si>
    <t>2486</t>
  </si>
  <si>
    <t>KALIUM CHLORATUM LECIVA 7.5%</t>
  </si>
  <si>
    <t>INJ 5X10ML 7.5%</t>
  </si>
  <si>
    <t>118304</t>
  </si>
  <si>
    <t>18304</t>
  </si>
  <si>
    <t>INF SOL 10X500ML PE</t>
  </si>
  <si>
    <t>184090</t>
  </si>
  <si>
    <t>84090</t>
  </si>
  <si>
    <t>DEXAMED</t>
  </si>
  <si>
    <t>INJ 10X2ML/8MG</t>
  </si>
  <si>
    <t>905098</t>
  </si>
  <si>
    <t>23989</t>
  </si>
  <si>
    <t>DZ OCTENISEPT 1 l</t>
  </si>
  <si>
    <t>841498</t>
  </si>
  <si>
    <t>Carbosorb tbl.20-blistr</t>
  </si>
  <si>
    <t>850095</t>
  </si>
  <si>
    <t>120406</t>
  </si>
  <si>
    <t>THIOPENTAL VUAB INJ. PLV. SOL. 0,5 G</t>
  </si>
  <si>
    <t>INJ PLV SOL 1X0.5GM</t>
  </si>
  <si>
    <t>900321</t>
  </si>
  <si>
    <t>KL PRIPRAVEK</t>
  </si>
  <si>
    <t>159358</t>
  </si>
  <si>
    <t>59358</t>
  </si>
  <si>
    <t>INF 10X1000ML(LDPE)</t>
  </si>
  <si>
    <t>920117</t>
  </si>
  <si>
    <t>KL SOL.FORMALDEHYDI 10% 1000 g</t>
  </si>
  <si>
    <t>UN 2209</t>
  </si>
  <si>
    <t>192730</t>
  </si>
  <si>
    <t>92730</t>
  </si>
  <si>
    <t>ACIDUM ASCORBICUM</t>
  </si>
  <si>
    <t>INJ 50X5ML</t>
  </si>
  <si>
    <t>198880</t>
  </si>
  <si>
    <t>98880</t>
  </si>
  <si>
    <t>FYZIOLOGICKÝ ROZTOK VIAFLO</t>
  </si>
  <si>
    <t>921209</t>
  </si>
  <si>
    <t>KL BALS.VISNEVSKI 50G</t>
  </si>
  <si>
    <t>128176</t>
  </si>
  <si>
    <t>28176</t>
  </si>
  <si>
    <t>TACHOSIL</t>
  </si>
  <si>
    <t>DRM SPO 9.5X4.8CM</t>
  </si>
  <si>
    <t>187000</t>
  </si>
  <si>
    <t>87000</t>
  </si>
  <si>
    <t>ARDEAOSMOSOL MA 20 (Mannitol)</t>
  </si>
  <si>
    <t>902074</t>
  </si>
  <si>
    <t>85278</t>
  </si>
  <si>
    <t>VOLULYTE 6%</t>
  </si>
  <si>
    <t>395850</t>
  </si>
  <si>
    <t>OptiLube lubrikační gel</t>
  </si>
  <si>
    <t>tuba 113g</t>
  </si>
  <si>
    <t>846826</t>
  </si>
  <si>
    <t>125002</t>
  </si>
  <si>
    <t>ESMERON INJ.SOL.10X5ML</t>
  </si>
  <si>
    <t>187721</t>
  </si>
  <si>
    <t>87721</t>
  </si>
  <si>
    <t>RAPIFEN</t>
  </si>
  <si>
    <t>INJ 5X2ML</t>
  </si>
  <si>
    <t>847482</t>
  </si>
  <si>
    <t>Sofnolime - absorpční vápno</t>
  </si>
  <si>
    <t>500989</t>
  </si>
  <si>
    <t>KL MS HYDROG.PEROX. 3% 1000g</t>
  </si>
  <si>
    <t>158233</t>
  </si>
  <si>
    <t>58233</t>
  </si>
  <si>
    <t>IR  SOL.THOMAS</t>
  </si>
  <si>
    <t>INF CNC SOL 1X50ML</t>
  </si>
  <si>
    <t>83538</t>
  </si>
  <si>
    <t>NITRO POHL</t>
  </si>
  <si>
    <t>INF SOL 1X50ML/50MG</t>
  </si>
  <si>
    <t>990125</t>
  </si>
  <si>
    <t>Lubrikační gel Nature 100ml</t>
  </si>
  <si>
    <t>121088</t>
  </si>
  <si>
    <t>21088</t>
  </si>
  <si>
    <t>SUFENTANIL TORREX 50 MCG/ML</t>
  </si>
  <si>
    <t>INJ SOL 5X5ML/250RG</t>
  </si>
  <si>
    <t>160319</t>
  </si>
  <si>
    <t>SEVOFLURANE BAXTER 100 %</t>
  </si>
  <si>
    <t>INH LIQ VAP 1X250ML</t>
  </si>
  <si>
    <t>Kardiochirurgická klinika, lůžkové oddělení 50</t>
  </si>
  <si>
    <t>Kardiochirurgická klinika, ambulance</t>
  </si>
  <si>
    <t>Kardiochirurgická klinika, JIP 50B</t>
  </si>
  <si>
    <t>Kardiochirurgická klinika, operační sál - lokální</t>
  </si>
  <si>
    <t>Lékárna - léčiva</t>
  </si>
  <si>
    <t>Lékárna - enterární výživa</t>
  </si>
  <si>
    <t>Lékárna - antibiotika</t>
  </si>
  <si>
    <t>Lékárna - antimykotika</t>
  </si>
  <si>
    <t>393 TO krevní deriváty IVLP (112 01 003)</t>
  </si>
  <si>
    <t>5031 - Kardiochirurgická klinika, JIP 50B</t>
  </si>
  <si>
    <t>5062 - Kardiochirurgická klinika, operační sál - lokální</t>
  </si>
  <si>
    <t>5011 - Kardiochirurgická klinika, lůžkové oddělení 50</t>
  </si>
  <si>
    <t>5021 - Kardiochirurgická klinika, ambulance</t>
  </si>
  <si>
    <t>N01AH03 - Sufentanyl</t>
  </si>
  <si>
    <t>V06XX - Potraviny pro zvláštní lékařské účely (PZLÚ)</t>
  </si>
  <si>
    <t>J01MA02 - Ciprofloxacin</t>
  </si>
  <si>
    <t>J01CR01 - Ampicilin a enzymový inhibitor</t>
  </si>
  <si>
    <t>N01AX10 - Propofol</t>
  </si>
  <si>
    <t>A04AA01 - Ondansetron</t>
  </si>
  <si>
    <t>J01XD01 - Metronidazol</t>
  </si>
  <si>
    <t>J02AC01 - Flukonazol</t>
  </si>
  <si>
    <t>C09CA07 - Telmisartan</t>
  </si>
  <si>
    <t>B01AC04 - Klopidogrel</t>
  </si>
  <si>
    <t>A10BB12 - Glimepirid</t>
  </si>
  <si>
    <t>J01DB04 - Cefazolin</t>
  </si>
  <si>
    <t>B01AX05 - Fondaparinux</t>
  </si>
  <si>
    <t>B01AB06 - Nadroparin</t>
  </si>
  <si>
    <t>C01BD01 - Amiodaron</t>
  </si>
  <si>
    <t>A10BA02 - Metformin</t>
  </si>
  <si>
    <t>C02CA04 - Doxazosin</t>
  </si>
  <si>
    <t>J01FA10 - Azithromycin</t>
  </si>
  <si>
    <t>C07AB05 - Betaxolol</t>
  </si>
  <si>
    <t>B01AA03 - Warfarin</t>
  </si>
  <si>
    <t>C07AB07 - Bisoprolol</t>
  </si>
  <si>
    <t>N01AB08 - Sevofluran</t>
  </si>
  <si>
    <t>C07AG02 - Karvedilol</t>
  </si>
  <si>
    <t>H03AA01 - Levothyroxin, sodná sůl</t>
  </si>
  <si>
    <t>C08CA08 - Nitrendipin</t>
  </si>
  <si>
    <t>J01CR02 - Amoxicilin a enzymový inhibitor</t>
  </si>
  <si>
    <t>C09AA04 - Perindopril</t>
  </si>
  <si>
    <t>J01FA09 - Klarithromycin</t>
  </si>
  <si>
    <t>C09AA05 - Ramipril</t>
  </si>
  <si>
    <t>J01MA01 - Ofloxacin</t>
  </si>
  <si>
    <t>C09BA04 - Perindopril a diuretika</t>
  </si>
  <si>
    <t>J01XA01 - Vankomycin</t>
  </si>
  <si>
    <t>A06AD11 - Laktulóza</t>
  </si>
  <si>
    <t>J01XX08 - Linezolid</t>
  </si>
  <si>
    <t>N05BA12 - Alprazolam</t>
  </si>
  <si>
    <t>M03AC04 - Atrakurium</t>
  </si>
  <si>
    <t>N06AB04 - Citalopram</t>
  </si>
  <si>
    <t>A02BC03 - Lansoprazol</t>
  </si>
  <si>
    <t>A10AB05 - Inzulin aspart</t>
  </si>
  <si>
    <t>H02AB04 - Methylprednisolon</t>
  </si>
  <si>
    <t>N05CD08 - Midazolam</t>
  </si>
  <si>
    <t>C10AA05 - Atorvastatin</t>
  </si>
  <si>
    <t>R03AC02 - Salbutamol</t>
  </si>
  <si>
    <t>R06AE07 - Cetirizin</t>
  </si>
  <si>
    <t>A03FA07 - Itopridum</t>
  </si>
  <si>
    <t>C10AA07 - Rosuvastatin</t>
  </si>
  <si>
    <t>A02BC02 - Pantoprazol</t>
  </si>
  <si>
    <t>G04CA02 - Tamsulosin</t>
  </si>
  <si>
    <t>A02BC02</t>
  </si>
  <si>
    <t>POR TBL ENT 100X40MG I</t>
  </si>
  <si>
    <t>POR TBL ENT 28X40MG I</t>
  </si>
  <si>
    <t>A02BC03</t>
  </si>
  <si>
    <t>LANZUL 30 MG</t>
  </si>
  <si>
    <t>POR CPS DUR 28X30MG</t>
  </si>
  <si>
    <t>A03FA07</t>
  </si>
  <si>
    <t>A06AD11</t>
  </si>
  <si>
    <t>A10AB05</t>
  </si>
  <si>
    <t>A10BA02</t>
  </si>
  <si>
    <t>A10BB12</t>
  </si>
  <si>
    <t>B01AA03</t>
  </si>
  <si>
    <t>WARFARIN ORION 5 MG</t>
  </si>
  <si>
    <t>POR TBL NOB 100X5MG</t>
  </si>
  <si>
    <t>B01AB06</t>
  </si>
  <si>
    <t>B01AC04</t>
  </si>
  <si>
    <t>B01AX05</t>
  </si>
  <si>
    <t>ARIXTRA 2,5 MG/0,5 ML</t>
  </si>
  <si>
    <t>C01BD01</t>
  </si>
  <si>
    <t>POR TBL NOB 30X200MG</t>
  </si>
  <si>
    <t>C02CA04</t>
  </si>
  <si>
    <t>C07AB05</t>
  </si>
  <si>
    <t>C07AB07</t>
  </si>
  <si>
    <t>C07AG02</t>
  </si>
  <si>
    <t>C08CA08</t>
  </si>
  <si>
    <t>C09AA04</t>
  </si>
  <si>
    <t>C09AA05</t>
  </si>
  <si>
    <t>TRITACE 10 MG</t>
  </si>
  <si>
    <t>TRITACE 5 MG</t>
  </si>
  <si>
    <t>C09BA04</t>
  </si>
  <si>
    <t>PRESTARIUM NEO COMBI 5 MG/1,25 MG</t>
  </si>
  <si>
    <t>C09CA07</t>
  </si>
  <si>
    <t>C10AA05</t>
  </si>
  <si>
    <t>SORTIS 20 MG</t>
  </si>
  <si>
    <t>SORTIS 40 MG</t>
  </si>
  <si>
    <t>C10AA07</t>
  </si>
  <si>
    <t>G04CA02</t>
  </si>
  <si>
    <t>POR CPS RDR 30X0.4MG</t>
  </si>
  <si>
    <t>H02AB04</t>
  </si>
  <si>
    <t>POR TBL NOB 30X4MG</t>
  </si>
  <si>
    <t>H03AA01</t>
  </si>
  <si>
    <t>EUTHYROX 50 MIKROGRAMŮ</t>
  </si>
  <si>
    <t>POR TBL NOB 100X50RG</t>
  </si>
  <si>
    <t>J01CR01</t>
  </si>
  <si>
    <t>AMPICILLIN AND SULBACTAM IBI 1 G + 500 MG PRÁŠEK PRO INJEKČNÍ ROZTOK</t>
  </si>
  <si>
    <t>J01CR02</t>
  </si>
  <si>
    <t>AMOKSIKLAV 1 G</t>
  </si>
  <si>
    <t>POR TBL FLM 14</t>
  </si>
  <si>
    <t>AMOKSIKLAV 1,2 G</t>
  </si>
  <si>
    <t>INJ+INF PLV SOL 5</t>
  </si>
  <si>
    <t>J01DB04</t>
  </si>
  <si>
    <t>INJ PLV SOL 10X1GM</t>
  </si>
  <si>
    <t>J01MA02</t>
  </si>
  <si>
    <t>POR TBL FLM 10X500MG</t>
  </si>
  <si>
    <t>CIPHIN PRO INFUSIONE 200 MG/100 ML</t>
  </si>
  <si>
    <t>INF SOL 1X100ML/200MG</t>
  </si>
  <si>
    <t>J01XA01</t>
  </si>
  <si>
    <t>N01AX10</t>
  </si>
  <si>
    <t>N05BA12</t>
  </si>
  <si>
    <t>XANAX 0,25 MG</t>
  </si>
  <si>
    <t>POR TBL NOB 30X0.25MG</t>
  </si>
  <si>
    <t>N05CD08</t>
  </si>
  <si>
    <t>POR TBL FLM 10X15MG</t>
  </si>
  <si>
    <t>N06AB04</t>
  </si>
  <si>
    <t>POR TBL FLM 30X10 MG</t>
  </si>
  <si>
    <t>R03AC02</t>
  </si>
  <si>
    <t>INH SUS PSS 200X100RG</t>
  </si>
  <si>
    <t>R06AE07</t>
  </si>
  <si>
    <t>POR TBL FLM 60X10MG</t>
  </si>
  <si>
    <t>V06XX</t>
  </si>
  <si>
    <t>A04AA01</t>
  </si>
  <si>
    <t>POR TBL NOB 100X100RG I</t>
  </si>
  <si>
    <t>J01FA09</t>
  </si>
  <si>
    <t>POR TBL FLM 14X500MG</t>
  </si>
  <si>
    <t>J01FA10</t>
  </si>
  <si>
    <t>J01MA01</t>
  </si>
  <si>
    <t>J01XD01</t>
  </si>
  <si>
    <t>METRONIDAZOL B. BRAUN 5 MG/ML</t>
  </si>
  <si>
    <t>INF SOL 10X100ML</t>
  </si>
  <si>
    <t>J01XX08</t>
  </si>
  <si>
    <t>J02AC01</t>
  </si>
  <si>
    <t>MYCOMAX INF</t>
  </si>
  <si>
    <t>POR CPS DUR 28X100MG</t>
  </si>
  <si>
    <t>M03AC04</t>
  </si>
  <si>
    <t>INJ SOL 5X5ML/50MG</t>
  </si>
  <si>
    <t>N01AH03</t>
  </si>
  <si>
    <t>SUFENTA FORTE</t>
  </si>
  <si>
    <t>INJ SOL 5X1ML/50RG</t>
  </si>
  <si>
    <t>NUTRIDRINK CREME S PŘÍCHUTÍ LESNÍHO OVOCE</t>
  </si>
  <si>
    <t>N01AB08</t>
  </si>
  <si>
    <t>Přehled plnění pozitivního listu - spotřeba léčivých přípravků - orientační přehled</t>
  </si>
  <si>
    <t>50 - Kardiochirurgická klinika</t>
  </si>
  <si>
    <t>5011 - lůžkové oddělení 50</t>
  </si>
  <si>
    <t>5021 - ambulance</t>
  </si>
  <si>
    <t>5031 - JIP 50B</t>
  </si>
  <si>
    <t>5062 - operační sál - lokální</t>
  </si>
  <si>
    <t>HVLP</t>
  </si>
  <si>
    <t>IPLP</t>
  </si>
  <si>
    <t>PZT</t>
  </si>
  <si>
    <t>89301501</t>
  </si>
  <si>
    <t>Standardní lůžková péče Celkem</t>
  </si>
  <si>
    <t>89301502</t>
  </si>
  <si>
    <t>Všeobecná ambulance Celkem</t>
  </si>
  <si>
    <t>Gwozdziewicz Marek</t>
  </si>
  <si>
    <t>Hanák Václav</t>
  </si>
  <si>
    <t>Kaláb Martin</t>
  </si>
  <si>
    <t>Klváček Aleš</t>
  </si>
  <si>
    <t>Konečný Jakub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</si>
  <si>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</si>
  <si>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</si>
  <si>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</si>
  <si>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</si>
  <si>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</si>
  <si>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</si>
  <si>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</si>
  <si>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Bisoprolol</t>
  </si>
  <si>
    <t>Klopidogrel</t>
  </si>
  <si>
    <t>149478</t>
  </si>
  <si>
    <t>POR TBL FLM 7X75MG</t>
  </si>
  <si>
    <t>Amiodaron</t>
  </si>
  <si>
    <t>Atorvastatin</t>
  </si>
  <si>
    <t>Betaxolol</t>
  </si>
  <si>
    <t>Ciprofloxacin</t>
  </si>
  <si>
    <t>Flukonazol</t>
  </si>
  <si>
    <t>66037</t>
  </si>
  <si>
    <t>POR CPS DUR 7X100MG</t>
  </si>
  <si>
    <t>Furosemid</t>
  </si>
  <si>
    <t>98218</t>
  </si>
  <si>
    <t>FURON 40 MG</t>
  </si>
  <si>
    <t>POR TBL NOB 20X40MG</t>
  </si>
  <si>
    <t>POR TBL NOB 50X40MG</t>
  </si>
  <si>
    <t>Hydrochlorothiazid a kalium šetřící diuretika</t>
  </si>
  <si>
    <t>47476</t>
  </si>
  <si>
    <t>LORADUR</t>
  </si>
  <si>
    <t>Chlorid draselný</t>
  </si>
  <si>
    <t>Indobufen</t>
  </si>
  <si>
    <t>47845</t>
  </si>
  <si>
    <t>IBUSTRIN</t>
  </si>
  <si>
    <t>Karvedilol</t>
  </si>
  <si>
    <t>21856</t>
  </si>
  <si>
    <t>CORYOL 3,125 MG</t>
  </si>
  <si>
    <t>POR TBL NOB 30X3.125MG</t>
  </si>
  <si>
    <t>Kyselina acetylsalicylová</t>
  </si>
  <si>
    <t>151142</t>
  </si>
  <si>
    <t>ANOPYRIN 100 MG</t>
  </si>
  <si>
    <t>POR TBL NOB 30X100MG</t>
  </si>
  <si>
    <t>Metoprolol</t>
  </si>
  <si>
    <t>46981</t>
  </si>
  <si>
    <t>BETALOC SR 200 MG</t>
  </si>
  <si>
    <t>POR TBL PRO 30X200MG</t>
  </si>
  <si>
    <t>Nitrendipin</t>
  </si>
  <si>
    <t>Perindopril</t>
  </si>
  <si>
    <t>101205</t>
  </si>
  <si>
    <t>101227</t>
  </si>
  <si>
    <t>PRESTARIUM NEO FORTE</t>
  </si>
  <si>
    <t>Perindopril a diuretika</t>
  </si>
  <si>
    <t>162008</t>
  </si>
  <si>
    <t>PRESTARIUM NEO COMBI 10 MG/2,5 MG</t>
  </si>
  <si>
    <t>Ramipril</t>
  </si>
  <si>
    <t>56977</t>
  </si>
  <si>
    <t>POR TBL NOB 30X2.5MG</t>
  </si>
  <si>
    <t>Rosuvastatin</t>
  </si>
  <si>
    <t>148072</t>
  </si>
  <si>
    <t>ROSUCARD 20 MG POTAHOVANÉ TABLETY</t>
  </si>
  <si>
    <t>Různé jiné kombinace železa</t>
  </si>
  <si>
    <t>119653</t>
  </si>
  <si>
    <t>POR TBL FLM 60X100MG</t>
  </si>
  <si>
    <t>Spironolakton</t>
  </si>
  <si>
    <t>3550</t>
  </si>
  <si>
    <t>POR TBL NOB 20X25MG</t>
  </si>
  <si>
    <t>Sulfamethoxazol a trimethoprim</t>
  </si>
  <si>
    <t>POR TBL NOB 20X480MG</t>
  </si>
  <si>
    <t>Tikagrelor</t>
  </si>
  <si>
    <t>167936</t>
  </si>
  <si>
    <t>BRILIQUE 90 MG</t>
  </si>
  <si>
    <t>POR TBL FLM 60X90MG</t>
  </si>
  <si>
    <t>Urapidil</t>
  </si>
  <si>
    <t>Warfarin</t>
  </si>
  <si>
    <t>Perindopril, amlodipin a indapamid</t>
  </si>
  <si>
    <t>190973</t>
  </si>
  <si>
    <t>TRIPLIXAM 10 MG/2,5 MG/10 MG</t>
  </si>
  <si>
    <t>93021</t>
  </si>
  <si>
    <t>POR TBL FLM 100X40MG</t>
  </si>
  <si>
    <t>47477</t>
  </si>
  <si>
    <t>LORADUR MITE</t>
  </si>
  <si>
    <t>POR TBL NOB 20</t>
  </si>
  <si>
    <t>47478</t>
  </si>
  <si>
    <t>149483</t>
  </si>
  <si>
    <t>POR TBL FLM 56X75MG</t>
  </si>
  <si>
    <t>155782</t>
  </si>
  <si>
    <t>POR TBL NOB 100</t>
  </si>
  <si>
    <t>71960</t>
  </si>
  <si>
    <t>POR TBL NOB 5X10X100MG</t>
  </si>
  <si>
    <t>200214</t>
  </si>
  <si>
    <t>POR TBL NOB 56X100MG</t>
  </si>
  <si>
    <t>49941</t>
  </si>
  <si>
    <t>BETALOC ZOK 100 MG</t>
  </si>
  <si>
    <t>POR TBL PRO 100X100MG</t>
  </si>
  <si>
    <t>Perindopril a amlodipin</t>
  </si>
  <si>
    <t>124129</t>
  </si>
  <si>
    <t>PRESTANCE 10 MG/10 MG</t>
  </si>
  <si>
    <t>56978</t>
  </si>
  <si>
    <t>POR TBL NOB 50X2.5MG</t>
  </si>
  <si>
    <t>56982</t>
  </si>
  <si>
    <t>POR TBL NOB 50X5MG</t>
  </si>
  <si>
    <t>Sultamicilin</t>
  </si>
  <si>
    <t>POR TBL FLM 12X375MG</t>
  </si>
  <si>
    <t>83252</t>
  </si>
  <si>
    <t>POR CPS PRO 20X30MG</t>
  </si>
  <si>
    <t>94113</t>
  </si>
  <si>
    <t>WARFARIN ORION 3 MG</t>
  </si>
  <si>
    <t>POR TBL NOB 100X3MG</t>
  </si>
  <si>
    <t>Aceklofenak</t>
  </si>
  <si>
    <t>160838</t>
  </si>
  <si>
    <t>BIOFENAC 100 MG POTAHOVANÉ TABLETY</t>
  </si>
  <si>
    <t>POR TBL FLM 20X100MG</t>
  </si>
  <si>
    <t>Amlodipin</t>
  </si>
  <si>
    <t>2954</t>
  </si>
  <si>
    <t>AGEN 10</t>
  </si>
  <si>
    <t>Amoxicilin a enzymový inhibitor</t>
  </si>
  <si>
    <t>5950</t>
  </si>
  <si>
    <t>POR TBL FLM 10</t>
  </si>
  <si>
    <t>122632</t>
  </si>
  <si>
    <t>SORTIS 80 MG</t>
  </si>
  <si>
    <t>POR TBL FLM 30X80MG</t>
  </si>
  <si>
    <t>94163</t>
  </si>
  <si>
    <t>CONCOR 10</t>
  </si>
  <si>
    <t>94164</t>
  </si>
  <si>
    <t>CONCOR 5</t>
  </si>
  <si>
    <t>Gliklazid</t>
  </si>
  <si>
    <t>POR TBL RET 60X30MG</t>
  </si>
  <si>
    <t>Glimepirid</t>
  </si>
  <si>
    <t>154049</t>
  </si>
  <si>
    <t>GLIMEPIRID MYLAN 2 MG</t>
  </si>
  <si>
    <t>Indapamid</t>
  </si>
  <si>
    <t>151949</t>
  </si>
  <si>
    <t>INDAP</t>
  </si>
  <si>
    <t>POR CPS DUR 100X2.5MG</t>
  </si>
  <si>
    <t>Levothyroxin, sodná sůl</t>
  </si>
  <si>
    <t>30018</t>
  </si>
  <si>
    <t>POR TBL NOB 100X75MCG I</t>
  </si>
  <si>
    <t>47141</t>
  </si>
  <si>
    <t>LETROX 50</t>
  </si>
  <si>
    <t>POR TBL NOB 100X50RG I</t>
  </si>
  <si>
    <t>69190</t>
  </si>
  <si>
    <t>POR TBL NOB 50X50RG</t>
  </si>
  <si>
    <t>Metformin</t>
  </si>
  <si>
    <t>144459</t>
  </si>
  <si>
    <t>METFORMIN 1000 MG ZENTIVA</t>
  </si>
  <si>
    <t>POR TBL FLM 30X1000 MG</t>
  </si>
  <si>
    <t>18630</t>
  </si>
  <si>
    <t>56504</t>
  </si>
  <si>
    <t>SIOFOR 850</t>
  </si>
  <si>
    <t>POR TBL FLM 60X850MG</t>
  </si>
  <si>
    <t>49934</t>
  </si>
  <si>
    <t>BETALOC ZOK 25 MG</t>
  </si>
  <si>
    <t>POR TBL PRO 30X25MG</t>
  </si>
  <si>
    <t>111904</t>
  </si>
  <si>
    <t>POR TBL NOB 100X20MG</t>
  </si>
  <si>
    <t>120791</t>
  </si>
  <si>
    <t>APO-PERINDO 4 MG</t>
  </si>
  <si>
    <t>56973</t>
  </si>
  <si>
    <t>POR TBL NOB 30X1.25MG</t>
  </si>
  <si>
    <t>97402</t>
  </si>
  <si>
    <t>POR TBL FLM 50X100MG</t>
  </si>
  <si>
    <t>Sertralin</t>
  </si>
  <si>
    <t>53950</t>
  </si>
  <si>
    <t>ZOLOFT 50 MG</t>
  </si>
  <si>
    <t>POR TBL FLM 28X50MG</t>
  </si>
  <si>
    <t>Tamsulosin</t>
  </si>
  <si>
    <t>14499</t>
  </si>
  <si>
    <t>OMNIC TOCAS 0,4</t>
  </si>
  <si>
    <t>POR TBL PRO 30X0.4MG</t>
  </si>
  <si>
    <t>Telmisartan</t>
  </si>
  <si>
    <t>164411</t>
  </si>
  <si>
    <t>83271</t>
  </si>
  <si>
    <t>POR CPS PRO 100X30MG</t>
  </si>
  <si>
    <t>Valsartan</t>
  </si>
  <si>
    <t>176448</t>
  </si>
  <si>
    <t>VALSACOR 80 MG</t>
  </si>
  <si>
    <t>POR TBL FLM 60X80MG</t>
  </si>
  <si>
    <t>Alopurinol</t>
  </si>
  <si>
    <t>2592</t>
  </si>
  <si>
    <t>MILURIT 100</t>
  </si>
  <si>
    <t>POR TBL NOB 50X100MG</t>
  </si>
  <si>
    <t>98932</t>
  </si>
  <si>
    <t>SEDACORON</t>
  </si>
  <si>
    <t>125059</t>
  </si>
  <si>
    <t>Atenolol</t>
  </si>
  <si>
    <t>151127</t>
  </si>
  <si>
    <t>ATEHEXAL 25</t>
  </si>
  <si>
    <t>POR TBL FLM 30X25MG BLI II</t>
  </si>
  <si>
    <t>187511</t>
  </si>
  <si>
    <t>POR TBL FLM 20X40MG</t>
  </si>
  <si>
    <t>139477</t>
  </si>
  <si>
    <t>BETAMED 20 MG</t>
  </si>
  <si>
    <t>3801</t>
  </si>
  <si>
    <t>CONCOR COR 2,5 MG</t>
  </si>
  <si>
    <t>POR TBL FLM 28X2.5MG</t>
  </si>
  <si>
    <t>Brinzolamid</t>
  </si>
  <si>
    <t>26248</t>
  </si>
  <si>
    <t>AZOPT 10 MG/ML</t>
  </si>
  <si>
    <t>OPH GTT SUS 1X10ML</t>
  </si>
  <si>
    <t>96696</t>
  </si>
  <si>
    <t>POR CPS DUR 30X2.5MG</t>
  </si>
  <si>
    <t>122086</t>
  </si>
  <si>
    <t>CORYOL 6,25 MG</t>
  </si>
  <si>
    <t>POR TBL NOB 20X6.25 MG</t>
  </si>
  <si>
    <t>149479</t>
  </si>
  <si>
    <t>POR TBL FLM 14X75MG</t>
  </si>
  <si>
    <t>155780</t>
  </si>
  <si>
    <t>188845</t>
  </si>
  <si>
    <t>STACYL 100 MG ENTEROSOLVENTNÍ TABLETY</t>
  </si>
  <si>
    <t>POR TBL ENT 30X100MG I</t>
  </si>
  <si>
    <t>23796</t>
  </si>
  <si>
    <t>GLUCOPHAGE 1000 MG</t>
  </si>
  <si>
    <t>POR TBL FLM 30X1000MG</t>
  </si>
  <si>
    <t>Pantoprazol</t>
  </si>
  <si>
    <t>49113</t>
  </si>
  <si>
    <t>POR TBL ENT 28X20MG I</t>
  </si>
  <si>
    <t>49122</t>
  </si>
  <si>
    <t>180640</t>
  </si>
  <si>
    <t>POR TBL ENT 30X40MG II</t>
  </si>
  <si>
    <t>180639</t>
  </si>
  <si>
    <t>POR TBL ENT 15X40MG II</t>
  </si>
  <si>
    <t>101203</t>
  </si>
  <si>
    <t>POR TBL FLM 20X5MG</t>
  </si>
  <si>
    <t>101199</t>
  </si>
  <si>
    <t>POR TBL FLM 10X5MG</t>
  </si>
  <si>
    <t>Tafluprost</t>
  </si>
  <si>
    <t>136003</t>
  </si>
  <si>
    <t>TAFLOTAN 15 MIKROGRAMŮ/ML OČNÍ KAPKY, ROZTOK, JEDNODÁVKOVÝ OBAL</t>
  </si>
  <si>
    <t>OPH GTT SOL 90X0.3ML</t>
  </si>
  <si>
    <t>Telmisartan a diuretika</t>
  </si>
  <si>
    <t>29678</t>
  </si>
  <si>
    <t>MICARDISPLUS 80/12,5 MG</t>
  </si>
  <si>
    <t>POR TBL NOB 30X1</t>
  </si>
  <si>
    <t>Tramadol, kombinace</t>
  </si>
  <si>
    <t>POR TBL FLM 3X10</t>
  </si>
  <si>
    <t>192341</t>
  </si>
  <si>
    <t>WARFARIN PMCS 5 MG</t>
  </si>
  <si>
    <t>Antiagregancia kromě heparinu, kombinace</t>
  </si>
  <si>
    <t>167509</t>
  </si>
  <si>
    <t>DUOPLAVIN 75 MG/100 MG</t>
  </si>
  <si>
    <t>POR TBL FLM 30X1</t>
  </si>
  <si>
    <t>Citalopram</t>
  </si>
  <si>
    <t>17431</t>
  </si>
  <si>
    <t>CITALEC 20 ZENTIVA</t>
  </si>
  <si>
    <t>POR TBL FLM 30X20 MG</t>
  </si>
  <si>
    <t>158287</t>
  </si>
  <si>
    <t>INDAP 2,5 MG</t>
  </si>
  <si>
    <t>POR TBL NOB 3X20X100MG</t>
  </si>
  <si>
    <t>POR TBL NOB 2X10X100MG</t>
  </si>
  <si>
    <t>45499</t>
  </si>
  <si>
    <t>POR TBL PRO 30X100MG</t>
  </si>
  <si>
    <t>49112</t>
  </si>
  <si>
    <t>POR TBL ENT 14X20MG I</t>
  </si>
  <si>
    <t>Telmisartan a amlodipin</t>
  </si>
  <si>
    <t>167860</t>
  </si>
  <si>
    <t>TWYNSTA 80 MG/10 MG</t>
  </si>
  <si>
    <t>83272</t>
  </si>
  <si>
    <t>EBRANTIL 60 RETARD</t>
  </si>
  <si>
    <t>POR CPS PRO 50X60MG</t>
  </si>
  <si>
    <t>Prasugrel</t>
  </si>
  <si>
    <t>167934</t>
  </si>
  <si>
    <t>EFIENT 10 MG</t>
  </si>
  <si>
    <t>Nadroparin</t>
  </si>
  <si>
    <t>59810</t>
  </si>
  <si>
    <t>111898</t>
  </si>
  <si>
    <t>NITRESAN 10 MG</t>
  </si>
  <si>
    <t>13768</t>
  </si>
  <si>
    <t>POR TBL NOB 60X200MG</t>
  </si>
  <si>
    <t>59805</t>
  </si>
  <si>
    <t>INJ SOL 2X0.6ML</t>
  </si>
  <si>
    <t>Pentoxifylin</t>
  </si>
  <si>
    <t>53480</t>
  </si>
  <si>
    <t>TRENTAL 400</t>
  </si>
  <si>
    <t>POR TBL RET 100X400MG</t>
  </si>
  <si>
    <t>POR TBL NOB 100X25MG</t>
  </si>
  <si>
    <t>Aciklovir</t>
  </si>
  <si>
    <t>84127</t>
  </si>
  <si>
    <t>HERPESIN 200</t>
  </si>
  <si>
    <t>POR TBL NOB 25X200MG</t>
  </si>
  <si>
    <t>Alprazolam</t>
  </si>
  <si>
    <t>93018</t>
  </si>
  <si>
    <t>POR TBL FLM 100X20MG</t>
  </si>
  <si>
    <t>Celiprolol</t>
  </si>
  <si>
    <t>163143</t>
  </si>
  <si>
    <t>TENOLOC 200</t>
  </si>
  <si>
    <t>POR TBL FLM 30X200MG</t>
  </si>
  <si>
    <t>Desloratadin</t>
  </si>
  <si>
    <t>26331</t>
  </si>
  <si>
    <t>AERIUS 5 MG</t>
  </si>
  <si>
    <t>POR TBL FLM 100X5MG</t>
  </si>
  <si>
    <t>Digoxin</t>
  </si>
  <si>
    <t>83318</t>
  </si>
  <si>
    <t>DIGOXIN 0,125 LÉČIVA</t>
  </si>
  <si>
    <t>POR TBL NOB 30X0.125MG</t>
  </si>
  <si>
    <t>Indometacin</t>
  </si>
  <si>
    <t>RCT SUP 10X100MG</t>
  </si>
  <si>
    <t>Irbesartan</t>
  </si>
  <si>
    <t>194145</t>
  </si>
  <si>
    <t>IFIRMASTA 300 MG</t>
  </si>
  <si>
    <t>POR TBL FLM 30X300MG</t>
  </si>
  <si>
    <t>Isosorbid-mononitrát</t>
  </si>
  <si>
    <t>59467</t>
  </si>
  <si>
    <t>MONO MACK DEPOT</t>
  </si>
  <si>
    <t>POR TBL PRO 28X100MG</t>
  </si>
  <si>
    <t>31536</t>
  </si>
  <si>
    <t>POR TBL PRO 100X25MG</t>
  </si>
  <si>
    <t>BETALOC ZOK 50 MG</t>
  </si>
  <si>
    <t>POR TBL PRO 30X50MG</t>
  </si>
  <si>
    <t>101233</t>
  </si>
  <si>
    <t>POR TBL FLM 90X10 MG</t>
  </si>
  <si>
    <t>Rilmenidin</t>
  </si>
  <si>
    <t>125641</t>
  </si>
  <si>
    <t>TENAXUM</t>
  </si>
  <si>
    <t>POR TBL NOB 90X1MG</t>
  </si>
  <si>
    <t>158198</t>
  </si>
  <si>
    <t>POR TBL NOB 100X80MG</t>
  </si>
  <si>
    <t>Thiethylperazin</t>
  </si>
  <si>
    <t>9847</t>
  </si>
  <si>
    <t>TORECAN</t>
  </si>
  <si>
    <t>RCT SUP 6X6.5MG</t>
  </si>
  <si>
    <t>17926</t>
  </si>
  <si>
    <t>ZALDIAR</t>
  </si>
  <si>
    <t>Trimetazidin</t>
  </si>
  <si>
    <t>Verapamil</t>
  </si>
  <si>
    <t>9205</t>
  </si>
  <si>
    <t>ISOPTIN 80 MG</t>
  </si>
  <si>
    <t>POR TBL FLM 50X80MG</t>
  </si>
  <si>
    <t>192342</t>
  </si>
  <si>
    <t>Obvazový materiál, náplasti</t>
  </si>
  <si>
    <t>19580</t>
  </si>
  <si>
    <t>OBINADLO ELASTICKÉ UNIVERSÁLNÍ LENKELAST</t>
  </si>
  <si>
    <t>12X5M V NATAŽENÉM STAVU,STŘEDNÍ TAH,1KS</t>
  </si>
  <si>
    <t>Ortopedicko protetické pomůcky sériově vyráběné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</si>
  <si>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</si>
  <si>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</si>
  <si>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</si>
  <si>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</si>
  <si>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</si>
  <si>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</si>
  <si>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Enalapril</t>
  </si>
  <si>
    <t>59642</t>
  </si>
  <si>
    <t>ENAP 10 MG</t>
  </si>
  <si>
    <t>POR TBL NOB 100X10MG</t>
  </si>
  <si>
    <t>Fenobarbital</t>
  </si>
  <si>
    <t>68578</t>
  </si>
  <si>
    <t>PHENAEMALETTEN</t>
  </si>
  <si>
    <t>POR TBL NOB 50X15MG SKLO</t>
  </si>
  <si>
    <t>Itrakonazol</t>
  </si>
  <si>
    <t>50353</t>
  </si>
  <si>
    <t>PROKANAZOL</t>
  </si>
  <si>
    <t>POR CPS DUR 30X100MG</t>
  </si>
  <si>
    <t>Mometason</t>
  </si>
  <si>
    <t>47302</t>
  </si>
  <si>
    <t>ELOCOM</t>
  </si>
  <si>
    <t>DRM CRM 1X100GM 0.1%</t>
  </si>
  <si>
    <t>Azithromycin</t>
  </si>
  <si>
    <t>Mefenoxalon</t>
  </si>
  <si>
    <t>DORSIFLEX 200 MG</t>
  </si>
  <si>
    <t>Sodná sůl metamizolu</t>
  </si>
  <si>
    <t>NOVALGIN TABLETY</t>
  </si>
  <si>
    <t>POR TBL FLM 20X500MG</t>
  </si>
  <si>
    <t>Zolpidem</t>
  </si>
  <si>
    <t>132803</t>
  </si>
  <si>
    <t>STILNOX</t>
  </si>
  <si>
    <t>Kaptopril</t>
  </si>
  <si>
    <t>31385</t>
  </si>
  <si>
    <t>TENSIOMIN 12,5 MG</t>
  </si>
  <si>
    <t>POR TBL NOB 30X12.5MG</t>
  </si>
  <si>
    <t>Midazolam</t>
  </si>
  <si>
    <t>15013</t>
  </si>
  <si>
    <t>DORMICUM 7,5 MG</t>
  </si>
  <si>
    <t>POR TBL FLM 10X7.5MG</t>
  </si>
  <si>
    <t>13703</t>
  </si>
  <si>
    <t>ZOVIRAX 200 MG</t>
  </si>
  <si>
    <t>119773</t>
  </si>
  <si>
    <t>90959</t>
  </si>
  <si>
    <t>XANAX 0,5 MG</t>
  </si>
  <si>
    <t>POR TBL NOB 30X0.5MG</t>
  </si>
  <si>
    <t>96977</t>
  </si>
  <si>
    <t>XANAX 1 MG</t>
  </si>
  <si>
    <t>POR TBL NOB 30X1MG</t>
  </si>
  <si>
    <t>Ambroxol</t>
  </si>
  <si>
    <t>58374</t>
  </si>
  <si>
    <t>AMBROXOL AL KAPKY</t>
  </si>
  <si>
    <t>POR GTT SOL 1X100ML/750MG</t>
  </si>
  <si>
    <t>125052</t>
  </si>
  <si>
    <t>APO-AMLO 10</t>
  </si>
  <si>
    <t>163111</t>
  </si>
  <si>
    <t>ZOREM 10 MG</t>
  </si>
  <si>
    <t>163114</t>
  </si>
  <si>
    <t>ZOREM 5 MG</t>
  </si>
  <si>
    <t>167508</t>
  </si>
  <si>
    <t>POR TBL FLM 28</t>
  </si>
  <si>
    <t>Atorvastatin a amlodipin</t>
  </si>
  <si>
    <t>101172</t>
  </si>
  <si>
    <t>CADUET 5 MG/10 MG</t>
  </si>
  <si>
    <t>30530</t>
  </si>
  <si>
    <t>30543</t>
  </si>
  <si>
    <t>30550</t>
  </si>
  <si>
    <t>CADUET 10 MG/10 MG</t>
  </si>
  <si>
    <t>49910</t>
  </si>
  <si>
    <t>POR TBL FLM 98X20MG</t>
  </si>
  <si>
    <t>176913</t>
  </si>
  <si>
    <t>3822</t>
  </si>
  <si>
    <t>CONCOR COR 5 MG</t>
  </si>
  <si>
    <t>POR TBL FLM 28X5MG</t>
  </si>
  <si>
    <t>Cilazapril</t>
  </si>
  <si>
    <t>125441</t>
  </si>
  <si>
    <t>INHIBACE 5 MG</t>
  </si>
  <si>
    <t>Ciprofibrát</t>
  </si>
  <si>
    <t>47684</t>
  </si>
  <si>
    <t>LIPANOR</t>
  </si>
  <si>
    <t>POR CPS DUR 60X100MG</t>
  </si>
  <si>
    <t>Dabigatran-etexilát</t>
  </si>
  <si>
    <t>168373</t>
  </si>
  <si>
    <t>PRADAXA 150 MG</t>
  </si>
  <si>
    <t>POR CPS DUR 60X1X150MG</t>
  </si>
  <si>
    <t>Dimetinden</t>
  </si>
  <si>
    <t>15520</t>
  </si>
  <si>
    <t>FENISTIL</t>
  </si>
  <si>
    <t>POR GTT SOL 1X20ML</t>
  </si>
  <si>
    <t>Diosmin, kombinace</t>
  </si>
  <si>
    <t>185435</t>
  </si>
  <si>
    <t>POR TBL FLM 120X500MG</t>
  </si>
  <si>
    <t>Draslík</t>
  </si>
  <si>
    <t>Fluvastatin</t>
  </si>
  <si>
    <t>120957</t>
  </si>
  <si>
    <t>FLUVASTATIN ACTAVIS 80 MG</t>
  </si>
  <si>
    <t>POR TBL PRO 28X80MG</t>
  </si>
  <si>
    <t>12121</t>
  </si>
  <si>
    <t>GLIMEPIRID SANDOZ 3 MG TABLETY</t>
  </si>
  <si>
    <t>POR TBL NOB 30X3MG</t>
  </si>
  <si>
    <t>Hořčík (různé sole v kombinaci)</t>
  </si>
  <si>
    <t>POR GRA SOL 30</t>
  </si>
  <si>
    <t>Chinapril a diuretika</t>
  </si>
  <si>
    <t>64790</t>
  </si>
  <si>
    <t>ACCUZIDE 20</t>
  </si>
  <si>
    <t>POR TBL FLM 100</t>
  </si>
  <si>
    <t>Jiná antihistaminika pro systémovou aplikaci</t>
  </si>
  <si>
    <t>POR TBL NOB 20X2MG</t>
  </si>
  <si>
    <t>Klarithromycin</t>
  </si>
  <si>
    <t>144246</t>
  </si>
  <si>
    <t>KLARITROMYCIN MYLAN 500 MG</t>
  </si>
  <si>
    <t>132644</t>
  </si>
  <si>
    <t>POR TBL NOB 14X500MG</t>
  </si>
  <si>
    <t>Kodein</t>
  </si>
  <si>
    <t>90</t>
  </si>
  <si>
    <t>CODEIN SLOVAKOFARMA 30 MG</t>
  </si>
  <si>
    <t>POR TBL NOB 10X30MG</t>
  </si>
  <si>
    <t>Lacidipin</t>
  </si>
  <si>
    <t>47670</t>
  </si>
  <si>
    <t>LACIPIL 4 MG</t>
  </si>
  <si>
    <t>POR TBL FLM 28X4MG</t>
  </si>
  <si>
    <t>Levocetirizin</t>
  </si>
  <si>
    <t>85142</t>
  </si>
  <si>
    <t>XYZAL</t>
  </si>
  <si>
    <t>Mebendazol</t>
  </si>
  <si>
    <t>122198</t>
  </si>
  <si>
    <t>VERMOX</t>
  </si>
  <si>
    <t>POR TBL NOB 6X100MG</t>
  </si>
  <si>
    <t>164639</t>
  </si>
  <si>
    <t>GLUCOPHAGE 500 MG</t>
  </si>
  <si>
    <t>POR TBL FLM 50X500MG</t>
  </si>
  <si>
    <t>Methyldopa (levotočivá)</t>
  </si>
  <si>
    <t>1328</t>
  </si>
  <si>
    <t>DOPEGYT</t>
  </si>
  <si>
    <t>POR TBL NOB 50X250MG</t>
  </si>
  <si>
    <t>32673</t>
  </si>
  <si>
    <t>METOPROLOL AL 200 RETARD</t>
  </si>
  <si>
    <t>POR TBL PRO 50X200MG</t>
  </si>
  <si>
    <t>46980</t>
  </si>
  <si>
    <t>POR TBL PRO 100X200MG</t>
  </si>
  <si>
    <t>58038</t>
  </si>
  <si>
    <t>POR TBL PRO 100X50MG</t>
  </si>
  <si>
    <t>Moxonidin</t>
  </si>
  <si>
    <t>125391</t>
  </si>
  <si>
    <t>CYNT 0,4</t>
  </si>
  <si>
    <t>POR TBL FLM 98X0.4MG</t>
  </si>
  <si>
    <t>Nimesulid</t>
  </si>
  <si>
    <t>12895</t>
  </si>
  <si>
    <t>AULIN</t>
  </si>
  <si>
    <t>POR GRA SUS 30X100MG I</t>
  </si>
  <si>
    <t>17187</t>
  </si>
  <si>
    <t>NIMESIL</t>
  </si>
  <si>
    <t>POR GRA SUS 30X100MG</t>
  </si>
  <si>
    <t>Nitrofurantoin</t>
  </si>
  <si>
    <t>154748</t>
  </si>
  <si>
    <t>NITROFURANTOIN - RATIOPHARM 100 MG</t>
  </si>
  <si>
    <t>POR CPS PRO 50X100MG</t>
  </si>
  <si>
    <t>Ofloxacin</t>
  </si>
  <si>
    <t>55636</t>
  </si>
  <si>
    <t>OFLOXIN 200</t>
  </si>
  <si>
    <t>POR TBL FLM 10X200MG</t>
  </si>
  <si>
    <t>Omeprazol</t>
  </si>
  <si>
    <t>132531</t>
  </si>
  <si>
    <t>HELICID 20</t>
  </si>
  <si>
    <t>180666</t>
  </si>
  <si>
    <t>POR TBL ENT 28X40MG II</t>
  </si>
  <si>
    <t>120810</t>
  </si>
  <si>
    <t>APO-PERINDO 8 MG</t>
  </si>
  <si>
    <t>POR TBL NOB 100X8MG</t>
  </si>
  <si>
    <t>162012</t>
  </si>
  <si>
    <t>Rabeprazol</t>
  </si>
  <si>
    <t>157141</t>
  </si>
  <si>
    <t>ZULBEX 20 MG</t>
  </si>
  <si>
    <t>POR TBL ENT 56X20MG</t>
  </si>
  <si>
    <t>Ramipril a diuretika</t>
  </si>
  <si>
    <t>115594</t>
  </si>
  <si>
    <t>MEDORAM PLUS H 5/25 MG</t>
  </si>
  <si>
    <t>148070</t>
  </si>
  <si>
    <t>ROSUCARD 10 MG POTAHOVANÉ TABLETY</t>
  </si>
  <si>
    <t>POR TBL FLM 90X10MG</t>
  </si>
  <si>
    <t>148074</t>
  </si>
  <si>
    <t>POR TBL FLM 90X20MG</t>
  </si>
  <si>
    <t>Sildenafil</t>
  </si>
  <si>
    <t>143428</t>
  </si>
  <si>
    <t>SILDENAFIL SANDOZ 100 MG</t>
  </si>
  <si>
    <t>POR TBL NOB 8X100MG</t>
  </si>
  <si>
    <t>Sodná sůl dokusátu, včetně kombinací</t>
  </si>
  <si>
    <t>12770</t>
  </si>
  <si>
    <t>YAL</t>
  </si>
  <si>
    <t>RCT SOL 2X67.5ML</t>
  </si>
  <si>
    <t>14498</t>
  </si>
  <si>
    <t>POR TBL PRO 100X0.4MG</t>
  </si>
  <si>
    <t>26577</t>
  </si>
  <si>
    <t>POR TBL NOB 28X1</t>
  </si>
  <si>
    <t>193884</t>
  </si>
  <si>
    <t>TOLUCOMBI 80 MG/12,5 MG</t>
  </si>
  <si>
    <t>Tobramycin</t>
  </si>
  <si>
    <t>86264</t>
  </si>
  <si>
    <t>TOBREX</t>
  </si>
  <si>
    <t>OPH GTT SOL 1X5ML/15MG</t>
  </si>
  <si>
    <t>93207</t>
  </si>
  <si>
    <t>OPH UNG 1X3.5GM</t>
  </si>
  <si>
    <t>Tolperison</t>
  </si>
  <si>
    <t>57525</t>
  </si>
  <si>
    <t>MYDOCALM 150 MG</t>
  </si>
  <si>
    <t>POR TBL FLM 30X150MG</t>
  </si>
  <si>
    <t>91995</t>
  </si>
  <si>
    <t>ISOPTIN SR 240 MG</t>
  </si>
  <si>
    <t>POR TBL PRO 100X240MG</t>
  </si>
  <si>
    <t>16286</t>
  </si>
  <si>
    <t>Břečťanový list</t>
  </si>
  <si>
    <t>23739</t>
  </si>
  <si>
    <t>PROSPAN</t>
  </si>
  <si>
    <t>POR SIR 1X100ML/700MG</t>
  </si>
  <si>
    <t>Apixaban</t>
  </si>
  <si>
    <t>193747</t>
  </si>
  <si>
    <t>ELIQUIS 5 MG</t>
  </si>
  <si>
    <t>POR TBL FLM 168X5MG</t>
  </si>
  <si>
    <t>Salmeterol a flutikason</t>
  </si>
  <si>
    <t>45964</t>
  </si>
  <si>
    <t>SERETIDE DISKUS 50/250</t>
  </si>
  <si>
    <t>INH PLV 1X60X50/250RG</t>
  </si>
  <si>
    <t>Itopridum</t>
  </si>
  <si>
    <t>166760</t>
  </si>
  <si>
    <t>POR TBL FLM 100X50MG</t>
  </si>
  <si>
    <t>Jiná</t>
  </si>
  <si>
    <t>*1004</t>
  </si>
  <si>
    <t>Jiný</t>
  </si>
  <si>
    <t>*7999</t>
  </si>
  <si>
    <t>Kompresní punčochy a návleky</t>
  </si>
  <si>
    <t>45389</t>
  </si>
  <si>
    <t>PUNČOCHY KOMPRESNÍ STEHENNÍ II.K.T.</t>
  </si>
  <si>
    <t>MAXIS COMFORT A-G</t>
  </si>
  <si>
    <t>12494</t>
  </si>
  <si>
    <t>AUGMENTIN 1 G</t>
  </si>
  <si>
    <t>POR TBL FLM 14 I</t>
  </si>
  <si>
    <t>Jiná antibiotika pro lokální aplikaci</t>
  </si>
  <si>
    <t>55760</t>
  </si>
  <si>
    <t>PAMYCON NA PŘÍPRAVU KAPEK</t>
  </si>
  <si>
    <t>DRM PLV SOL 1X10LAH</t>
  </si>
  <si>
    <t>Sumatriptan</t>
  </si>
  <si>
    <t>14786</t>
  </si>
  <si>
    <t>ROSEMIG 100 MG</t>
  </si>
  <si>
    <t>POR TBL FLM 2X100MG I</t>
  </si>
  <si>
    <t>45387</t>
  </si>
  <si>
    <t>PUNČOCHY KOMPRESNÍ LÝTKOVÉ II.K.T.</t>
  </si>
  <si>
    <t>MAXIS COMFORT A-D</t>
  </si>
  <si>
    <t>Kyselina askorbová (vitamin C)</t>
  </si>
  <si>
    <t>40522</t>
  </si>
  <si>
    <t>VITAMIN C-INJEKTOPAS 7.5 G</t>
  </si>
  <si>
    <t>INF CNC SOL 7.5G/50ML</t>
  </si>
  <si>
    <t>75023</t>
  </si>
  <si>
    <t>COTRIMOXAZOL AL FORTE</t>
  </si>
  <si>
    <t>POR TBL NOB 20X960MG</t>
  </si>
  <si>
    <t>125051</t>
  </si>
  <si>
    <t>POR TBL NOB 90X10MG</t>
  </si>
  <si>
    <t>Benzathin-fenoxymethylpenicilin</t>
  </si>
  <si>
    <t>49549</t>
  </si>
  <si>
    <t>OSPEN 400</t>
  </si>
  <si>
    <t>POR SIR 1X150ML</t>
  </si>
  <si>
    <t>Bromazepam</t>
  </si>
  <si>
    <t>LEXAURIN 3</t>
  </si>
  <si>
    <t>193502</t>
  </si>
  <si>
    <t>PRADAXA 110 MG</t>
  </si>
  <si>
    <t>POR CPS DUR 100X110MG</t>
  </si>
  <si>
    <t>28831</t>
  </si>
  <si>
    <t>AERIUS 2,5 MG</t>
  </si>
  <si>
    <t>POR TBL DIS 30X2.5MG</t>
  </si>
  <si>
    <t>Diklofenak</t>
  </si>
  <si>
    <t>Drospirenon a ethinylestradiol</t>
  </si>
  <si>
    <t>66196</t>
  </si>
  <si>
    <t>YADINE</t>
  </si>
  <si>
    <t>POR TBL FLM 3X21</t>
  </si>
  <si>
    <t>Eplerenon</t>
  </si>
  <si>
    <t>174338</t>
  </si>
  <si>
    <t>EPLERENON ACTAVIS 50 MG</t>
  </si>
  <si>
    <t>Erdostein</t>
  </si>
  <si>
    <t>87073</t>
  </si>
  <si>
    <t>ERDOMED</t>
  </si>
  <si>
    <t>POR PLV SOL 20</t>
  </si>
  <si>
    <t>Fenofibrát</t>
  </si>
  <si>
    <t>11014</t>
  </si>
  <si>
    <t>LIPANTHYL 267 M</t>
  </si>
  <si>
    <t>POR CPS DUR 90X267MG</t>
  </si>
  <si>
    <t>12046</t>
  </si>
  <si>
    <t>GLIMEPIRID SANDOZ 2 MG TABLETY</t>
  </si>
  <si>
    <t>POR TBL NOB 100X2MG</t>
  </si>
  <si>
    <t>Glycerol-trinitrát</t>
  </si>
  <si>
    <t>85071</t>
  </si>
  <si>
    <t>NITROMINT</t>
  </si>
  <si>
    <t>ORM SPR SLG 1X10GM</t>
  </si>
  <si>
    <t>76380</t>
  </si>
  <si>
    <t>RHEFLUIN</t>
  </si>
  <si>
    <t>Ivabradin</t>
  </si>
  <si>
    <t>25976</t>
  </si>
  <si>
    <t>PROCORALAN 7,5 MG</t>
  </si>
  <si>
    <t>POR TBL FLM 98X7,5MG</t>
  </si>
  <si>
    <t>Metformin a vildagliptin</t>
  </si>
  <si>
    <t>29734</t>
  </si>
  <si>
    <t>EUCREAS 50 MG/850 MG</t>
  </si>
  <si>
    <t>POR TBL FLM 60</t>
  </si>
  <si>
    <t>124133</t>
  </si>
  <si>
    <t>POR TBL NOB 90</t>
  </si>
  <si>
    <t>Salbutamol</t>
  </si>
  <si>
    <t>157898</t>
  </si>
  <si>
    <t>SILDENAFIL MYLAN 100 MG</t>
  </si>
  <si>
    <t>POR TBL FLM 4X100MG</t>
  </si>
  <si>
    <t>Sotalol</t>
  </si>
  <si>
    <t>49014</t>
  </si>
  <si>
    <t>167862</t>
  </si>
  <si>
    <t>POR TBL NOB 90X1</t>
  </si>
  <si>
    <t>163149</t>
  </si>
  <si>
    <t>HYPNOGEN</t>
  </si>
  <si>
    <t>45363</t>
  </si>
  <si>
    <t>PUNČOCHY KOMPRESNÍ POLOSTEHENNÍ II.K.T.</t>
  </si>
  <si>
    <t>MEMORY MEDICAL STOCKINGS A-F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</si>
  <si>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</si>
  <si>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</si>
  <si>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</si>
  <si>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</si>
  <si>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C08DA01 - Verapamil</t>
  </si>
  <si>
    <t>C02AC05 - Moxonidin</t>
  </si>
  <si>
    <t>R06AE09 - Levocetirizin</t>
  </si>
  <si>
    <t>M01AX17 - Nimesulid</t>
  </si>
  <si>
    <t>N02CC01 - Sumatriptan</t>
  </si>
  <si>
    <t>N06AB06 - Sertralin</t>
  </si>
  <si>
    <t>C10AB05 - Fenofibrát</t>
  </si>
  <si>
    <t>C10BX03 - Atorvastatin a amlodipin</t>
  </si>
  <si>
    <t>C09BA05 - Ramipril a diuretika</t>
  </si>
  <si>
    <t>B01AE07 - Dabigatran-etexilát</t>
  </si>
  <si>
    <t>C09BA06 - Chinapril a diuretika</t>
  </si>
  <si>
    <t>R03AK06 - Salmeterol a flutikason</t>
  </si>
  <si>
    <t>C09BB04 - Perindopril a amlodipin</t>
  </si>
  <si>
    <t>C09BB04</t>
  </si>
  <si>
    <t>N06AB06</t>
  </si>
  <si>
    <t>B01AE07</t>
  </si>
  <si>
    <t>C02AC05</t>
  </si>
  <si>
    <t>C08DA01</t>
  </si>
  <si>
    <t>C09BA05</t>
  </si>
  <si>
    <t>C09BA06</t>
  </si>
  <si>
    <t>C10BX03</t>
  </si>
  <si>
    <t>M01AX17</t>
  </si>
  <si>
    <t>R03AK06</t>
  </si>
  <si>
    <t>R06AE09</t>
  </si>
  <si>
    <t>N02CC01</t>
  </si>
  <si>
    <t>C10AB05</t>
  </si>
  <si>
    <t>Přehled plnění PL - Preskripce léčivých přípravků - orientační přehled</t>
  </si>
  <si>
    <t>50115001     implant.umělé těl.náhr.-kardiostim. (sk.Z_517)</t>
  </si>
  <si>
    <t>5015</t>
  </si>
  <si>
    <t>lůžkové oddělení ECMO</t>
  </si>
  <si>
    <t>lůžkové oddělení ECMO Celkem</t>
  </si>
  <si>
    <t>ZA315</t>
  </si>
  <si>
    <t>Kompresa NT 5 x 5 cm / 2 ks sterilní 26501</t>
  </si>
  <si>
    <t>ZA329</t>
  </si>
  <si>
    <t>Obinadlo fixa crep   6 cm x 4 m 1323100102</t>
  </si>
  <si>
    <t>ZA331</t>
  </si>
  <si>
    <t>Obinadlo fixa crep 10 cm x 4 m 1323100104</t>
  </si>
  <si>
    <t>ZA446</t>
  </si>
  <si>
    <t>Vata buničitá přířezy 20 x 30 cm 1230200129</t>
  </si>
  <si>
    <t>ZA454</t>
  </si>
  <si>
    <t>Kompresa AB 10 x 10 cm / 1 ks sterilní NT savá 1230114011</t>
  </si>
  <si>
    <t>ZA459</t>
  </si>
  <si>
    <t>Kompresa AB 10 x 20 cm / 1 ks sterilní NT savá 1230114021</t>
  </si>
  <si>
    <t>ZA464</t>
  </si>
  <si>
    <t>Kompresa NT 10 x 10 cm / 2 ks sterilní 26520</t>
  </si>
  <si>
    <t>ZA467</t>
  </si>
  <si>
    <t>Tyčinka vatová nesterilní 15 cm bal. á 100 ks 9679369</t>
  </si>
  <si>
    <t>ZA476</t>
  </si>
  <si>
    <t>Krytí mepilex border lite 10 x 10 cm bal. á 5 ks 281300-00</t>
  </si>
  <si>
    <t>ZA507</t>
  </si>
  <si>
    <t>Náplast tegaderm 8,5 cm x 10,5 cm bal. á 50 ks s výřezem 1635W</t>
  </si>
  <si>
    <t>ZA537</t>
  </si>
  <si>
    <t>Krytí mepilex heel 13 x 20 cm bal. á 5 ks 288100-01</t>
  </si>
  <si>
    <t>ZA540</t>
  </si>
  <si>
    <t>Náplast omnifix E 15 cm x 10 m 9006513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</si>
  <si>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</si>
  <si>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</si>
  <si>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</si>
  <si>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</si>
  <si>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</si>
  <si>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9008054</t>
  </si>
  <si>
    <t>ZA593</t>
  </si>
  <si>
    <t>Tampon stáčený sterilní 20 x 20 cm / 5 ks 28003</t>
  </si>
  <si>
    <t>ZA595</t>
  </si>
  <si>
    <t>Náplast tegaderm 6,0 cm x 7,0 cm bal. á 100 ks s výřezem 1623W</t>
  </si>
  <si>
    <t>ZA643</t>
  </si>
  <si>
    <t>Kompresa vliwasoft 10 x 20 nesterilní á 100 ks 12070</t>
  </si>
  <si>
    <t>ZA656</t>
  </si>
  <si>
    <t>Tampon nesterilní NT 20 x 20 cm 05500</t>
  </si>
  <si>
    <t>ZB084</t>
  </si>
  <si>
    <t>Náplast transpore 2,50 cm x 9,14 m 1527-1</t>
  </si>
  <si>
    <t>ZC100</t>
  </si>
  <si>
    <t>Vata buničitá dělená 2 role / 500 ks 40 x 50 mm 1230200310</t>
  </si>
  <si>
    <t>ZC845</t>
  </si>
  <si>
    <t>Kompresa NT 10 x 20 cm / 5 ks sterilní 26621</t>
  </si>
  <si>
    <t>ZC854</t>
  </si>
  <si>
    <t>Kompresa NT 7,5 x 7,5 cm / 2 ks sterilní 26510</t>
  </si>
  <si>
    <t>ZC885</t>
  </si>
  <si>
    <t>Náplast omnifix E 10 cm x 10 m 900650</t>
  </si>
  <si>
    <t>ZD104</t>
  </si>
  <si>
    <t>Náplast omniplast 10,0 cm x 10,0 m 9004472 (900535)</t>
  </si>
  <si>
    <t>ZD111</t>
  </si>
  <si>
    <t>Náplast omnifix E 5 cm x 10 m 9006493</t>
  </si>
  <si>
    <t>ZF352</t>
  </si>
  <si>
    <t>Náplast transpore bílá 2,50 cm x 9,14 m bal. á 12 ks 1534-1</t>
  </si>
  <si>
    <t>ZF746</t>
  </si>
  <si>
    <t>Hydrosorb 5 x 7,5 cm sterilní bal. á 5 ks 900853</t>
  </si>
  <si>
    <t>ZI558</t>
  </si>
  <si>
    <t>Náplast curapor   7 x   5 cm 22120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</si>
  <si>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</si>
  <si>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</si>
  <si>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</si>
  <si>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</si>
  <si>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</si>
  <si>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</si>
  <si>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</si>
  <si>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</si>
  <si>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ZI974</t>
  </si>
  <si>
    <t>Pěna střední V.A.C M8275052</t>
  </si>
  <si>
    <t>ZI977</t>
  </si>
  <si>
    <t>Kanystr s gelem V.A.C. 500 ml M6275063</t>
  </si>
  <si>
    <t>ZK352</t>
  </si>
  <si>
    <t>Hyiodine rotok na chronické rány bal. á 50 ml HYIODINE</t>
  </si>
  <si>
    <t>ZK759</t>
  </si>
  <si>
    <t>Náplast water resistant cosmos bal. á 20 ks (10+10) 5351233</t>
  </si>
  <si>
    <t>ZG612</t>
  </si>
  <si>
    <t>Krytí mepilex 10 x 10 cm bal. á 5 ks 294100</t>
  </si>
  <si>
    <t>ZK920</t>
  </si>
  <si>
    <t>Kanystr Info V.A.C. M8275063</t>
  </si>
  <si>
    <t>ZL667</t>
  </si>
  <si>
    <t>Náplast tegaderm i.v. advanced 6,5 cm x 7 cm bal. á 100 ks 1683</t>
  </si>
  <si>
    <t>ZL854</t>
  </si>
  <si>
    <t>Krytí mastný tyl jelonet 10 x 10 cm á 36 ks 66007478</t>
  </si>
  <si>
    <t>ZK087</t>
  </si>
  <si>
    <t>Krém cavilon ochranný bariérový á 28 g bal. á 12 ks 3391E</t>
  </si>
  <si>
    <t>ZA472</t>
  </si>
  <si>
    <t>Krytí melgisorb alginátové 10 x 10 cm bal. á 10 ks 251100</t>
  </si>
  <si>
    <t>ZL976</t>
  </si>
  <si>
    <t>Kanystr renasys EZ 800 ml 66800912</t>
  </si>
  <si>
    <t>ZA615</t>
  </si>
  <si>
    <t>Tampón cavilon 1 ml bal. á 25 ks 3343E</t>
  </si>
  <si>
    <t>ZA638</t>
  </si>
  <si>
    <t>Set kardio 1 bal. á 35 ks 41026</t>
  </si>
  <si>
    <t>ZA492</t>
  </si>
  <si>
    <t>Krytí suprasorb H 10 x 10 cm hydrokoloidní standard bal. á 10 ks 20403</t>
  </si>
  <si>
    <t>ZF748</t>
  </si>
  <si>
    <t>Krytí suprasorb H 14x14 cm bal. á 5 ks 20430</t>
  </si>
  <si>
    <t>ZF423</t>
  </si>
  <si>
    <t>Krytí suprasorb F 10 cm x 10 m role nesterilní foliový obvaz 20468</t>
  </si>
  <si>
    <t>ZC103</t>
  </si>
  <si>
    <t>Krytí hydrocoll sacrum 12 x 18 cm bal. á 5 ks 900755</t>
  </si>
  <si>
    <t>ZL982</t>
  </si>
  <si>
    <t>Gáza renasys-G střední set 66800934</t>
  </si>
  <si>
    <t>ZA119</t>
  </si>
  <si>
    <t>Trokar hrudní 18F 30 cm 636,18</t>
  </si>
  <si>
    <t>ZA728</t>
  </si>
  <si>
    <t>Lopatka lékařská nesterilní dřevěná ústní bal. á 100 ks 1320100655</t>
  </si>
  <si>
    <t>ZA738</t>
  </si>
  <si>
    <t>Filtr mini spike zelený 4550242</t>
  </si>
  <si>
    <t>ZA787</t>
  </si>
  <si>
    <t>Stříkačka injekční 2-dílná 10 ml L Inject Solo 4606108V</t>
  </si>
  <si>
    <t>ZA788</t>
  </si>
  <si>
    <t>Stříkačka injekční 2-dílná 20 ml L Inject Solo 4606205V</t>
  </si>
  <si>
    <t>ZA789</t>
  </si>
  <si>
    <t>Stříkačka injekční 2-dílná 2 ml L Inject Solo 4606027V</t>
  </si>
  <si>
    <t>ZA812</t>
  </si>
  <si>
    <t>Uzávěr do katetrů 4435001</t>
  </si>
  <si>
    <t>ZA883</t>
  </si>
  <si>
    <t>Rourka rektální CH18 délka 40 cm 19-18.100</t>
  </si>
  <si>
    <t>ZB006</t>
  </si>
  <si>
    <t>Teploměr digitální thermoval basic 9250391</t>
  </si>
  <si>
    <t>ZB078</t>
  </si>
  <si>
    <t>Láhev redon drenofast 600 ml-kompletní á 30 ks 28 600</t>
  </si>
  <si>
    <t>ZB097</t>
  </si>
  <si>
    <t>Trokar hrudní Argyle Ch24/41 cm bal. á 10 ks 8888561050</t>
  </si>
  <si>
    <t>ZB307</t>
  </si>
  <si>
    <t>Sáček náhradní 3,5 l Ureofix s posuvnou svorkou 4417543</t>
  </si>
  <si>
    <t>ZB338</t>
  </si>
  <si>
    <t>Hadička spojovací tlaková unicath pr. 1,0 mm x 200 cm PB 3120 M</t>
  </si>
  <si>
    <t>ZB668</t>
  </si>
  <si>
    <t>Hadička tlaková spojovací unicath pr. 1,0 mm x   50 cm PB 3105 M</t>
  </si>
  <si>
    <t>ZB756</t>
  </si>
  <si>
    <t>Zkumavka 3 ml K3 edta fialová 454086</t>
  </si>
  <si>
    <t>ZB757</t>
  </si>
  <si>
    <t>Zkumavka 6 ml K3 edta fialová 456036</t>
  </si>
  <si>
    <t>ZB759</t>
  </si>
  <si>
    <t>Zkumavka červená 8 ml gel 455071</t>
  </si>
  <si>
    <t>ZB762</t>
  </si>
  <si>
    <t>Zkumavka červená 6 ml 456092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</si>
  <si>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</si>
  <si>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</si>
  <si>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</si>
  <si>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</si>
  <si>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</si>
  <si>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</si>
  <si>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ZB893</t>
  </si>
  <si>
    <t>Stříkačka inzulinová omnican 0,5 ml 100j s jehlou 30 G 9151125S</t>
  </si>
  <si>
    <t>ZB949</t>
  </si>
  <si>
    <t>Pinzeta UH sterilní HAR999565</t>
  </si>
  <si>
    <t>ZC648</t>
  </si>
  <si>
    <t>Elektroda EKG s gelem ovál 51 x 33 mm pro dospělé H-108006</t>
  </si>
  <si>
    <t>ZC751</t>
  </si>
  <si>
    <t>Čepelka skalpelová 11 BB511</t>
  </si>
  <si>
    <t>ZC766</t>
  </si>
  <si>
    <t>Nůžky chirurgické rovné hrotnaté P00768</t>
  </si>
  <si>
    <t>ZD650</t>
  </si>
  <si>
    <t>Aquapak - sterilní voda 340 ml s adaptérem bal. á 20 ks 400340</t>
  </si>
  <si>
    <t>ZD837</t>
  </si>
  <si>
    <t>Elektroda EKG-TAB pěnová 25 x 25 mm bal. á 5000 ks 19.000.00.715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</si>
  <si>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</si>
  <si>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</si>
  <si>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</si>
  <si>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</si>
  <si>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</si>
  <si>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455007</t>
  </si>
  <si>
    <t>ZH491</t>
  </si>
  <si>
    <t>Stříkačka injekční 3-dílná 50 - 60 ml LL MRG00711</t>
  </si>
  <si>
    <t>ZH493</t>
  </si>
  <si>
    <t>Katetr močový foley CH16 180605-000160</t>
  </si>
  <si>
    <t>ZH816</t>
  </si>
  <si>
    <t>Katetr močový foley CH14 180605-000140</t>
  </si>
  <si>
    <t>ZI179</t>
  </si>
  <si>
    <t>Zkumavka s mediem+ flovakovaný tampon eSwab růžový 490CE.A</t>
  </si>
  <si>
    <t>ZJ310</t>
  </si>
  <si>
    <t>Katetr močový foley CH12 180605-000120</t>
  </si>
  <si>
    <t>ZK798</t>
  </si>
  <si>
    <t>Zátka combi modrá 4495152</t>
  </si>
  <si>
    <t>ZB077</t>
  </si>
  <si>
    <t>Láhev redon drenofast 600 ml-samostatná 28 650</t>
  </si>
  <si>
    <t>ZB298</t>
  </si>
  <si>
    <t>Trokar hrudní Argyle Ch16/25 cm bal. á 10 ks 8888561035</t>
  </si>
  <si>
    <t>ZC748</t>
  </si>
  <si>
    <t>Brýle kyslíkové 210 cm, á 50 ks, 1104</t>
  </si>
  <si>
    <t>ZK735</t>
  </si>
  <si>
    <t>Konektor bezjehlový caresite bal. á 200 ks dohodnutá cena 7,93 Kč bez DPH 415122</t>
  </si>
  <si>
    <t>ZL717</t>
  </si>
  <si>
    <t>Kanyla introcan safety 3 modrá 22G bal. á 50 ks 4251128-01</t>
  </si>
  <si>
    <t>ZL718</t>
  </si>
  <si>
    <t>Kanyla introcan safety 3 růžová 20G bal. á 50 ks 4251130-01</t>
  </si>
  <si>
    <t>ZL688</t>
  </si>
  <si>
    <t>Proužky Accu-Check Inform IIStrip 50 EU1 á 50 ks 05942861</t>
  </si>
  <si>
    <t>ZL689</t>
  </si>
  <si>
    <t>Roztok Accu-Check Performa Int´l Controls 1+2 level 04861736</t>
  </si>
  <si>
    <t>ZB743</t>
  </si>
  <si>
    <t>Manžeta TK k tonometru dospělá dvouhadičková na suchý zip P00171</t>
  </si>
  <si>
    <t>ZC735</t>
  </si>
  <si>
    <t>Vzduchovod ústní guedell 100 mm 24107</t>
  </si>
  <si>
    <t>ZD030</t>
  </si>
  <si>
    <t>Skalpel jednorázový cutfix sterilní bal. á 10 ks 5518040</t>
  </si>
  <si>
    <t>ZJ672</t>
  </si>
  <si>
    <t>Pohár na moč 250 ml UH GAMA204809</t>
  </si>
  <si>
    <t>ZC894</t>
  </si>
  <si>
    <t>Kryt průtokoměru plastový 100 162-087-902</t>
  </si>
  <si>
    <t>ZA715</t>
  </si>
  <si>
    <t>Set infuzní intrafix primeline classic 150 cm 4062957</t>
  </si>
  <si>
    <t>ZA804</t>
  </si>
  <si>
    <t>Sáček močový ureofix s hod.diurézou 500 ml klasik s výpustí a antiref. ventilem hadička 120 cm 4417930</t>
  </si>
  <si>
    <t>ZA834</t>
  </si>
  <si>
    <t>Jehla injekční 0,7 x 40 mm černá 4660021</t>
  </si>
  <si>
    <t>ZA835</t>
  </si>
  <si>
    <t>Jehla injekční 0,6 x 25 mm modrá 4657667</t>
  </si>
  <si>
    <t>ZA999</t>
  </si>
  <si>
    <t>Jehla injekční 0,5 x   16 mm oranžová 4657853</t>
  </si>
  <si>
    <t>ZB556</t>
  </si>
  <si>
    <t>Jehla injekční 1,2 x   40 mm růžová 4665120</t>
  </si>
  <si>
    <t>ZB767</t>
  </si>
  <si>
    <t>Jehla vakuová 226/38 mm černá 450075</t>
  </si>
  <si>
    <t>ZB768</t>
  </si>
  <si>
    <t>Jehla vakuová 216/38 mm zelená 450076</t>
  </si>
  <si>
    <t>ZK475</t>
  </si>
  <si>
    <t>Rukavice operační latexové s pudrem ansell medigrip plus vel. 7,0 303504 (303364)</t>
  </si>
  <si>
    <t>ZM292</t>
  </si>
  <si>
    <t>Rukavice nitril sempercare bez p. M bal. á 200 ks 30803</t>
  </si>
  <si>
    <t>ZM291</t>
  </si>
  <si>
    <t>Rukavice nitril sempercare bez p. S bal. á 200 ks 30802</t>
  </si>
  <si>
    <t>ZM293</t>
  </si>
  <si>
    <t>Rukavice nitril sempercare bez p. L bal. á 200 ks 30804</t>
  </si>
  <si>
    <t>DG388</t>
  </si>
  <si>
    <t>Játrový bujon (10ml)</t>
  </si>
  <si>
    <t>DG395</t>
  </si>
  <si>
    <t>Diagnostická souprava ABO set monoklonální na 30</t>
  </si>
  <si>
    <t>ZB751</t>
  </si>
  <si>
    <t>Hadice PVC 8/12 á 30 m P00468</t>
  </si>
  <si>
    <t>ZD671</t>
  </si>
  <si>
    <t>Převodník tlakový PX2X2 dvojitý bal. á 8 ks T005074A</t>
  </si>
  <si>
    <t>ZB669</t>
  </si>
  <si>
    <t>Hadice odsávací 2 kohouty 7/11, délka 180 cm Softub TA 7181</t>
  </si>
  <si>
    <t>ZC798</t>
  </si>
  <si>
    <t>Fonendoskop oboustranný 47 mm pro dospělé KVS-30L</t>
  </si>
  <si>
    <t>ZA317</t>
  </si>
  <si>
    <t>Krytí s mastí atrauman 5 x  5 cm bal. á 10 ks 499510</t>
  </si>
  <si>
    <t>ZA318</t>
  </si>
  <si>
    <t>Náplast transpore 1,25 cm x 9,14 m 1527-0</t>
  </si>
  <si>
    <t>ZA319</t>
  </si>
  <si>
    <t>Náplast durapore 2,50 cm x 9,14 m bal. á 12 ks 1538-1</t>
  </si>
  <si>
    <t>ZA421</t>
  </si>
  <si>
    <t>Obinadlo elastické idealtex 10 cm x 5 m 931062</t>
  </si>
  <si>
    <t>ZA423</t>
  </si>
  <si>
    <t>Obinadlo elastické idealtex 12 cm x 5 m 9310633</t>
  </si>
  <si>
    <t>ZA466</t>
  </si>
  <si>
    <t>Tyčinka vatová sterilní 14 cm bal. á 200 ks 9679501</t>
  </si>
  <si>
    <t>ZA539</t>
  </si>
  <si>
    <t>Kompresa NT 10 x 10 cm nesterilní 06103</t>
  </si>
  <si>
    <t>ZA589</t>
  </si>
  <si>
    <t>Tampon sterilní stáčený 30 x 30 cm / 5 ks karton á 1500 ks 28007</t>
  </si>
  <si>
    <t>ZA617</t>
  </si>
  <si>
    <t>Tampon TC-OC k ošetření dutiny ústní á 250 ks 12240</t>
  </si>
  <si>
    <t>ZC506</t>
  </si>
  <si>
    <t>Kompresa NT 10 x 10 cm / 5 ks sterilní 1325020275</t>
  </si>
  <si>
    <t>ZC843</t>
  </si>
  <si>
    <t>Krytí gelitacel 5 x 7 cm GC-507 bal. á 15 ks 742532</t>
  </si>
  <si>
    <t>ZD633</t>
  </si>
  <si>
    <t>Krytí mepilex border sacrum 18 x 18 cm bal. á 5 ks 282000-01</t>
  </si>
  <si>
    <t>ZK646</t>
  </si>
  <si>
    <t>Náplast tegaderm CHG 8,5 cm x 11,5 cm na CŽK-antibakt. bal. á 25 ks 1657R</t>
  </si>
  <si>
    <t>ZE396</t>
  </si>
  <si>
    <t>Krytí mastný tyl grassolind 7,5 x 10 cm bal. á 10 ks 499313</t>
  </si>
  <si>
    <t>ZM325</t>
  </si>
  <si>
    <t>Hyiodine gel na chronické rány á 22 g HYIODINE22</t>
  </si>
  <si>
    <t>ZF714</t>
  </si>
  <si>
    <t>Náplast derma plast sensitive spots pr.22 mm bal. á 200 ks 535382</t>
  </si>
  <si>
    <t>ZF422</t>
  </si>
  <si>
    <t>Krytí suprasorb X  9 x 9 cm bal. á 5 ks 20531</t>
  </si>
  <si>
    <t>ZA170</t>
  </si>
  <si>
    <t>Pásek k TS kanyle pěnový 520000</t>
  </si>
  <si>
    <t>ZA428</t>
  </si>
  <si>
    <t>Systém odsávací uzavřený CH14 jednocestný 57 cm 72 hod. bal. á 20 ks Z110-14</t>
  </si>
  <si>
    <t>ZA689</t>
  </si>
  <si>
    <t>Hadička spojovací tlaková unicath pr. 1,0 mm x 150 cm PB 3115 M</t>
  </si>
  <si>
    <t>ZA727</t>
  </si>
  <si>
    <t>Kontejner 30 ml sterilní 331690251750</t>
  </si>
  <si>
    <t>ZA790</t>
  </si>
  <si>
    <t>Stříkačka injekční 2-dílná 5 ml L Inject Solo4606051V</t>
  </si>
  <si>
    <t>ZA964</t>
  </si>
  <si>
    <t>Stříkačka janett 3-dílná 60 ml sterilní vyplachovací MRG564</t>
  </si>
  <si>
    <t>ZB102</t>
  </si>
  <si>
    <t>Láhev k odsávačce flovac 1l hadice 1,8 m á 45 ks 000-036-020</t>
  </si>
  <si>
    <t>ZB103</t>
  </si>
  <si>
    <t>Láhev k odsávačce flovac 2l hadice 1,8 m 000-036-021</t>
  </si>
  <si>
    <t>ZB295</t>
  </si>
  <si>
    <t>Filtr iso-gard hepa čistý bal. á 20 ks 28012</t>
  </si>
  <si>
    <t>ZB301</t>
  </si>
  <si>
    <t>Rampa 5 kohoutů bal. á 20 ks RP 5000 M</t>
  </si>
  <si>
    <t>ZB302</t>
  </si>
  <si>
    <t>Rampa 3 kohouty RP 3000 M</t>
  </si>
  <si>
    <t>ZB311</t>
  </si>
  <si>
    <t>Kanyla ET 8.5 mm s manž. bal. á 20 ks 100/199/085</t>
  </si>
  <si>
    <t>ZB424</t>
  </si>
  <si>
    <t>Elektroda EKG H34SG 31.1946.21</t>
  </si>
  <si>
    <t>ZB477</t>
  </si>
  <si>
    <t>Kohout trojcestný lopez valve AA-011-M9000 S</t>
  </si>
  <si>
    <t>ZB598</t>
  </si>
  <si>
    <t>Spojka symetrická přímá 7 x 7 mm 60.23.00 (120 430)</t>
  </si>
  <si>
    <t>ZB777</t>
  </si>
  <si>
    <t>Zkumavka červená 4 ml gel 454071</t>
  </si>
  <si>
    <t>ZB796</t>
  </si>
  <si>
    <t>Stříkačka injekční 3-dílná 30 ml LL Omnifix Solo 4617304F</t>
  </si>
  <si>
    <t>ZB798</t>
  </si>
  <si>
    <t>Stříkačka injekční 2-dílná 20 ml LL Inject Solo 4606736V</t>
  </si>
  <si>
    <t>ZB988</t>
  </si>
  <si>
    <t>System hrudní drenáže Pleur-evac bal. á 6 ks pro dospělé A-6000-08LF</t>
  </si>
  <si>
    <t>ZC166</t>
  </si>
  <si>
    <t>Manžeta přetlaková   500 ml 100 ZIT-500 (100 051-018-803)</t>
  </si>
  <si>
    <t>ZC586</t>
  </si>
  <si>
    <t>Filtr H-V kompaktní kombinovaný sterilní přímý á 25 ks 19401</t>
  </si>
  <si>
    <t>ZC769</t>
  </si>
  <si>
    <t>Hadička spojovací HS 1,8 x 450LL 606301</t>
  </si>
  <si>
    <t>ZC777</t>
  </si>
  <si>
    <t>Filtr sací MSF 271-022-001</t>
  </si>
  <si>
    <t>ZC863</t>
  </si>
  <si>
    <t>Hadička spojovací HS 1,8 x 1800LL 606304</t>
  </si>
  <si>
    <t>ZC906</t>
  </si>
  <si>
    <t>Škrtidlo se sponou pro dospělé 25 x 500 mm KVS25500</t>
  </si>
  <si>
    <t>ZD113</t>
  </si>
  <si>
    <t>Manžeta fixační Ute-Fix á 30 ks NKS:40-06</t>
  </si>
  <si>
    <t>ZD212</t>
  </si>
  <si>
    <t>Brýle kyslíkové pro dospělé 1161000/L</t>
  </si>
  <si>
    <t>ZD808</t>
  </si>
  <si>
    <t>Kanyla vasofix 22G modrá safety 4269098S-01</t>
  </si>
  <si>
    <t>ZD809</t>
  </si>
  <si>
    <t>Kanyla vasofix 20G růžová safety 4269110S-01</t>
  </si>
  <si>
    <t>ZE146</t>
  </si>
  <si>
    <t>In-Line-Neb Tee Kit  bal. á 50 ks 41745</t>
  </si>
  <si>
    <t>ZG001</t>
  </si>
  <si>
    <t>Husí krk expandi-flex s dvojtou otočnou spojkou á 30 ks 22531</t>
  </si>
  <si>
    <t>ZH845</t>
  </si>
  <si>
    <t>Tyčinka vatová medcomfort + glyc. citónová příchuť bal. á 75 ks 09157-100</t>
  </si>
  <si>
    <t>ZI182</t>
  </si>
  <si>
    <t>Zkumavka + aplikátor s chem.stabilizátorem UriSwab žlutá 802CE.A</t>
  </si>
  <si>
    <t>ZJ312</t>
  </si>
  <si>
    <t>Sonda žaludeční CH16 1200 mm s RTG linkou bal. á 50 ks 412016</t>
  </si>
  <si>
    <t>ZJ695</t>
  </si>
  <si>
    <t>Sonda žaludeční CH14 1200 mm s RTG linkou bal. á 50 ks 412014</t>
  </si>
  <si>
    <t>ZK799</t>
  </si>
  <si>
    <t>Zátka combi červená 4495101</t>
  </si>
  <si>
    <t>ZK884</t>
  </si>
  <si>
    <t>Kohout trojcestný discofix modrý 4095111</t>
  </si>
  <si>
    <t>ZK977</t>
  </si>
  <si>
    <t>Cévka odsávací CH14 s přerušovačem sání P01173a</t>
  </si>
  <si>
    <t>ZK978</t>
  </si>
  <si>
    <t>Cévka odsávací CH16 s přerušovačem sání P01175a</t>
  </si>
  <si>
    <t>ZA969</t>
  </si>
  <si>
    <t>Flocare set pro gravitační výživu 35146 (569920)</t>
  </si>
  <si>
    <t>ZB263</t>
  </si>
  <si>
    <t>Kanyla TS 9,0 s manžetou bal. á 2 ks 100/523/090</t>
  </si>
  <si>
    <t>ZB303</t>
  </si>
  <si>
    <t>Spojka asymetrická 4 x 7 mm 120 420</t>
  </si>
  <si>
    <t>ZB545</t>
  </si>
  <si>
    <t>Spojka asymetrická 7-10 60 mm 75111</t>
  </si>
  <si>
    <t>ZC351</t>
  </si>
  <si>
    <t>Systém odsávací uzavřený CH14 jednocestný 30 cm 72 hod. bal. á 20 ks Z115-14</t>
  </si>
  <si>
    <t>ZD021</t>
  </si>
  <si>
    <t>Láhev 0,50 l šroubový uzávěr 111-888-055</t>
  </si>
  <si>
    <t>ZD146</t>
  </si>
  <si>
    <t>Vak drenážní sběrný lumbální  EDM 27666</t>
  </si>
  <si>
    <t>ZB389</t>
  </si>
  <si>
    <t>Kanyla ET 9,0 s manžetou bal. á 10 ks 9590E</t>
  </si>
  <si>
    <t>ZH299</t>
  </si>
  <si>
    <t>Lžíce laryngoskopická 3 bal. á 10 ks 670150-100030</t>
  </si>
  <si>
    <t>ZH090</t>
  </si>
  <si>
    <t>Návlek na termodiluční katetr Catheter Contamination Shield bal. á 25 ks ST-09875</t>
  </si>
  <si>
    <t>ZM947</t>
  </si>
  <si>
    <t>Obturator k sheatu Swan-Ganz katetru AO-09000</t>
  </si>
  <si>
    <t>ZC218</t>
  </si>
  <si>
    <t>Katetr dialyzační 2 lumen  14,0Fr 15 cm CS-22142-F</t>
  </si>
  <si>
    <t>ZC998</t>
  </si>
  <si>
    <t>Katetr centrální žilní-set CS-04400</t>
  </si>
  <si>
    <t>ZA254</t>
  </si>
  <si>
    <t>Katetr SG CCO,CEDV,CSvO2 7,5F 774HF75</t>
  </si>
  <si>
    <t>ZC212</t>
  </si>
  <si>
    <t>Katetr term.+ sheat 7Fr AH-05050</t>
  </si>
  <si>
    <t>ZE079</t>
  </si>
  <si>
    <t>Set transfúzní non PVC s odvzdušněním a bakteriálním filtrem ZAR-I-TS</t>
  </si>
  <si>
    <t>ZE420</t>
  </si>
  <si>
    <t>Set hadicový pro aquarius hemofiltr HF19 AQUASET19</t>
  </si>
  <si>
    <t>ZA832</t>
  </si>
  <si>
    <t>Jehla injekční 0,9 x 40 mm žlutá 4657519</t>
  </si>
  <si>
    <t>ZA833</t>
  </si>
  <si>
    <t>Jehla injekční 0,8 x 40 mm zelená 4657527</t>
  </si>
  <si>
    <t>ZB769</t>
  </si>
  <si>
    <t>Jehla vakuová 206/38 mm žlutá 450077</t>
  </si>
  <si>
    <t>ZL073</t>
  </si>
  <si>
    <t>Rukavice operační gammex bez pudru PF EnLite vel. 7,5 353385</t>
  </si>
  <si>
    <t>DG382</t>
  </si>
  <si>
    <t>Bactec Plus Aerobic</t>
  </si>
  <si>
    <t>DG385</t>
  </si>
  <si>
    <t>Bactec Plus Anaerobic</t>
  </si>
  <si>
    <t>DA002</t>
  </si>
  <si>
    <t>PROUZKY TETRAPHAN DIA  KATALOGO</t>
  </si>
  <si>
    <t>DD075</t>
  </si>
  <si>
    <t>MEMBR.SOUPRAVA REF.D711</t>
  </si>
  <si>
    <t>DF171</t>
  </si>
  <si>
    <t>KALIBRACNI ROZTOK1  S1820 (ABL 825)</t>
  </si>
  <si>
    <t>DF169</t>
  </si>
  <si>
    <t>PROMYVACI ROZTOK S4980 (ABL 825)</t>
  </si>
  <si>
    <t>DF445</t>
  </si>
  <si>
    <t>Odpadni nadoba D512 600 ml</t>
  </si>
  <si>
    <t>DF504</t>
  </si>
  <si>
    <t>Zkumavka s heparinasou a 20 ks</t>
  </si>
  <si>
    <t>DD309</t>
  </si>
  <si>
    <t>Laktátová membránová souprava, D7077</t>
  </si>
  <si>
    <t>DD268</t>
  </si>
  <si>
    <t>SADA MEMBRAN PRO CA ELDU</t>
  </si>
  <si>
    <t>DG379</t>
  </si>
  <si>
    <t>Doprava 21%</t>
  </si>
  <si>
    <t>ZC772</t>
  </si>
  <si>
    <t>Maska aerosolová pro dospělé 13101</t>
  </si>
  <si>
    <t>ZL249</t>
  </si>
  <si>
    <t>Hadice vrapovaná bal. á 50 m 038-01-228</t>
  </si>
  <si>
    <t>ZF295</t>
  </si>
  <si>
    <t>Okruh anesteziologický 1,6 m s nízkou poddajností 038-01-130</t>
  </si>
  <si>
    <t>ZA337</t>
  </si>
  <si>
    <t>Náplast softpore 1,25 cm x 9,15 m bal. á 24 ks 1320103111</t>
  </si>
  <si>
    <t>ZA443</t>
  </si>
  <si>
    <t>Šátek trojcípý pletený 125 x 85 x 85 cm 20001</t>
  </si>
  <si>
    <t>ZA444</t>
  </si>
  <si>
    <t>Tampon nesterilní stáčený 20 x 19 cm 1320300404</t>
  </si>
  <si>
    <t>ZA465</t>
  </si>
  <si>
    <t>Fólie incizní raucodrape sterilní 45 x 50 cm 23445</t>
  </si>
  <si>
    <t>ZA502</t>
  </si>
  <si>
    <t>Tampon nesterilní stáčený 30 x 60 cm 1320300406</t>
  </si>
  <si>
    <t>ZA504</t>
  </si>
  <si>
    <t>Krytí hypafix transparent (náhrada za krytí opsite flexifix 10 cm x 10 m) 7237801</t>
  </si>
  <si>
    <t>ZB404</t>
  </si>
  <si>
    <t>Náplast cosmos 8 cm x 1 m 5403353</t>
  </si>
  <si>
    <t>ZF080</t>
  </si>
  <si>
    <t>Tampon šitý 12 x 47 cm karton á 300 ks 1230100311</t>
  </si>
  <si>
    <t>ZL684</t>
  </si>
  <si>
    <t>Náplast santiband standard poinjekční jednotl. baleno 19 mm x 72 mm 652</t>
  </si>
  <si>
    <t>ZL789</t>
  </si>
  <si>
    <t>Obvaz sterilní hotový č. 2 A4091360</t>
  </si>
  <si>
    <t>ZL790</t>
  </si>
  <si>
    <t>Obvaz sterilní hotový č. 3 A4101144</t>
  </si>
  <si>
    <t>ZL996</t>
  </si>
  <si>
    <t>Obinadlo hyrofilní sterilní  8 cm x 5 m  004310182</t>
  </si>
  <si>
    <t>ZL997</t>
  </si>
  <si>
    <t>Obinadlo hyrofilní sterilní 10 cm x 5 m  004310174</t>
  </si>
  <si>
    <t>ZL995</t>
  </si>
  <si>
    <t>Obinadlo hyrofilní sterilní  6 cm x 5 m  004310190</t>
  </si>
  <si>
    <t>ZL999</t>
  </si>
  <si>
    <t>Rychloobvaz 8 x 4 cm / 3 ks ( pro obj. 1 kus = 3 náplasti) 001445510</t>
  </si>
  <si>
    <t>ZF042</t>
  </si>
  <si>
    <t>Krytí mastný tyl jelonet 10 x 10 cm á 10 ks 7404</t>
  </si>
  <si>
    <t>ZA494</t>
  </si>
  <si>
    <t>Fólie incizní rucodrape ( opraflex ) 45 x 20 cm 25443</t>
  </si>
  <si>
    <t>KG693</t>
  </si>
  <si>
    <t>oxygenátor medos hilite 7000 rheoparin LGTME6201C001</t>
  </si>
  <si>
    <t>KG694</t>
  </si>
  <si>
    <t>set hadicový medos reoparin coated LGTMEH1C1754</t>
  </si>
  <si>
    <t>KG695</t>
  </si>
  <si>
    <t>set kardioplegie LGTMEH32780</t>
  </si>
  <si>
    <t>KG779</t>
  </si>
  <si>
    <t>set hadicový medos reoparin coated LGTMEH2C1753</t>
  </si>
  <si>
    <t>KG780</t>
  </si>
  <si>
    <t>rezervoár venózní MVC4030 rheoparin LGTME62210100</t>
  </si>
  <si>
    <t>KG855</t>
  </si>
  <si>
    <t>oxygenátor terumo capiox RX-25 CX-RX25RW</t>
  </si>
  <si>
    <t>KG856</t>
  </si>
  <si>
    <t>set hadicový k oxygenátoru terumo P2091</t>
  </si>
  <si>
    <t>KH443</t>
  </si>
  <si>
    <t>Sonda-cryo surgical probe 60CM1</t>
  </si>
  <si>
    <t>KH584</t>
  </si>
  <si>
    <t>stabilizátor Octopus AS TS2500</t>
  </si>
  <si>
    <t>KH585</t>
  </si>
  <si>
    <t>set Octopus AS a Starfish EVO EASE</t>
  </si>
  <si>
    <t>KH587</t>
  </si>
  <si>
    <t>ofuk Blow mister 22150</t>
  </si>
  <si>
    <t>ZA161</t>
  </si>
  <si>
    <t>Zavaděč bal. á 10 ks CI09800</t>
  </si>
  <si>
    <t>ZA759</t>
  </si>
  <si>
    <t>Drén redon CH10 50 cm U2111000</t>
  </si>
  <si>
    <t>ZA791</t>
  </si>
  <si>
    <t>Stříkačka janett 3-dílná 140-160 ml sterilní vyplachovací JNP1543 MED114408</t>
  </si>
  <si>
    <t>ZB074</t>
  </si>
  <si>
    <t>Kanyla venózní vakuová TF292902A</t>
  </si>
  <si>
    <t>ZB164</t>
  </si>
  <si>
    <t>Kyveta k hemochron ACT+  bal. 45 ks JACT+</t>
  </si>
  <si>
    <t>ZB165</t>
  </si>
  <si>
    <t>Elektroda steelex elec 3/0 á 36 ks C0992070</t>
  </si>
  <si>
    <t>ZB312</t>
  </si>
  <si>
    <t>Zavaděč trach. rourek pro TR vel. 5.0-8.0 mm bal. á 10 ks 100/120/200</t>
  </si>
  <si>
    <t>ZB358</t>
  </si>
  <si>
    <t>Kanyla venózní perfuzní jednostupňová TFM024L</t>
  </si>
  <si>
    <t>ZB450</t>
  </si>
  <si>
    <t>Vak na transfuzi bal. á 20 ks TGR0592</t>
  </si>
  <si>
    <t>ZB493</t>
  </si>
  <si>
    <t>Kanyla aortální glide 24Fr EZC24TA</t>
  </si>
  <si>
    <t>ZB504</t>
  </si>
  <si>
    <t>Kanyla venózní perfuzní jednostupňová TFM028L</t>
  </si>
  <si>
    <t>ZB532</t>
  </si>
  <si>
    <t>Senzor level 95133 SC-23-27-41</t>
  </si>
  <si>
    <t>ZB536</t>
  </si>
  <si>
    <t>Kanyla arteriální á 25 ks 682245</t>
  </si>
  <si>
    <t>ZB553</t>
  </si>
  <si>
    <t>Láhev redon hi-vac 400 ml-kompletní 05.000.22.803</t>
  </si>
  <si>
    <t>ZB670</t>
  </si>
  <si>
    <t>Hadička spojovací tlaková unicath pr. 3,0 mm x 200 cm PB 3320 M</t>
  </si>
  <si>
    <t>ZB780</t>
  </si>
  <si>
    <t>Kontejner 120 ml sterilní 331690250350</t>
  </si>
  <si>
    <t>ZB852</t>
  </si>
  <si>
    <t>Elektroda defibrilační pro dospělé adhezivní  bal. á 10 ks 130 x 100 mm 2059145-010</t>
  </si>
  <si>
    <t>ZB866</t>
  </si>
  <si>
    <t>Drát ocelový Steel 7 bal. á 12 ks M624G</t>
  </si>
  <si>
    <t>ZB964</t>
  </si>
  <si>
    <t>Výplň pro chir. svorky 86 mm, pár č.6 DSAFE86</t>
  </si>
  <si>
    <t>ZC752</t>
  </si>
  <si>
    <t>Čepelka skalpelová 15 BB515</t>
  </si>
  <si>
    <t>ZE136</t>
  </si>
  <si>
    <t>Drát ocelový flexibilní 7/45 cm bal. á 48 ks KS1-745-4</t>
  </si>
  <si>
    <t>ZF090</t>
  </si>
  <si>
    <t>Stapler kožní 783100</t>
  </si>
  <si>
    <t>ZI655</t>
  </si>
  <si>
    <t>Difuzér plynový pro mimotělní oběh P8020/00</t>
  </si>
  <si>
    <t>ZK981</t>
  </si>
  <si>
    <t>Set kardio kombi 2666711</t>
  </si>
  <si>
    <t>ZK982</t>
  </si>
  <si>
    <t>Set Revize + chlopeň 2666611</t>
  </si>
  <si>
    <t>ZB324</t>
  </si>
  <si>
    <t>Plegie cílená á 20 ks 30012</t>
  </si>
  <si>
    <t>ZB357</t>
  </si>
  <si>
    <t>Pásek adapter coronary perfusion typ Y 10004</t>
  </si>
  <si>
    <t>ZB932</t>
  </si>
  <si>
    <t>Systém cpap valve aproximate 85006 X5 bal. á 5 ks 125-20</t>
  </si>
  <si>
    <t>ZB952</t>
  </si>
  <si>
    <t>Plegie cílená á 20 ks 30010</t>
  </si>
  <si>
    <t>ZC940</t>
  </si>
  <si>
    <t>Pumpa centrifugální 050-300-000</t>
  </si>
  <si>
    <t>ZD920</t>
  </si>
  <si>
    <t>Klip horizon S-WIDE 30 x 6 bal. á 180 ks červený HZ1201</t>
  </si>
  <si>
    <t>ZG002</t>
  </si>
  <si>
    <t>Sání perikardiální SU 29602</t>
  </si>
  <si>
    <t>ZL514</t>
  </si>
  <si>
    <t>Hadička k měření tlaku bal. á 20 ks S2589 JH10.65874</t>
  </si>
  <si>
    <t>ZE550</t>
  </si>
  <si>
    <t>Kanyla arteriální s dilatátorem fem-flex á 5 ks TFA02025</t>
  </si>
  <si>
    <t>KI209</t>
  </si>
  <si>
    <t>Kleště ablační bipolární Cardioblate - Gemini 4926</t>
  </si>
  <si>
    <t>KG696</t>
  </si>
  <si>
    <t>sada aplikační (2 ks odsávací kanyla MES 9570 + 1 ks kanyla do kořene aorty MER 2015 + 1 ks hadicový organizér) MEH - APSET LGTMEH123317</t>
  </si>
  <si>
    <t>ZB365</t>
  </si>
  <si>
    <t>Kanyla aortální glide EZC21TA</t>
  </si>
  <si>
    <t>ZI016</t>
  </si>
  <si>
    <t>Lepidlo tkáňové BioGlue 5 ml BG3515-5-G</t>
  </si>
  <si>
    <t>ZL515</t>
  </si>
  <si>
    <t>Spojka Y 1/2-3/8-3/8 á 25 ks MEYK1H5440</t>
  </si>
  <si>
    <t>KC601</t>
  </si>
  <si>
    <t>acrobat SUV sada 87XO4-9000S</t>
  </si>
  <si>
    <t>ZC754</t>
  </si>
  <si>
    <t>Čepelka skalpelová 21 BB521</t>
  </si>
  <si>
    <t>ZB542</t>
  </si>
  <si>
    <t>Adaptér m/m 5206642</t>
  </si>
  <si>
    <t>ZF483</t>
  </si>
  <si>
    <t>Kanyla tracheoskopická VivaSight 37F DL DLVT37L</t>
  </si>
  <si>
    <t>ZF486</t>
  </si>
  <si>
    <t>Kanyla tracheoskopická VivaSight 39F DL DLVT39L</t>
  </si>
  <si>
    <t>ZA764</t>
  </si>
  <si>
    <t>Kanyla venózní dvoustupňová 32-40Fr TR3240OA</t>
  </si>
  <si>
    <t>ZF480</t>
  </si>
  <si>
    <t>Kanyla tracheoskopická VivaSight 35F DL DLVT35L</t>
  </si>
  <si>
    <t>ZM333</t>
  </si>
  <si>
    <t>Lepidlo tkáňové coseal premix 4 ml 934074</t>
  </si>
  <si>
    <t>ZM317</t>
  </si>
  <si>
    <t>Kanyla femorální arteriální OPTI18</t>
  </si>
  <si>
    <t>KC602</t>
  </si>
  <si>
    <t>axius blower/mister  á 5 ks CB-1000</t>
  </si>
  <si>
    <t>ZA255</t>
  </si>
  <si>
    <t>Kanyla venózní dual drainage return TF3646OA</t>
  </si>
  <si>
    <t>ZM565</t>
  </si>
  <si>
    <t>Lepidlo tkáňové floseal 5 ml 1503353</t>
  </si>
  <si>
    <t>KI533</t>
  </si>
  <si>
    <t>Set paerfuzní kardioplegický Myotherm XP M423002A</t>
  </si>
  <si>
    <t>ZE554</t>
  </si>
  <si>
    <t>Kanyla venózní femorální VFEM024</t>
  </si>
  <si>
    <t>ZM697</t>
  </si>
  <si>
    <t>Kanyla Cvent -standart aortic root 7 Fr/14 cm  bal. á 20 ks 20014</t>
  </si>
  <si>
    <t>ZM696</t>
  </si>
  <si>
    <t>Kanyla left vent catether 18Fr/38 1 cm PVC bal. á 20 ks 12118</t>
  </si>
  <si>
    <t>KC599</t>
  </si>
  <si>
    <t>acrobat SUV OM-9000S</t>
  </si>
  <si>
    <t>ZE252</t>
  </si>
  <si>
    <t>Drainobag 40 K8  5524016</t>
  </si>
  <si>
    <t>ZA704</t>
  </si>
  <si>
    <t>Držák hadic SC-05497_CZ</t>
  </si>
  <si>
    <t>ZM839</t>
  </si>
  <si>
    <t>Kanyla do safény Free flow cannula bal. á 40 ks 30007</t>
  </si>
  <si>
    <t>ZE551</t>
  </si>
  <si>
    <t>Kanyla arteriální s dilatátorem fem-flex á 5 ks TFA02225</t>
  </si>
  <si>
    <t>ZB527</t>
  </si>
  <si>
    <t>Souprava ke CATS 9005101</t>
  </si>
  <si>
    <t>KC614</t>
  </si>
  <si>
    <t>mhv masters SJM, 27MJ-501</t>
  </si>
  <si>
    <t>ZG486</t>
  </si>
  <si>
    <t>Dlaha sternální uzamykatelná 2.4 mm 460.019</t>
  </si>
  <si>
    <t>ZH558</t>
  </si>
  <si>
    <t>Šroub unilock sternální 3.0 mm 04.501.114</t>
  </si>
  <si>
    <t>ZH559</t>
  </si>
  <si>
    <t>Šroub unilock sternální 3.0 mm 04.501.116</t>
  </si>
  <si>
    <t>ZI132</t>
  </si>
  <si>
    <t>Dlaha sternální uzamykatelná 2.4 mm 460.045</t>
  </si>
  <si>
    <t>ZH560</t>
  </si>
  <si>
    <t>Šroub unilock sternální 3.0 mm 04.501.118</t>
  </si>
  <si>
    <t>ZI644</t>
  </si>
  <si>
    <t>Dlaha sternální uzamykatelná 2.4 mm 460.046</t>
  </si>
  <si>
    <t>KC607</t>
  </si>
  <si>
    <t>mhv regent SJM, 23AGFN-756</t>
  </si>
  <si>
    <t>KI338</t>
  </si>
  <si>
    <t>kroužek anuloplastický MC3 Trikuspidální 32mm 4900T32</t>
  </si>
  <si>
    <t>KI339</t>
  </si>
  <si>
    <t>kroužek anuloplastický MC3 Trikuspidální 34mm 4900T34</t>
  </si>
  <si>
    <t>KC606</t>
  </si>
  <si>
    <t>mhv regent SJM, 21AGFN-756</t>
  </si>
  <si>
    <t>ZA819</t>
  </si>
  <si>
    <t>Dlaha sternální ZipFix bal. á 20 ks 08.501.001.20S</t>
  </si>
  <si>
    <t>KC605</t>
  </si>
  <si>
    <t>mhv regent SJM, 19AGFN-756</t>
  </si>
  <si>
    <t>KI328</t>
  </si>
  <si>
    <t>kroužek anuloplastický Physio Mitrální 28mm 4450M28</t>
  </si>
  <si>
    <t>KI340</t>
  </si>
  <si>
    <t>kroužek anuloplastický MC3 Trikuspidální 36mm 4900T36</t>
  </si>
  <si>
    <t>KC621</t>
  </si>
  <si>
    <t>mhv konduit SJM 23VAVGJ-515</t>
  </si>
  <si>
    <t>KI330</t>
  </si>
  <si>
    <t>kroužek anuloplastický Physio Mitrální 32mm 4450M32</t>
  </si>
  <si>
    <t>ZD227</t>
  </si>
  <si>
    <t>Šroub unilock sternální 3.0 mm 413.582</t>
  </si>
  <si>
    <t>ZG487</t>
  </si>
  <si>
    <t>Šroub unilock sternální 3.0 mm 413.584</t>
  </si>
  <si>
    <t>ZB325</t>
  </si>
  <si>
    <t>Shunt intrakoronární 1,50 mm á 5 ks 31150</t>
  </si>
  <si>
    <t>ZB818</t>
  </si>
  <si>
    <t>Katetr CVC 3 lumen certofix protect trio 4163214P-S1+set rouškování pro CVC bal. á 10 ks 47561111</t>
  </si>
  <si>
    <t>ZC627</t>
  </si>
  <si>
    <t>Balón kontrapulzační 40CC/7,5Fr IAB-05840-LWS</t>
  </si>
  <si>
    <t>ZC630</t>
  </si>
  <si>
    <t>Katetr CVC 3 lumen set bal. á 5 ks NM-12853</t>
  </si>
  <si>
    <t>KG690</t>
  </si>
  <si>
    <t>katetr vasoview hemopro, ous C-VH-3000-W</t>
  </si>
  <si>
    <t>ZA211</t>
  </si>
  <si>
    <t>Shunt sensor (čidlo pro CDI500) 510H</t>
  </si>
  <si>
    <t>ZB583</t>
  </si>
  <si>
    <t>Shunt intrakoronární 1,75 mm á 5 ks 31175</t>
  </si>
  <si>
    <t>ZE312</t>
  </si>
  <si>
    <t>Shunt intrakoronární 1,25 mm á 5 ks 31125</t>
  </si>
  <si>
    <t>ZA199</t>
  </si>
  <si>
    <t>Katetr CVC 3 lumen 7 Fr s antimikrob.úprav. bal. á 5 ks NM-22703</t>
  </si>
  <si>
    <t>ZB485</t>
  </si>
  <si>
    <t>Katetr radioablační AT-OLL2</t>
  </si>
  <si>
    <t>KD633</t>
  </si>
  <si>
    <t>trokar xcel 11 x 100 mm D11LT-X</t>
  </si>
  <si>
    <t>KD717</t>
  </si>
  <si>
    <t>trokar xcel dilating tip D5LT-X</t>
  </si>
  <si>
    <t>ZB209</t>
  </si>
  <si>
    <t>Set transfúzní BLLP pro přetlakovou transfuzi bez vzdušného filtru hemomed 05123</t>
  </si>
  <si>
    <t>ZC966</t>
  </si>
  <si>
    <t>Set vavd-sada připoj. hadic bal. á 10 ks 500050 JH10.22807</t>
  </si>
  <si>
    <t>ZA870</t>
  </si>
  <si>
    <t>Set bez kontroly vakua yankauer bal. á 100 ks 34092182</t>
  </si>
  <si>
    <t>ZE558</t>
  </si>
  <si>
    <t>Set zavaděcí perkutální venozní fem-flex PIKV</t>
  </si>
  <si>
    <t>ZK337</t>
  </si>
  <si>
    <t>Set procedure TX175 04256</t>
  </si>
  <si>
    <t>ZM239</t>
  </si>
  <si>
    <t>Set zaváděcí perkutální venózní PIK150 JH10.47385</t>
  </si>
  <si>
    <t>ZK340</t>
  </si>
  <si>
    <t>Set collectionTX cardio 04266</t>
  </si>
  <si>
    <t>ZB145</t>
  </si>
  <si>
    <t>Šití premicron zelený 3/0 (2) bal. á 36 ks C0026815</t>
  </si>
  <si>
    <t>ZB280</t>
  </si>
  <si>
    <t>Šití prolen bl 2-0 bal. á 12 ks W8937</t>
  </si>
  <si>
    <t>ZB537</t>
  </si>
  <si>
    <t>Šití prolen bl 7-0 bal. á 36 ks EH8020H</t>
  </si>
  <si>
    <t>ZB593</t>
  </si>
  <si>
    <t>Šití prolen bl 6-0 bal. á 36 ks 8711H</t>
  </si>
  <si>
    <t>ZB609</t>
  </si>
  <si>
    <t>Šití premicron zelený 2/0 bal. á 36 ks C0026026</t>
  </si>
  <si>
    <t>ZF434</t>
  </si>
  <si>
    <t>Šití terylene 1USP 22006</t>
  </si>
  <si>
    <t>ZJ183</t>
  </si>
  <si>
    <t>Šití optime 0 kožní bal. á 36 ks 18S35F</t>
  </si>
  <si>
    <t>ZJ662</t>
  </si>
  <si>
    <t>Šití optime 3/0 18S20M</t>
  </si>
  <si>
    <t>ZA249</t>
  </si>
  <si>
    <t>Šití prolen bl 5-0 bal. á 12 ks W8556</t>
  </si>
  <si>
    <t>ZA866</t>
  </si>
  <si>
    <t>Šití prolen bl 6-0 bal. á 12 ks W8802</t>
  </si>
  <si>
    <t>ZB150</t>
  </si>
  <si>
    <t>Šití premicron Z/B 2/0 bal. á 24 ks B0027711</t>
  </si>
  <si>
    <t>ZB617</t>
  </si>
  <si>
    <t>Šití prolen bl 4-0 bal. á 12 ks W8761</t>
  </si>
  <si>
    <t>ZI869</t>
  </si>
  <si>
    <t>Šití cardioflon 2/0 19R30A</t>
  </si>
  <si>
    <t>ZJ181</t>
  </si>
  <si>
    <t>Šití optime 2/0 kožní bal. á 36 ks 18S30K</t>
  </si>
  <si>
    <t>ZA959</t>
  </si>
  <si>
    <t>Šití safil fialový 3/0 bal. á 36 ks C1048241</t>
  </si>
  <si>
    <t>ZH325</t>
  </si>
  <si>
    <t>Šití cardioflon 0 19R35A</t>
  </si>
  <si>
    <t>ZA262</t>
  </si>
  <si>
    <t>Šití steel 5 - ocelový drát bal. á 12 ks W995</t>
  </si>
  <si>
    <t>ZB148</t>
  </si>
  <si>
    <t>Šití premicron zelený 2/0 bal. á 36 ks C0026036</t>
  </si>
  <si>
    <t>ZB287</t>
  </si>
  <si>
    <t>Šití prolen bl 8-0 bal. á 12 ks W2777</t>
  </si>
  <si>
    <t>ZB149</t>
  </si>
  <si>
    <t>Šití premicron Z/B 2/0 bal. á 24 ks B0027720</t>
  </si>
  <si>
    <t>ZM717</t>
  </si>
  <si>
    <t>Šití prolen bl 4-0 s 26j VISI Black bal. á 12 ks W8355</t>
  </si>
  <si>
    <t>ZM716</t>
  </si>
  <si>
    <t>Šití prolen bl 4-0 s 20j VISI Black bal. á 12 ks W8340</t>
  </si>
  <si>
    <t>ZB479</t>
  </si>
  <si>
    <t>Jehla chirurgická B12</t>
  </si>
  <si>
    <t>ZB480</t>
  </si>
  <si>
    <t>Jehla chirurgická G10</t>
  </si>
  <si>
    <t>ZB276</t>
  </si>
  <si>
    <t>Jehla chirurgická B8</t>
  </si>
  <si>
    <t>ZD888</t>
  </si>
  <si>
    <t>Jehla veressova insuflační 120 mm 05151.1</t>
  </si>
  <si>
    <t>ZM694</t>
  </si>
  <si>
    <t>Jehla chirurgická E1</t>
  </si>
  <si>
    <t>ZM695</t>
  </si>
  <si>
    <t>Jehla chirurgická E2</t>
  </si>
  <si>
    <t>ZB169</t>
  </si>
  <si>
    <t>Jehla chirurgická PB3</t>
  </si>
  <si>
    <t>ZB490</t>
  </si>
  <si>
    <t>Jehla chirurgická PB6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</si>
  <si>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</si>
  <si>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</si>
  <si>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</si>
  <si>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</si>
  <si>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ZF431</t>
  </si>
  <si>
    <t>Rukavice operační gammex PF sensitive vel. 7,5 353195</t>
  </si>
  <si>
    <t>ZL425</t>
  </si>
  <si>
    <t>Rukavice operační ansell sensi - touch vel. 7,0 bal. á 40 párů 8050153</t>
  </si>
  <si>
    <t>ZL426</t>
  </si>
  <si>
    <t>Rukavice operační ansell sensi - touch vel. 7,5 bal. á 40 párů 8050194(8050154)</t>
  </si>
  <si>
    <t>ZL427</t>
  </si>
  <si>
    <t>Rukavice operační ansell sensi - touch vel. 8,0 bal. á 40 párů 8050195(8050155)</t>
  </si>
  <si>
    <t>ZJ718</t>
  </si>
  <si>
    <t>Rukavice operační gammex PF sensitive vel. 6,5 bal. á 25 párů 353193</t>
  </si>
  <si>
    <t>ZJ719</t>
  </si>
  <si>
    <t>Rukavice operační gammex PF sensitive vel. 6,0 bal. á 25 párů 353192</t>
  </si>
  <si>
    <t>DC240</t>
  </si>
  <si>
    <t>KALIBRACNI ROZTOK S1720</t>
  </si>
  <si>
    <t>DC241</t>
  </si>
  <si>
    <t>KALIBRACNI ROZTOK S1730</t>
  </si>
  <si>
    <t>DB599</t>
  </si>
  <si>
    <t>PROMÝVACÍ ROZTOK S4970</t>
  </si>
  <si>
    <t>ZB153</t>
  </si>
  <si>
    <t>Vosk kostní Knochenwasch 2,5G 1029754</t>
  </si>
  <si>
    <t>ZC413</t>
  </si>
  <si>
    <t>Protéza cévní gore-tex 6 mm 40 cm N-ST0604</t>
  </si>
  <si>
    <t>KF234</t>
  </si>
  <si>
    <t>cévní náhrada bio valsalva 25 mm VC3325</t>
  </si>
  <si>
    <t>KC618</t>
  </si>
  <si>
    <t>záplata Biocor SJM B40-10 x 6 C0510</t>
  </si>
  <si>
    <t>ZA932</t>
  </si>
  <si>
    <t>Elektroda neutrální ke koagulaci bal. á 50 ks E7509</t>
  </si>
  <si>
    <t>ZB916</t>
  </si>
  <si>
    <t>Okruh anesteziologický univerzální 1,6 m 2900</t>
  </si>
  <si>
    <t>ZB790</t>
  </si>
  <si>
    <t>Hadice k flokaru ats suction line 9108481</t>
  </si>
  <si>
    <t>ZM236</t>
  </si>
  <si>
    <t>Kanyla femorální venózní 23 Fr. BE-PVL2355 JH10.47295</t>
  </si>
  <si>
    <t>ZM233</t>
  </si>
  <si>
    <t>Kanyla femorální arteriální 17 Fr. BE-PAS1715 JH10.47281</t>
  </si>
  <si>
    <t>KG691</t>
  </si>
  <si>
    <t>set pls ecmo dlouhodobé životní podpory JH10.27818</t>
  </si>
  <si>
    <t>50115050</t>
  </si>
  <si>
    <t>502 SZM obvazový (112 02 040)</t>
  </si>
  <si>
    <t>50115060</t>
  </si>
  <si>
    <t>503 SZM ostatní zdravotnický (112 02 100)</t>
  </si>
  <si>
    <t>50115063</t>
  </si>
  <si>
    <t>528 SZM sety (112 02 105)</t>
  </si>
  <si>
    <t>50115065</t>
  </si>
  <si>
    <t>530 SZM jehly (112 02 107)</t>
  </si>
  <si>
    <t>50115067</t>
  </si>
  <si>
    <t>532 SZM Rukavice (112 02 108)</t>
  </si>
  <si>
    <t>50115020</t>
  </si>
  <si>
    <t>Diagnostika (112 04 004, 132 01 004)</t>
  </si>
  <si>
    <t>50115079</t>
  </si>
  <si>
    <t>542 SZM Intenzivní péče (112 02 100)</t>
  </si>
  <si>
    <t>50115070</t>
  </si>
  <si>
    <t>513 SZM katetry (112 02 101)</t>
  </si>
  <si>
    <t>50115004</t>
  </si>
  <si>
    <t>506 SZM umělé tělní náhrady kovové (112 02 030)</t>
  </si>
  <si>
    <t>50115080</t>
  </si>
  <si>
    <t>523 SZM staplery, endosk., optika, extraktory (112 02 102)</t>
  </si>
  <si>
    <t>50115064</t>
  </si>
  <si>
    <t>529 SZM šicí materiál (112 02 106)</t>
  </si>
  <si>
    <t>50115011</t>
  </si>
  <si>
    <t>515 SZM umělé tělní náhrady ostatní (112 02 030)</t>
  </si>
  <si>
    <t>lůžkové oddělení ECMO (nákladní pacienti)</t>
  </si>
  <si>
    <t>Spotřeba zdravotnického materiálu - orientační přehled</t>
  </si>
  <si>
    <t>ON Data</t>
  </si>
  <si>
    <t>107 - Pracoviště kardiologie</t>
  </si>
  <si>
    <t>505 - Pracoviště kardiochirurgie</t>
  </si>
  <si>
    <t xml:space="preserve"> </t>
  </si>
  <si>
    <t>* Legenda</t>
  </si>
  <si>
    <t>Ambulantní péče znamená, že pacient v den poskytnutí zdravotní péče není hospitalizován ve FNOL</t>
  </si>
  <si>
    <t>Zdravotní výkony vykázané na pracovišti v rámci ambulantní péče *</t>
  </si>
  <si>
    <t>beze jména</t>
  </si>
  <si>
    <t>Fluger Ivo</t>
  </si>
  <si>
    <t>Zdravotní výkony vykázané na pracovišti v rámci ambulantní péče dle lékařů *</t>
  </si>
  <si>
    <t>107</t>
  </si>
  <si>
    <t>V</t>
  </si>
  <si>
    <t>09511</t>
  </si>
  <si>
    <t>MINIMÁLNÍ KONTAKT LÉKAŘE S PACIENTEM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</si>
  <si>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</si>
  <si>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</si>
  <si>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</si>
  <si>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</si>
  <si>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</si>
  <si>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</si>
  <si>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</si>
  <si>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</si>
  <si>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</si>
  <si>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</si>
  <si>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</si>
  <si>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</si>
  <si>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89517</t>
  </si>
  <si>
    <t>UZ DUPLEXNÍ VYŠETŘENÍ DVOU A VÍCE CÉV, T. J. MORFO</t>
  </si>
  <si>
    <t>09543</t>
  </si>
  <si>
    <t>SIGNÁLNÍ VÝKON KLINICKÉHO VYŠETŘENÍ / DO 31.12.201</t>
  </si>
  <si>
    <t>09119</t>
  </si>
  <si>
    <t xml:space="preserve">ODBĚR KRVE ZE ŽÍLY U DOSPĚLÉHO NEBO DÍTĚTE NAD 10 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</si>
  <si>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</si>
  <si>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</si>
  <si>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</si>
  <si>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</si>
  <si>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</si>
  <si>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</si>
  <si>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</si>
  <si>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</si>
  <si>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</si>
  <si>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</si>
  <si>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</si>
  <si>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</si>
  <si>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</si>
  <si>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</si>
  <si>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</si>
  <si>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</si>
  <si>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</si>
  <si>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</si>
  <si>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</si>
  <si>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51023</t>
  </si>
  <si>
    <t>KONTROLNÍ VYŠETŘENÍ CHIRURGEM</t>
  </si>
  <si>
    <t>55023</t>
  </si>
  <si>
    <t>KONTROLNÍ VYŠETŘENÍ KARDIOCHIRURGEM</t>
  </si>
  <si>
    <t>57243</t>
  </si>
  <si>
    <t>HRUDNÍ PUNKCE</t>
  </si>
  <si>
    <t>11022</t>
  </si>
  <si>
    <t>CÍLENÉ VYŠETŘENÍ INTERNISTOU</t>
  </si>
  <si>
    <t>09233</t>
  </si>
  <si>
    <t>INJEKČNÍ OKRSKOVÁ ANESTÉZIE</t>
  </si>
  <si>
    <t>09545</t>
  </si>
  <si>
    <t>REGULAČNÍ POPLATEK ZA POHOTOVOSTNÍ SLUŽBU -- POPLA</t>
  </si>
  <si>
    <t>51825</t>
  </si>
  <si>
    <t>SEKUNDÁRNÍ SUTURA RÁNY</t>
  </si>
  <si>
    <t>09239</t>
  </si>
  <si>
    <t>SUTURA RÁNY A PODKOŽÍ DO 5 CM</t>
  </si>
  <si>
    <t>51021</t>
  </si>
  <si>
    <t>KOMPLEXNÍ VYŠETŘENÍ CHIRURGEM</t>
  </si>
  <si>
    <t>51821</t>
  </si>
  <si>
    <t>CHIRURGICKÉ ODSTRANĚNÍ CIZÍHO TĚLESA</t>
  </si>
  <si>
    <t>Zdravotní výkony + ZUM + ZULP vykázané na pracovišti v rámci ambulantní péče - orientační přehled</t>
  </si>
  <si>
    <t>01 - I. interní klinika - kardiologická</t>
  </si>
  <si>
    <t>03 - III. interní klinika - nefrologická, revmatologická a endokrinologická</t>
  </si>
  <si>
    <t>04 - I. chirurgická klinika</t>
  </si>
  <si>
    <t>05 - II. chirurgická klinika - cévně-transplantační</t>
  </si>
  <si>
    <t>06 - Neurochirurgická klinika</t>
  </si>
  <si>
    <t>07 - Klinika anesteziologie, resuscitace a intenzivní medicíny</t>
  </si>
  <si>
    <t>16 - Klinika plicních nemocí a tuberkulózy</t>
  </si>
  <si>
    <t>17 - Neurologická klinika</t>
  </si>
  <si>
    <t>18 - Klinika psychiatrie</t>
  </si>
  <si>
    <t>31 - Traumatologické oddělení</t>
  </si>
  <si>
    <t>59 - Oddělení intenzivní péče chirurgických oborů</t>
  </si>
  <si>
    <t>01</t>
  </si>
  <si>
    <t>51022</t>
  </si>
  <si>
    <t>CÍLENÉ VYŠETŘENÍ CHIRURGEM</t>
  </si>
  <si>
    <t>55021</t>
  </si>
  <si>
    <t>KOMPLEXNÍ VYŠETŘENÍ KARDIOCHIRURGEM</t>
  </si>
  <si>
    <t>03</t>
  </si>
  <si>
    <t>04</t>
  </si>
  <si>
    <t>05</t>
  </si>
  <si>
    <t>06</t>
  </si>
  <si>
    <t>07</t>
  </si>
  <si>
    <t>55022</t>
  </si>
  <si>
    <t>CÍLENÉ VYŠETŘENÍ KARDIOCHIRURGEM</t>
  </si>
  <si>
    <t>16</t>
  </si>
  <si>
    <t>17</t>
  </si>
  <si>
    <t>18</t>
  </si>
  <si>
    <t>31</t>
  </si>
  <si>
    <t>17520</t>
  </si>
  <si>
    <t>KARDIOVERSE ELEKTRICKÁ (NIKOLIV PŘI RESUSCITACI)</t>
  </si>
  <si>
    <t>17233</t>
  </si>
  <si>
    <t>DOČASNÁ SRDEČNÍ STIMULACE</t>
  </si>
  <si>
    <t>17244</t>
  </si>
  <si>
    <t>24-HODINOVÉ TELEMETRICKÉ SLEDOVÁNÍ MIMO JIP</t>
  </si>
  <si>
    <t>17522</t>
  </si>
  <si>
    <t>TRANSVENÓZNÍ EXTRAKCE ELEKTROD PRO TRVALOU KARDIOS</t>
  </si>
  <si>
    <t>17303</t>
  </si>
  <si>
    <t>PRAVOSTRANNÁ KATETRIZACE SRDEČNÍ MIMO KATETRIZAČNÍ</t>
  </si>
  <si>
    <t>51811</t>
  </si>
  <si>
    <t>ABSCES NEBO HEMATOM SUBKUTANNÍ, PILONIDÁLNÍ, INTRA</t>
  </si>
  <si>
    <t>5F1</t>
  </si>
  <si>
    <t>51239</t>
  </si>
  <si>
    <t xml:space="preserve">RADIKÁLNÍ EXSTIRPACE AXILÁRNÍCH NEBO INQUINÁLNÍCH </t>
  </si>
  <si>
    <t>07550</t>
  </si>
  <si>
    <t>(DRG) ENDOVASKULÁRNÍ PŘÍSTUP PERKUTÁNNÍ NEBO S?PRE</t>
  </si>
  <si>
    <t>07543</t>
  </si>
  <si>
    <t>(DRG) PRIMOOPERACE</t>
  </si>
  <si>
    <t>54120</t>
  </si>
  <si>
    <t>ANEURYSMA BŘIŠNÍ AORTY (NÁHRADA BIFURKAČNÍ PROTÉZO</t>
  </si>
  <si>
    <t>07562</t>
  </si>
  <si>
    <t>(DRG) PLÁNOVANÁ OPERACE KVCH</t>
  </si>
  <si>
    <t>07552</t>
  </si>
  <si>
    <t>(DRG) OPERAČNÍ VÝKON BEZ MIMOTĚLNÍHO OBĚHU</t>
  </si>
  <si>
    <t>66851</t>
  </si>
  <si>
    <t>AMPUTACE DLOUHÉ KOSTI / EXARTIKULACE VELKÉHO KLOUB</t>
  </si>
  <si>
    <t>5F5</t>
  </si>
  <si>
    <t>1</t>
  </si>
  <si>
    <t>0003708</t>
  </si>
  <si>
    <t>ZYVOXID 2 MG/ML INFUZNÍ ROZTOK</t>
  </si>
  <si>
    <t>0008807</t>
  </si>
  <si>
    <t>DALACIN C</t>
  </si>
  <si>
    <t>0008808</t>
  </si>
  <si>
    <t>0011706</t>
  </si>
  <si>
    <t>0014583</t>
  </si>
  <si>
    <t>0016600</t>
  </si>
  <si>
    <t>0026127</t>
  </si>
  <si>
    <t>0049193</t>
  </si>
  <si>
    <t>0053922</t>
  </si>
  <si>
    <t>0058092</t>
  </si>
  <si>
    <t>0059830</t>
  </si>
  <si>
    <t>CIPRINOL 200 MG/100 ML</t>
  </si>
  <si>
    <t>0065989</t>
  </si>
  <si>
    <t>0066020</t>
  </si>
  <si>
    <t>AUGMENTIN 1,2 G</t>
  </si>
  <si>
    <t>0072972</t>
  </si>
  <si>
    <t>0076360</t>
  </si>
  <si>
    <t>ZINACEF 1,5 G</t>
  </si>
  <si>
    <t>0092290</t>
  </si>
  <si>
    <t>EDICIN 1 G</t>
  </si>
  <si>
    <t>0093173</t>
  </si>
  <si>
    <t>ANTITHROMBIN III IMMUNO</t>
  </si>
  <si>
    <t>0096414</t>
  </si>
  <si>
    <t>GENTAMICIN LEK 80 MG/2 ML</t>
  </si>
  <si>
    <t>0104051</t>
  </si>
  <si>
    <t>HUMAN ALBUMIN 200 G/L BAXTER</t>
  </si>
  <si>
    <t>0162180</t>
  </si>
  <si>
    <t>0162187</t>
  </si>
  <si>
    <t>0164246</t>
  </si>
  <si>
    <t>CEFTAZIDIM STRAGEN 1 G</t>
  </si>
  <si>
    <t>0136083</t>
  </si>
  <si>
    <t>2</t>
  </si>
  <si>
    <t>0007955</t>
  </si>
  <si>
    <t>Erytrocyty deleukotizované</t>
  </si>
  <si>
    <t>0207921</t>
  </si>
  <si>
    <t>Plazma čerstvá zmrazená</t>
  </si>
  <si>
    <t>3</t>
  </si>
  <si>
    <t>0026096</t>
  </si>
  <si>
    <t>ROURKA ENDOBRONCHIÁLNÍ DOUBLE LUMEN LEVÝ BRONCHUS</t>
  </si>
  <si>
    <t>0043082</t>
  </si>
  <si>
    <t>CHLOPEŇ SRDEČNÍ BIOLOGICKÁ - BOVINNÍ AORTÁLNÍ</t>
  </si>
  <si>
    <t>0043155</t>
  </si>
  <si>
    <t>CHLOPEŇ SRDEČNÍ BIOLOGICKÁ - BOVINNÍ AORTÁLNÍ MAGN</t>
  </si>
  <si>
    <t>0043169</t>
  </si>
  <si>
    <t>CHLOPEŇ SRDEČNÍ BIOLOGICKÁ - PRASEČÍ EPIC SUPRA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</si>
  <si>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</si>
  <si>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</si>
  <si>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</si>
  <si>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</si>
  <si>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</si>
  <si>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</si>
  <si>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</si>
  <si>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</si>
  <si>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</si>
  <si>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</si>
  <si>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</si>
  <si>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</si>
  <si>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</si>
  <si>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</si>
  <si>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</si>
  <si>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</si>
  <si>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</si>
  <si>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</si>
  <si>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</si>
  <si>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</si>
  <si>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</si>
  <si>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</si>
  <si>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</si>
  <si>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</si>
  <si>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</si>
  <si>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</si>
  <si>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</si>
  <si>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</si>
  <si>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0048601</t>
  </si>
  <si>
    <t xml:space="preserve">OBĚH MIMOTĚLNÍ - OXYGENÁTOR SADA - HEPARIN.KANYLA </t>
  </si>
  <si>
    <t>0048606</t>
  </si>
  <si>
    <t>KATETR ABLAČNÍ ATS CRYOMAZE FROSTBYTE,60CM1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</si>
  <si>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</si>
  <si>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</si>
  <si>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</si>
  <si>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</si>
  <si>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</si>
  <si>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</si>
  <si>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</si>
  <si>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SADA PRO ODBĚR V.SAPHENY A A.RADIALIS PRO BYPASS</t>
  </si>
  <si>
    <t>0051889</t>
  </si>
  <si>
    <t>CHLOPEŇ SRDEČNÍ MECHANICKÁ SJM,SÉR.MASTERS</t>
  </si>
  <si>
    <t>0052279</t>
  </si>
  <si>
    <t>CHLOPEŇ SRDEČNÍ MECHANICKÁ SJM REGENT</t>
  </si>
  <si>
    <t>0053197</t>
  </si>
  <si>
    <t>SENSOR K MĚŘENÍ EXTRAKORP.PARC.TLAKU KYSLÍKU</t>
  </si>
  <si>
    <t>0056268</t>
  </si>
  <si>
    <t>KROUŽEK ANULOPLASTICKÝ 4450</t>
  </si>
  <si>
    <t>0056290</t>
  </si>
  <si>
    <t>KATETR BALONKOVÝ FOGARTY 120404F</t>
  </si>
  <si>
    <t>0056617</t>
  </si>
  <si>
    <t>ELEKTRODA STIMULAČNÍ CAPSURE EPI 4965,4968,4951,50</t>
  </si>
  <si>
    <t>0057243</t>
  </si>
  <si>
    <t>KATETR BALÓNKOVÝ INTRAARTER.KONTRAPULZAČNÍ</t>
  </si>
  <si>
    <t>0057923</t>
  </si>
  <si>
    <t xml:space="preserve">ELEKTRODA STIMULAČNÍ CAPSURE FIX NOVUS 5076,4076; 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</si>
  <si>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</si>
  <si>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</si>
  <si>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</si>
  <si>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</si>
  <si>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</si>
  <si>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</si>
  <si>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</si>
  <si>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</si>
  <si>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0059538</t>
  </si>
  <si>
    <t>OXYGENÁTOR-SADA:KANYLA DVOUSTUPŇOVÁ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</si>
  <si>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</si>
  <si>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</si>
  <si>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</si>
  <si>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</si>
  <si>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</si>
  <si>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</si>
  <si>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0059632</t>
  </si>
  <si>
    <t>MATERIÁL KOVOVÝ ŠICÍ STEH PRO STERNUM OCELOVÝ DRÁT</t>
  </si>
  <si>
    <t>0081997</t>
  </si>
  <si>
    <t>V.A.C. ATS SBĚRNÁ NÁDOBA S GELEM</t>
  </si>
  <si>
    <t>0081998</t>
  </si>
  <si>
    <t>V.A.C.FREEDOM SBĚRNÁ NÁDOBA S GELEM</t>
  </si>
  <si>
    <t>0082000</t>
  </si>
  <si>
    <t>V.A.C.GRANUFOAM(PU PĚNA) VELIKOST M</t>
  </si>
  <si>
    <t>0082001</t>
  </si>
  <si>
    <t>V.A.C.GRANUFOAM(PU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</si>
  <si>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</si>
  <si>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</si>
  <si>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</si>
  <si>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</si>
  <si>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</si>
  <si>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</si>
  <si>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</si>
  <si>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</si>
  <si>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</si>
  <si>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</si>
  <si>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</si>
  <si>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</si>
  <si>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</si>
  <si>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</si>
  <si>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</si>
  <si>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</si>
  <si>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</si>
  <si>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0161533</t>
  </si>
  <si>
    <t>CHLOPEŇ SRDEČNÍ BIOLOGICKÁ - BOVINNÍ TRIFECTA</t>
  </si>
  <si>
    <t>0043156</t>
  </si>
  <si>
    <t>0048652</t>
  </si>
  <si>
    <t>PROSTŘEDEK HEMOSTATICKÝ SURGICEL  1902GB, 1902EE</t>
  </si>
  <si>
    <t>0094715</t>
  </si>
  <si>
    <t>KATETR ABLAČNÍ CARDIOABLATE GEMINI</t>
  </si>
  <si>
    <t>0048337</t>
  </si>
  <si>
    <t>LEPIDLO BIOLOGICKÉ CRYOLIFE BG-3005</t>
  </si>
  <si>
    <t>0092972</t>
  </si>
  <si>
    <t>CHLOPEŇ AORTÁLNÍ - KONDUIT CHLOPENNÍ SJM, VAVGJ-51</t>
  </si>
  <si>
    <t>0051227</t>
  </si>
  <si>
    <t>KATETR ABLAČNÍ BIPOLÁRNÍ - ATRICURE</t>
  </si>
  <si>
    <t>0047498</t>
  </si>
  <si>
    <t>PROTÉZA CÉVNÍ TKANÁ TUBULÁRNÍ 175XXXP</t>
  </si>
  <si>
    <t>0191951</t>
  </si>
  <si>
    <t>KARDIOSTIMULÁTOR JEDNODUTINOVÝ G20 SR, G20SRA1</t>
  </si>
  <si>
    <t>0057221</t>
  </si>
  <si>
    <t>KATETR TERMODIL.DIAG.AH-XXXXX..AH-XXXXX,X,XX</t>
  </si>
  <si>
    <t>0113357</t>
  </si>
  <si>
    <t>KARDIOSTIMULÁTOR DVOUDUTINOVÝ ENTOVIS DR-T KOMPLET</t>
  </si>
  <si>
    <t>0099262</t>
  </si>
  <si>
    <t>HŘEB TIBIÁLNÍ TX, OCEL</t>
  </si>
  <si>
    <t>09227</t>
  </si>
  <si>
    <t>I. V. APLIKACE KRVE NEBO KREVNÍCH DERIVÁTŮ</t>
  </si>
  <si>
    <t>57233</t>
  </si>
  <si>
    <t>HRUDNÍ DRENÁŽ</t>
  </si>
  <si>
    <t>61143</t>
  </si>
  <si>
    <t>ODBĚR CÉVNÍHO ŠTĚPU MALÉHO KALIBRU (PRO MIKROCHIRU</t>
  </si>
  <si>
    <t>71717</t>
  </si>
  <si>
    <t>TRACHEOTOMIE</t>
  </si>
  <si>
    <t>78022</t>
  </si>
  <si>
    <t>CÍLENÉ VYŠETŘENÍ ANESTEZIOLOGEM</t>
  </si>
  <si>
    <t>78023</t>
  </si>
  <si>
    <t>KONTROLNÍ VYŠETŘENÍ ANESTEZIOLOGEM</t>
  </si>
  <si>
    <t>78812</t>
  </si>
  <si>
    <t>ISOVOLEMICKÁ HEMODILUCE</t>
  </si>
  <si>
    <t>81141</t>
  </si>
  <si>
    <t>VÁPNÍK IONIZOVANÝ STATIM</t>
  </si>
  <si>
    <t>81171</t>
  </si>
  <si>
    <t>KYSELINA MLÉČNÁ (LAKTÁT) STATIM</t>
  </si>
  <si>
    <t>00880</t>
  </si>
  <si>
    <t>ROZLIŠENÍ VYKÁZANÉ HOSPITALIZACE JAKO: = NOVÁ HOSP</t>
  </si>
  <si>
    <t>00881</t>
  </si>
  <si>
    <t>ROZLIŠENÍ VYKÁZANÉ HOSPITALIZACE JAKO: = POKRAČOVÁ</t>
  </si>
  <si>
    <t>90887</t>
  </si>
  <si>
    <t>07546</t>
  </si>
  <si>
    <t>(DRG) OTEVŘENÝ PŘÍSTUP</t>
  </si>
  <si>
    <t>07561</t>
  </si>
  <si>
    <t>(DRG) REKUPERACE KRVE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</si>
  <si>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</si>
  <si>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</si>
  <si>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</si>
  <si>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</si>
  <si>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</si>
  <si>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</si>
  <si>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</si>
  <si>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</si>
  <si>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</si>
  <si>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</si>
  <si>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</si>
  <si>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</si>
  <si>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</si>
  <si>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</si>
  <si>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</si>
  <si>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</si>
  <si>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</si>
  <si>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</si>
  <si>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</si>
  <si>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</si>
  <si>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</si>
  <si>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</si>
  <si>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</si>
  <si>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</si>
  <si>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07017</t>
  </si>
  <si>
    <t xml:space="preserve">(DRG) NÁHRADA KOŘENE AORTY A PŘÍPADNĚ ASCENDENTNÍ </t>
  </si>
  <si>
    <t>07156</t>
  </si>
  <si>
    <t>(DRG) NÁHRADA ASCENDENTNÍ AORTY PROTÉZOU PRO AKUTN</t>
  </si>
  <si>
    <t>07267</t>
  </si>
  <si>
    <t>(DRG) ODSTRANĚNÍ KRÁTKO AŽ STŘEDNĚDOBÉ PODPORY SRD</t>
  </si>
  <si>
    <t>07256</t>
  </si>
  <si>
    <t>(DRG) ZAVEDENÍ IABK v souvislosti kardiochirurgick</t>
  </si>
  <si>
    <t>07235</t>
  </si>
  <si>
    <t xml:space="preserve">(DRG) CHIRURGICKÁ IMPLANTACE NEBO VÝMĚNA TRVALÉHO </t>
  </si>
  <si>
    <t>07142</t>
  </si>
  <si>
    <t>(DRG) UZÁVĚR DEFEKTU SEPTA KOMOR (VROZENÉHO NEBO Z</t>
  </si>
  <si>
    <t>07241</t>
  </si>
  <si>
    <t>(DRG) CHIRURGICKÁ DRENÁŽ PERIKARDU CESTOU STERNOTO</t>
  </si>
  <si>
    <t>07112</t>
  </si>
  <si>
    <t xml:space="preserve">(DRG) RESEKCE VÝDUTĚ LEVÉ KOMORY SRDEČNÍ S PŘÍMOU </t>
  </si>
  <si>
    <t>07277</t>
  </si>
  <si>
    <t>(DRG) APLIKACE NEBO VÝMĚNA DPWT DO MEDIASTINA</t>
  </si>
  <si>
    <t>07240</t>
  </si>
  <si>
    <t>(DRG) CHRIRUGICKÁ DRENÁŽ PERIKARDU SUBXYPHOIDEÁLNĚ</t>
  </si>
  <si>
    <t>07126</t>
  </si>
  <si>
    <t>(DRG) OPERACE PRO PORANĚNÍ PRAVÉ KOMORY SRDEČNÍ</t>
  </si>
  <si>
    <t>07242</t>
  </si>
  <si>
    <t>(DRG) PERIKARDEKTOMIE PARCIÁLNÍ PRO KONSTRIKCI NEB</t>
  </si>
  <si>
    <t>07111</t>
  </si>
  <si>
    <t>(DRG) OPERACE PRO PORANĚNÍ HORNÍ NEBO DOLNÍ DUTÉ Ž</t>
  </si>
  <si>
    <t>07110</t>
  </si>
  <si>
    <t>(DRG) PLASTIKA HORNÍ NEBO DOLNÍ DUTÉ ŽÍLY</t>
  </si>
  <si>
    <t>07117</t>
  </si>
  <si>
    <t>(DRG) OPERACE PRO PORANĚNÍ LEVÉ KOMORY SRDEČNÍ</t>
  </si>
  <si>
    <t>78121</t>
  </si>
  <si>
    <t>KAPNOMETRIE PŘI ANESTEZII Á 20 MINUT</t>
  </si>
  <si>
    <t>81135</t>
  </si>
  <si>
    <t>SODÍK STATIM</t>
  </si>
  <si>
    <t>09225</t>
  </si>
  <si>
    <t>KANYLACE CENTRÁLNÍ ŽÍLY ZA KONTROLY CELKOVÉHO STAV</t>
  </si>
  <si>
    <t>81585</t>
  </si>
  <si>
    <t>ACIDOBAZICKÁ ROVNOVÁHA</t>
  </si>
  <si>
    <t>81145</t>
  </si>
  <si>
    <t>DRASLÍK STATIM</t>
  </si>
  <si>
    <t>09544</t>
  </si>
  <si>
    <t>SIGNÁLNÍ VÝKON POBYTU V ZAŘÍZENÍ LŮŽKOVÉ PÉČE / DO</t>
  </si>
  <si>
    <t>78140</t>
  </si>
  <si>
    <t>ANESTÉZIE U PACIENTA S ASA 3E A VÍCE Á 20 MINUT, P</t>
  </si>
  <si>
    <t>81155</t>
  </si>
  <si>
    <t>GLUKÓZA KVANTITATIVNÍ STANOVENÍ STATIM</t>
  </si>
  <si>
    <t>54990</t>
  </si>
  <si>
    <t>ODBĚR ŽILNÍHO ŠTĚPU</t>
  </si>
  <si>
    <t>78820</t>
  </si>
  <si>
    <t>ZAJIŠTĚNÍ DÝCHACÍCH CEST PŘI ANESTEZII</t>
  </si>
  <si>
    <t>00602</t>
  </si>
  <si>
    <t>OD TYPU 02 - PRO NEMOCNICE TYPU 3, (KATEGORIE 6)</t>
  </si>
  <si>
    <t>99999</t>
  </si>
  <si>
    <t>Nespecifikovany vykon</t>
  </si>
  <si>
    <t>55230</t>
  </si>
  <si>
    <t>KOMBINOVANÝ CHIRURGICKÝ VÝKON NA SRDCI A HRUDNÍ AO</t>
  </si>
  <si>
    <t>55265</t>
  </si>
  <si>
    <t>ENDOSKOPICKÝ ODBĚR ŽILNÍHO ŠTĚPU (V. SAPHENA MAGNA</t>
  </si>
  <si>
    <t>78210</t>
  </si>
  <si>
    <t>ANALGOSEDACE INTRAVENÓZNÍ</t>
  </si>
  <si>
    <t>51850</t>
  </si>
  <si>
    <t>PŘEVAZ RÁNY METODOU V. A. C. (VACUUM ASISTED CLOSU</t>
  </si>
  <si>
    <t>78810</t>
  </si>
  <si>
    <t>ZAVEDENÁ HYPOTENZE</t>
  </si>
  <si>
    <t>78116</t>
  </si>
  <si>
    <t>ANESTÉZIE S ŘÍZENOU VENTILACÍ Á 20 MIN.</t>
  </si>
  <si>
    <t>07564</t>
  </si>
  <si>
    <t>(DRG) EMERGENTNÍ OPERACE KVCH</t>
  </si>
  <si>
    <t>55220</t>
  </si>
  <si>
    <t>JEDNODUCHÝ VÝKON NA SRDCI - PRIMOOPERACE</t>
  </si>
  <si>
    <t>78117</t>
  </si>
  <si>
    <t>90888</t>
  </si>
  <si>
    <t>55260</t>
  </si>
  <si>
    <t>KREVNÍ KARDIOPLEGIE</t>
  </si>
  <si>
    <t>07563</t>
  </si>
  <si>
    <t>(DRG) URGENTNÍ OPERACE KVCH</t>
  </si>
  <si>
    <t>07544</t>
  </si>
  <si>
    <t>(DRG) PRVNÍ REOPERACE</t>
  </si>
  <si>
    <t>99980</t>
  </si>
  <si>
    <t>(VZP) PACIENT S DIAGNOSTIKOVANÝM POLYTRAUMATEM S I</t>
  </si>
  <si>
    <t>07019</t>
  </si>
  <si>
    <t>(DRG) NÁHRADA AORTÁLNÍ CHLOPNĚ STENTOVANOU BIOLOGI</t>
  </si>
  <si>
    <t>78816</t>
  </si>
  <si>
    <t>REKUPERACE KRVE</t>
  </si>
  <si>
    <t>55250</t>
  </si>
  <si>
    <t>STERNOTOMIE, TORAKOTOMIE</t>
  </si>
  <si>
    <t>07274</t>
  </si>
  <si>
    <t>(DRG) POOPERAČNÍ REVIZE PRO ZÁNĚT NEBO PORUCHU HOJ</t>
  </si>
  <si>
    <t>51011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</si>
  <si>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</si>
  <si>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</si>
  <si>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</si>
  <si>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</si>
  <si>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</si>
  <si>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</si>
  <si>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</si>
  <si>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</si>
  <si>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</si>
  <si>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</si>
  <si>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54340</t>
  </si>
  <si>
    <t>TEPENNÁ EMBOLEKTOMIE, TROMBEKTOMIE</t>
  </si>
  <si>
    <t>07559</t>
  </si>
  <si>
    <t>(DRG) KRYSTALOIDNÍ KARDIOPLEGIE JAKO SOUČÁST JINÉH</t>
  </si>
  <si>
    <t>55215</t>
  </si>
  <si>
    <t>MECHANICKÁ SRDEČNÍ PODPORA</t>
  </si>
  <si>
    <t>07418</t>
  </si>
  <si>
    <t>(VZP) TROMBECTOMIE  A. FEMORALIS A JEJÍCH VĚTVÍ</t>
  </si>
  <si>
    <t>07258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</si>
  <si>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</si>
  <si>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</si>
  <si>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</si>
  <si>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</si>
  <si>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</si>
  <si>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</si>
  <si>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</si>
  <si>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</si>
  <si>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</si>
  <si>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>(DRG) LAPAROSKOPICKÝ NEBO TORAKOSKOPICKÝ PŘÍSTUP</t>
  </si>
  <si>
    <t>07004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</si>
  <si>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</si>
  <si>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</si>
  <si>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</si>
  <si>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</si>
  <si>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</si>
  <si>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</si>
  <si>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07234</t>
  </si>
  <si>
    <t>07048</t>
  </si>
  <si>
    <t xml:space="preserve">(DRG) PLASTIKA TRIKUSPIDÁLNÍ CHLOPNĚ S IMPLANTACÍ </t>
  </si>
  <si>
    <t>55231</t>
  </si>
  <si>
    <t>07024</t>
  </si>
  <si>
    <t>(DRG) NÁHRADA AORTÁLNÍ CHLOPNĚ A KOŘENE AORTY A PŘ</t>
  </si>
  <si>
    <t>07190</t>
  </si>
  <si>
    <t>(DRG) REVIZE VÝKONU NA DESCENDENTNÍ AORTĚ PRO KRVÁ</t>
  </si>
  <si>
    <t>07157</t>
  </si>
  <si>
    <t>(DRG) NÁHRADA ASCENDENTNÍ AORTY A OBLOUKU PROTÉZOU</t>
  </si>
  <si>
    <t>07013</t>
  </si>
  <si>
    <t>(DRG) PLASTIKA LÍSTKŮ AORTÁLNÍ CHLOPNĚ</t>
  </si>
  <si>
    <t>07098</t>
  </si>
  <si>
    <t>(DRG) RESEKCE NÁDORU SÍNÍ NEBO MEZISÍŇOVÉ PŘEPÁŽKY</t>
  </si>
  <si>
    <t>07040</t>
  </si>
  <si>
    <t>(DRG) PLASTIKA MITRÁLNÍ CHLOPNĚ S IMPLANTACÍ PRSTE</t>
  </si>
  <si>
    <t>07161</t>
  </si>
  <si>
    <t>(DRG) STENTING DESCENDENTNÍ AORTY PRO AKUTNÍ DISEK</t>
  </si>
  <si>
    <t>07558</t>
  </si>
  <si>
    <t>(DRG) HLUBOKÁ HYPOTERMIE A CIRKULAČNÍ ZÁSTAVA S AN</t>
  </si>
  <si>
    <t>07038</t>
  </si>
  <si>
    <t>07119</t>
  </si>
  <si>
    <t>(DRG) OPERACE PRO POINFARKTOVOU RUPTURU (VČETNĚ HR</t>
  </si>
  <si>
    <t>07572</t>
  </si>
  <si>
    <t>(DRG) DRUHÁ A DALŠÍ POOPERAČNÍ REVIZE PRO KRVÁCENÍ</t>
  </si>
  <si>
    <t>07020</t>
  </si>
  <si>
    <t>(DRG) NÁHRADA AORTÁLNÍ CHLOPNĚ BEZSTENTOVOU BIOLOG</t>
  </si>
  <si>
    <t>07272</t>
  </si>
  <si>
    <t>(DRG) TORAKOTOMIE JAKO SAMOSTATNÝ VÝKON JINÝ NEŽ P</t>
  </si>
  <si>
    <t>07216</t>
  </si>
  <si>
    <t>(DRG) ZAVEDENÍ STENTGRAFTU DO TORAKOABDOMINÁLNÍ AO</t>
  </si>
  <si>
    <t>5F6</t>
  </si>
  <si>
    <t>56419</t>
  </si>
  <si>
    <t>POUŽITÍ OPERAČNÍHO MIKROSKOPU Á 15 MINUT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</si>
  <si>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</si>
  <si>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</si>
  <si>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</si>
  <si>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</si>
  <si>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</si>
  <si>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</si>
  <si>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</si>
  <si>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</si>
  <si>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</si>
  <si>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</si>
  <si>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</si>
  <si>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</si>
  <si>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</si>
  <si>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</si>
  <si>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5T5</t>
  </si>
  <si>
    <t>0011592</t>
  </si>
  <si>
    <t>0026902</t>
  </si>
  <si>
    <t>VFEND 200 MG</t>
  </si>
  <si>
    <t>0056801</t>
  </si>
  <si>
    <t>0062464</t>
  </si>
  <si>
    <t>HAEMOCOMPLETTAN P</t>
  </si>
  <si>
    <t>0066137</t>
  </si>
  <si>
    <t>0068998</t>
  </si>
  <si>
    <t>AMPICILIN 1,0 BIOTIKA</t>
  </si>
  <si>
    <t>0075634</t>
  </si>
  <si>
    <t>PROTHROMPLEX TOTAL NF</t>
  </si>
  <si>
    <t>0083417</t>
  </si>
  <si>
    <t>MERONEM 1 G</t>
  </si>
  <si>
    <t>0137484</t>
  </si>
  <si>
    <t>ANBINEX</t>
  </si>
  <si>
    <t>0137499</t>
  </si>
  <si>
    <t>0164350</t>
  </si>
  <si>
    <t>TAZOCIN 4 G/0,5 G</t>
  </si>
  <si>
    <t>0183926</t>
  </si>
  <si>
    <t>AZEPO 1 G</t>
  </si>
  <si>
    <t>0107959</t>
  </si>
  <si>
    <t>Trombocyty z aferézy deleukotizované</t>
  </si>
  <si>
    <t>0005606</t>
  </si>
  <si>
    <t>NÁVLEK NA OPMI, TYP 71                      306071</t>
  </si>
  <si>
    <t>0026139</t>
  </si>
  <si>
    <t>KANYLA TRACHEOSTOMICKÁ VOCALAID S NÍZKOTLAKOU MANŽ</t>
  </si>
  <si>
    <t>0048302</t>
  </si>
  <si>
    <t>ZAVADĚČ STIMULAČNÍCH ELEKTROD DVOJITÝ 5212537</t>
  </si>
  <si>
    <t>0053801</t>
  </si>
  <si>
    <t>ECMO - OXYGENÁTOR,PLS-SYSTÉM DLOUHODOBÉ ŽIVOTNÍ PO</t>
  </si>
  <si>
    <t>0056292</t>
  </si>
  <si>
    <t>KATETR BALONKOVÝ FOGARTY 120805F</t>
  </si>
  <si>
    <t>0059424</t>
  </si>
  <si>
    <t xml:space="preserve">KATETR TERMODILUČNÍ 744HF75 746HF8 (ZMĚŘENÍ TLAKU </t>
  </si>
  <si>
    <t>0067891</t>
  </si>
  <si>
    <t>IMPLANTÁT SPINÁL.NÁHRADA MEZIOBRATLOVÁ FUSION    K</t>
  </si>
  <si>
    <t>0068667</t>
  </si>
  <si>
    <t>IMPLANTÁT SPINÁLNÍ SYSTÉM VECTRA                 K</t>
  </si>
  <si>
    <t>0068670</t>
  </si>
  <si>
    <t>0099752</t>
  </si>
  <si>
    <t>ŠROUB SAMOŘEZNÝ STERNÁLNÍ TITAN</t>
  </si>
  <si>
    <t>0108130</t>
  </si>
  <si>
    <t>DLAHA ROVNÁ STERNÁLNÍ TITAN</t>
  </si>
  <si>
    <t>0048338</t>
  </si>
  <si>
    <t>LEPIDLO BIOLOGICKÉ CRYOLIFE BG-3010</t>
  </si>
  <si>
    <t>0058516</t>
  </si>
  <si>
    <t>PROTÉZA CÉVNÍ</t>
  </si>
  <si>
    <t>0048852</t>
  </si>
  <si>
    <t>0054443</t>
  </si>
  <si>
    <t>OBĚH MIMOTĚLNÍ - OXYGENÁTOR-SADA PŘÍSLUŠENSTVÍ,ECM</t>
  </si>
  <si>
    <t>0193662</t>
  </si>
  <si>
    <t>KARDIOSTIMULÁTOR DVOUDUTINOVÝ EOS DR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</si>
  <si>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</si>
  <si>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</si>
  <si>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</si>
  <si>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</si>
  <si>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</si>
  <si>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</si>
  <si>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</si>
  <si>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</si>
  <si>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</si>
  <si>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</si>
  <si>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</si>
  <si>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</si>
  <si>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</si>
  <si>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</si>
  <si>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</si>
  <si>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</si>
  <si>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</si>
  <si>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</si>
  <si>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</si>
  <si>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</si>
  <si>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</si>
  <si>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708</t>
  </si>
  <si>
    <t>78310</t>
  </si>
  <si>
    <t xml:space="preserve">NEODKLADNÁ KARDIOPULMONÁLNÍ RESUSCITACE ROZŠÍŘENÁ 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</si>
  <si>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</si>
  <si>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</si>
  <si>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</si>
  <si>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</si>
  <si>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S EKONOMICKY NÁROČNÝM VÝKONEM               </t>
  </si>
  <si>
    <t>00122</t>
  </si>
  <si>
    <t xml:space="preserve">DLOUHODOBÁ MECHANICKÁ VENTILACE &gt; 240 HODIN (11-21 DNÍ) S EKONOMICKY NÁROČNÝM VÝKONEM S CC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</si>
  <si>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</si>
  <si>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</si>
  <si>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</si>
  <si>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</si>
  <si>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04012</t>
  </si>
  <si>
    <t xml:space="preserve">VELKÉ HRUDNÍ VÝKONY S CC                                                                            </t>
  </si>
  <si>
    <t>04331</t>
  </si>
  <si>
    <t xml:space="preserve">ZÁVAŽNÉ TRAUMA HRUDNÍKU BEZ CC     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</si>
  <si>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</si>
  <si>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</si>
  <si>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05012</t>
  </si>
  <si>
    <t xml:space="preserve">SRDEČNÍ DEFIBRILÁTOR A IMPLANTÁT PRO PODPORU FUNKCE SRDCE S CC                                      </t>
  </si>
  <si>
    <t>05013</t>
  </si>
  <si>
    <t xml:space="preserve">SRDEČNÍ DEFIBRILÁTOR A IMPLANTÁT PRO PODPORU FUNKCE SRDCE S MCC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</si>
  <si>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</si>
  <si>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</si>
  <si>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</si>
  <si>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</si>
  <si>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</si>
  <si>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</si>
  <si>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</si>
  <si>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</si>
  <si>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</si>
  <si>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</si>
  <si>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</si>
  <si>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</si>
  <si>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</si>
  <si>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</si>
  <si>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</si>
  <si>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</si>
  <si>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</si>
  <si>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</si>
  <si>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</si>
  <si>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</si>
  <si>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</si>
  <si>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</si>
  <si>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</si>
  <si>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</si>
  <si>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05091</t>
  </si>
  <si>
    <t xml:space="preserve">VELKÉ ABDOMINÁLNÍ VASKULÁRNÍ VÝKONY BEZ CC                                                          </t>
  </si>
  <si>
    <t>05112</t>
  </si>
  <si>
    <t xml:space="preserve">IMPLANTACE TRVALÉHO KARDIOSTIMULÁTORU BEZ AKUTNÍHO INFARKTU MYOKARDU, SELHÁNÍ SRDCE NEBO ŠOKU S CC  </t>
  </si>
  <si>
    <t>05121</t>
  </si>
  <si>
    <t xml:space="preserve">VELKÉ HRUDNÍ VASKULÁRNÍ VÝKONY BEZ CC                                                             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</si>
  <si>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</si>
  <si>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</si>
  <si>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</si>
  <si>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</si>
  <si>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05231</t>
  </si>
  <si>
    <t xml:space="preserve">PERKUTÁNNÍ KORONÁRNÍ ANGIOPLASTIKA, &lt;=2 POTAHOVANÉ STENTY PŘI AKUTNÍM INFARKTU MYOKARDU BEZ CC      </t>
  </si>
  <si>
    <t>05302</t>
  </si>
  <si>
    <t xml:space="preserve">SRDEČNÍ KATETRIZACE PŘI AKUTNÍM INFARKTU MYOKARDU S CC                                              </t>
  </si>
  <si>
    <t>05311</t>
  </si>
  <si>
    <t xml:space="preserve">SRDEČNÍ KATETRIZACE PŘI ISCHEMICKÉ CHOROBĚ SRDEČNÍ BEZ CC                                           </t>
  </si>
  <si>
    <t>05321</t>
  </si>
  <si>
    <t xml:space="preserve">SRDEČNÍ KATETRIZACE PŘI JINÝCH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</si>
  <si>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</si>
  <si>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</si>
  <si>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05351</t>
  </si>
  <si>
    <t xml:space="preserve">SRDEČNÍ SELHÁNÍ BEZ CC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</si>
  <si>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</si>
  <si>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</si>
  <si>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</si>
  <si>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</si>
  <si>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</si>
  <si>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</si>
  <si>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</si>
  <si>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</si>
  <si>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</si>
  <si>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</si>
  <si>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</si>
  <si>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</si>
  <si>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05471</t>
  </si>
  <si>
    <t xml:space="preserve">JINÉ PORUCHY OBĚHOVÉHO SYSTÉMU BEZ CC                                                               </t>
  </si>
  <si>
    <t>08093</t>
  </si>
  <si>
    <t>TRANSPLANTACE KŮŽE NEBO TKÁNĚ PRO PORUCHY MUSKULOSKELETÁLNÍHO SYSTÉMU NEBO POJIVOVÉ TKÁNĚ KROMĚ RUKY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</si>
  <si>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</si>
  <si>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</si>
  <si>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</si>
  <si>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</si>
  <si>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18321</t>
  </si>
  <si>
    <t xml:space="preserve">HOREČKA NEZNÁMÉHO PŮVODU BEZ CC                                                                     </t>
  </si>
  <si>
    <t>Porovnání jednotlivých IR DRG skupin</t>
  </si>
  <si>
    <t>08 - Porodnicko-gynekologická klinika</t>
  </si>
  <si>
    <t>22 - Klinika nukleární medicíny</t>
  </si>
  <si>
    <t>32 - Hemato-onkologická klinika</t>
  </si>
  <si>
    <t>33 - Oddělení klinické biochemie</t>
  </si>
  <si>
    <t>34 - Radiologická klinika</t>
  </si>
  <si>
    <t>35 - Transfuzní oddělení</t>
  </si>
  <si>
    <t>37 - Ústav klinické a molekulární patologie</t>
  </si>
  <si>
    <t>40 - Ústav mikrobiologie</t>
  </si>
  <si>
    <t>41 - Ústav imunologie</t>
  </si>
  <si>
    <t>44 - LEM</t>
  </si>
  <si>
    <t>08</t>
  </si>
  <si>
    <t>603</t>
  </si>
  <si>
    <t>82056</t>
  </si>
  <si>
    <t>MIKROSKOPICKÉ STANOVENÍ MIKROBIÁLNÍHO OBRAZU POŠEV</t>
  </si>
  <si>
    <t>205</t>
  </si>
  <si>
    <t>87447</t>
  </si>
  <si>
    <t>CYTOLOGICKÉ PREPARÁTY ZHOTOVENÉ CYTOCENTRIFUGOU</t>
  </si>
  <si>
    <t>87525</t>
  </si>
  <si>
    <t>STANOVENÍ CYTOLOGICKÉ DIAGNÓZY III. STUPNĚ OBTÍŽNO</t>
  </si>
  <si>
    <t>87439</t>
  </si>
  <si>
    <t>SPECIÁLNÍ CYTOLOGICKÉ BARVENÍ - 1-3  PREPARÁTY,  J</t>
  </si>
  <si>
    <t>87449</t>
  </si>
  <si>
    <t xml:space="preserve">SCREENINGOVÉ ODEČÍTÁNÍ CYTOLOGICKÝCH NÁLEZŮ (ZA 1 </t>
  </si>
  <si>
    <t>22</t>
  </si>
  <si>
    <t>407</t>
  </si>
  <si>
    <t>0002027</t>
  </si>
  <si>
    <t>99mTc-MIBI inj.</t>
  </si>
  <si>
    <t>47023</t>
  </si>
  <si>
    <t>KONTROLNÍ VYŠETŘENÍ LÉKAŘEM SE SPECIALIZOVANOU ZPŮ</t>
  </si>
  <si>
    <t>47269</t>
  </si>
  <si>
    <t>TOMOGRAFICKÁ SCINTIGRAFIE - SPECT</t>
  </si>
  <si>
    <t>47273</t>
  </si>
  <si>
    <t>KVANTIFIKACE DYNAMICKÝCH A TOMOGRAFICKÝCH SCINTIGR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</si>
  <si>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</si>
  <si>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</si>
  <si>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</si>
  <si>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</si>
  <si>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</si>
  <si>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</si>
  <si>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</si>
  <si>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</si>
  <si>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</si>
  <si>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</si>
  <si>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</si>
  <si>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</si>
  <si>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</si>
  <si>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</si>
  <si>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</si>
  <si>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</si>
  <si>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</si>
  <si>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</si>
  <si>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</si>
  <si>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</si>
  <si>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</si>
  <si>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</si>
  <si>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</si>
  <si>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</si>
  <si>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</si>
  <si>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</si>
  <si>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</si>
  <si>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</si>
  <si>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</si>
  <si>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</si>
  <si>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</si>
  <si>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</si>
  <si>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</si>
  <si>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</si>
  <si>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</si>
  <si>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</si>
  <si>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</si>
  <si>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</si>
  <si>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</si>
  <si>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</si>
  <si>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</si>
  <si>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</si>
  <si>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</si>
  <si>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</si>
  <si>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</si>
  <si>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</si>
  <si>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</si>
  <si>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</si>
  <si>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</si>
  <si>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</si>
  <si>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</si>
  <si>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</si>
  <si>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</si>
  <si>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</si>
  <si>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81451</t>
  </si>
  <si>
    <t>HEMOGLOBIN VOLNÝ V PLAZMĚ</t>
  </si>
  <si>
    <t>81481</t>
  </si>
  <si>
    <t>AMYLÁZA PANKREATICKÁ</t>
  </si>
  <si>
    <t>81527</t>
  </si>
  <si>
    <t>CHOLESTEROL LDL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</si>
  <si>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</si>
  <si>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</si>
  <si>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</si>
  <si>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</si>
  <si>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</si>
  <si>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</si>
  <si>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91171</t>
  </si>
  <si>
    <t>STANOVENÍ IgG ELISA</t>
  </si>
  <si>
    <t>91481</t>
  </si>
  <si>
    <t>STANOVENÍ KONCENTRACE PROCALCITONINU</t>
  </si>
  <si>
    <t>93151</t>
  </si>
  <si>
    <t>FERRITIN</t>
  </si>
  <si>
    <t>93171</t>
  </si>
  <si>
    <t>PARATHORMON</t>
  </si>
  <si>
    <t>93231</t>
  </si>
  <si>
    <t>TYREOGLOBULIN AUTOPROTILÁTKY</t>
  </si>
  <si>
    <t>81473</t>
  </si>
  <si>
    <t>CHOLESTEROL HDL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</si>
  <si>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</si>
  <si>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</si>
  <si>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</si>
  <si>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</si>
  <si>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</si>
  <si>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</si>
  <si>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</si>
  <si>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</si>
  <si>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</si>
  <si>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</si>
  <si>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</si>
  <si>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</si>
  <si>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</si>
  <si>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</si>
  <si>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</si>
  <si>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</si>
  <si>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</si>
  <si>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</si>
  <si>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</si>
  <si>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</si>
  <si>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</si>
  <si>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</si>
  <si>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</si>
  <si>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</si>
  <si>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</si>
  <si>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</si>
  <si>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</si>
  <si>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</si>
  <si>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</si>
  <si>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</si>
  <si>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</si>
  <si>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</si>
  <si>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</si>
  <si>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</si>
  <si>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</si>
  <si>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</si>
  <si>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</si>
  <si>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</si>
  <si>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</si>
  <si>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</si>
  <si>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</si>
  <si>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</si>
  <si>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</si>
  <si>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</si>
  <si>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</si>
  <si>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</si>
  <si>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81533</t>
  </si>
  <si>
    <t>LIPÁZA</t>
  </si>
  <si>
    <t>93199</t>
  </si>
  <si>
    <t>TYREOGLOBULIN (TG)</t>
  </si>
  <si>
    <t>81629</t>
  </si>
  <si>
    <t>VAZEBNÁ KAPACITA ŽELEZA</t>
  </si>
  <si>
    <t>81125</t>
  </si>
  <si>
    <t>BÍLKOVINY CELKOVÉ (SÉRUM) STATIM</t>
  </si>
  <si>
    <t>93125</t>
  </si>
  <si>
    <t>ALDOSTERON</t>
  </si>
  <si>
    <t>91145</t>
  </si>
  <si>
    <t>STANOVENÍ HAPTOGLOBINU</t>
  </si>
  <si>
    <t>81423</t>
  </si>
  <si>
    <t>FOSFATÁZA ALKALICKÁ IZOENZYMY</t>
  </si>
  <si>
    <t>81123</t>
  </si>
  <si>
    <t>BILIRUBIN KONJUGOVANÝ STATIM</t>
  </si>
  <si>
    <t>93135</t>
  </si>
  <si>
    <t>MYOGLOBIN V SÉRII</t>
  </si>
  <si>
    <t>81165</t>
  </si>
  <si>
    <t>KREATINKINÁZA (CK) STATIM</t>
  </si>
  <si>
    <t>81239</t>
  </si>
  <si>
    <t>ANALÝZA MOČE MIKROSKOPICKY VE FÁZOVÉM KONTRASTU</t>
  </si>
  <si>
    <t>81733</t>
  </si>
  <si>
    <t>KVANTITATIVNÍ STANOVENÍ KRVE VE STOLICI NA ANALYZÁ</t>
  </si>
  <si>
    <t>81159</t>
  </si>
  <si>
    <t>CHOLINESTERÁZA STATIM</t>
  </si>
  <si>
    <t>93179</t>
  </si>
  <si>
    <t>PLAZMATICKÁ RENINOVÁ AKTIVITA (PRA)</t>
  </si>
  <si>
    <t>34</t>
  </si>
  <si>
    <t>809</t>
  </si>
  <si>
    <t>0003132</t>
  </si>
  <si>
    <t>GADOVIST 1,0 MMOL/ML</t>
  </si>
  <si>
    <t>0003134</t>
  </si>
  <si>
    <t>0017039</t>
  </si>
  <si>
    <t>VISIPAQUE 320 MG I/ML</t>
  </si>
  <si>
    <t>0042433</t>
  </si>
  <si>
    <t>0077018</t>
  </si>
  <si>
    <t>ULTRAVIST 370</t>
  </si>
  <si>
    <t>0077019</t>
  </si>
  <si>
    <t>0095607</t>
  </si>
  <si>
    <t>MICROPAQUE</t>
  </si>
  <si>
    <t>0151208</t>
  </si>
  <si>
    <t>0037821</t>
  </si>
  <si>
    <t>VODIČ ANGIOGRAFICKÝ</t>
  </si>
  <si>
    <t>0038462</t>
  </si>
  <si>
    <t>DRÁT VODÍCÍ GUIDE WIRE M</t>
  </si>
  <si>
    <t>0038482</t>
  </si>
  <si>
    <t>0038483</t>
  </si>
  <si>
    <t>0038503</t>
  </si>
  <si>
    <t>SOUPRAVA ZAVÁDĚCÍ INTRODUCER</t>
  </si>
  <si>
    <t>0048307</t>
  </si>
  <si>
    <t>STENTGRAFT VASKULÁRNÍ FLUENCY,SAMOEXPANDIBILNÍ,NIT</t>
  </si>
  <si>
    <t>0048668</t>
  </si>
  <si>
    <t>DRÁT VODÍCÍ NITINOL</t>
  </si>
  <si>
    <t>0052140</t>
  </si>
  <si>
    <t>KATETR BALÓNKOVÝ PTA - WANDA; SMASH</t>
  </si>
  <si>
    <t>0053563</t>
  </si>
  <si>
    <t>KATETR DIAGNOSTICKÝ TEMPO4F,5F</t>
  </si>
  <si>
    <t>0053905</t>
  </si>
  <si>
    <t>KATETR DILATAČNÍ XXL                 14-5XX</t>
  </si>
  <si>
    <t>0054358</t>
  </si>
  <si>
    <t>KATETR DIAGNOSTICKÝ SUPER TORQUE 5F,6F 533525-686</t>
  </si>
  <si>
    <t>0054472</t>
  </si>
  <si>
    <t>KATETR BALÓNKOVÝ OKLUZNÍ PRO ZENITH</t>
  </si>
  <si>
    <t>0056125</t>
  </si>
  <si>
    <t>KATETR ASPIRAČNÍ, KATETR MĚŘÍCÍ</t>
  </si>
  <si>
    <t>0056361</t>
  </si>
  <si>
    <t>ZAVADĚČ FLEXOR BALKIN RADIOOPÁKNÍ ZNAČKA</t>
  </si>
  <si>
    <t>0057769</t>
  </si>
  <si>
    <t>DILATÁTOR COPE-SADDEKNI SFA ACCESS</t>
  </si>
  <si>
    <t>0057823</t>
  </si>
  <si>
    <t>KATETR ANGIOGRAFICKÝ TORCON,PRŮMĚR 4.1 AŽ 7 FRENCH</t>
  </si>
  <si>
    <t>0057824</t>
  </si>
  <si>
    <t>0057827</t>
  </si>
  <si>
    <t>KATETR ANGIOGRAFICKÝ VYSOKOTLAKÝ, PRŮMĚR 4 A 5 FR</t>
  </si>
  <si>
    <t>0058463</t>
  </si>
  <si>
    <t>VODIČ DRÁTĚNÝ LUNDERQUIST EXTRA STIFF</t>
  </si>
  <si>
    <t>0058948</t>
  </si>
  <si>
    <t>STENT PERIFERNÍ WALLSTENT UNI,SAMOEXPANDIBILNÍ,OCE</t>
  </si>
  <si>
    <t>0059345</t>
  </si>
  <si>
    <t>INDEFLÁTOR 622510</t>
  </si>
  <si>
    <t>0059795</t>
  </si>
  <si>
    <t>DRÁT VODÍCÍ ANGIODYN J3 FC-FS 150-0,35</t>
  </si>
  <si>
    <t>0092284</t>
  </si>
  <si>
    <t>STENT PERIFERNÍ ILIAKÁLNÍ ASTRON,SAMOEXPANDIBILNÍ,</t>
  </si>
  <si>
    <t>0092559</t>
  </si>
  <si>
    <t>SADA AG - SYSTÉM PRO UZAVÍRÁNÍ CÉV - FEMORÁLNÍ - S</t>
  </si>
  <si>
    <t>0094736</t>
  </si>
  <si>
    <t>STENT PERIFERNÍ EPIC,SAMOEXPANDIBILNÍ,NITINOL</t>
  </si>
  <si>
    <t>0193339</t>
  </si>
  <si>
    <t>STENTGRAFT AORTÁLNÍ ZENITH-NOHA SPIRÁLNÍ</t>
  </si>
  <si>
    <t>0049441</t>
  </si>
  <si>
    <t>STENTGRAFT ZENITH TX2 ZTEG-2PT</t>
  </si>
  <si>
    <t>0151037</t>
  </si>
  <si>
    <t>EXTRAKTOR PRO FILTR VENAKAVÁLNÍ</t>
  </si>
  <si>
    <t>0054477</t>
  </si>
  <si>
    <t>STENTGRAFT AORTÁLNÍ ZENITH AAA AOUNI EMERGENCY,SAM</t>
  </si>
  <si>
    <t>0038476</t>
  </si>
  <si>
    <t>89113</t>
  </si>
  <si>
    <t>RTG LEBKY, CÍLENÉ SNÍMKY</t>
  </si>
  <si>
    <t>89117</t>
  </si>
  <si>
    <t>RTG KRKU A KRČNÍ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</si>
  <si>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</si>
  <si>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</si>
  <si>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</si>
  <si>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</si>
  <si>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</si>
  <si>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</si>
  <si>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89323</t>
  </si>
  <si>
    <t>TERAPEUTICKÁ EMBOLIZACE V CÉVNÍM ŘEČIŠTI</t>
  </si>
  <si>
    <t>89409</t>
  </si>
  <si>
    <t>ZAVEDENÍ STENTGRAFTU DO NEKORONÁRNÍHO TEPENNÉHO NE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</si>
  <si>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</si>
  <si>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</si>
  <si>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</si>
  <si>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</si>
  <si>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</si>
  <si>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</si>
  <si>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</si>
  <si>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</si>
  <si>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</si>
  <si>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</si>
  <si>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</si>
  <si>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</si>
  <si>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</si>
  <si>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</si>
  <si>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</si>
  <si>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</si>
  <si>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</si>
  <si>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</si>
  <si>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89715</t>
  </si>
  <si>
    <t>MR ZOBRAZENÍ KRKU, HRUDNÍKU, BŘICHA, PÁNVE (VČETNĚ</t>
  </si>
  <si>
    <t>89331</t>
  </si>
  <si>
    <t>ZAVEDENÍ STENTU DO TEPENNÉHO ČI ŽILNÍHO ŘEČIŠTĚ</t>
  </si>
  <si>
    <t>89201</t>
  </si>
  <si>
    <t>SKIASKOPIE NA OPERAČNÍM ČI ZÁKROKOVÉM SÁLE MOBILNÍ</t>
  </si>
  <si>
    <t>89145</t>
  </si>
  <si>
    <t>RTG JÍCNU</t>
  </si>
  <si>
    <t>89611</t>
  </si>
  <si>
    <t>CT VYŠETŘENÍ HLAVY NEBO TĚLA NATIVNÍ A KONTRASTNÍ</t>
  </si>
  <si>
    <t>89415</t>
  </si>
  <si>
    <t>89411</t>
  </si>
  <si>
    <t>PŘEHLEDNÁ  ČI SELEKTIVNÍ ANGIOGRAFIE</t>
  </si>
  <si>
    <t>89421</t>
  </si>
  <si>
    <t>MĚŘENÍ TLAKU PŘI ANGIOGRAFII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</si>
  <si>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</si>
  <si>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</si>
  <si>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</si>
  <si>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</si>
  <si>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</si>
  <si>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</si>
  <si>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</si>
  <si>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</si>
  <si>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</si>
  <si>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</si>
  <si>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22325</t>
  </si>
  <si>
    <t>ABSORPCE PROTILÁTEK PROTI ERYTROCYTUM PŘI URČOVÁNÍ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</si>
  <si>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</si>
  <si>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</si>
  <si>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</si>
  <si>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</si>
  <si>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</si>
  <si>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</si>
  <si>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</si>
  <si>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</si>
  <si>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</si>
  <si>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</si>
  <si>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</si>
  <si>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</si>
  <si>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</si>
  <si>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</si>
  <si>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</si>
  <si>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</si>
  <si>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</si>
  <si>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</si>
  <si>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</si>
  <si>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</si>
  <si>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</si>
  <si>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</si>
  <si>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</si>
  <si>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</si>
  <si>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</si>
  <si>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</si>
  <si>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</si>
  <si>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</si>
  <si>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</si>
  <si>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</si>
  <si>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87231</t>
  </si>
  <si>
    <t>IMUNOHISTOCHEMIE (ZA KAŽDÝ MARKER Z 1 BLOKU)</t>
  </si>
  <si>
    <t>87431</t>
  </si>
  <si>
    <t>PREPARÁTY METODOU CYTOBLOKU - ZA KAŽDÝ PREPARÁT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</si>
  <si>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</si>
  <si>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</si>
  <si>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</si>
  <si>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</si>
  <si>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</si>
  <si>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</si>
  <si>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87511</t>
  </si>
  <si>
    <t>STANOVENÍ BIOPTICKÉ DIAGNÓZY I. STUPNĚ OBTÍŽNOSTI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</si>
  <si>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</si>
  <si>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</si>
  <si>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</si>
  <si>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</si>
  <si>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</si>
  <si>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</si>
  <si>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</si>
  <si>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</si>
  <si>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</si>
  <si>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</si>
  <si>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</si>
  <si>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</si>
  <si>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87611</t>
  </si>
  <si>
    <t>TECHNICKÁ KOMPONENTA MIKROSKOPICKÉHO VYŠETŘENÍ PIT</t>
  </si>
  <si>
    <t>813</t>
  </si>
  <si>
    <t>94119</t>
  </si>
  <si>
    <t>IZOLACE A UCHOVÁNÍ LIDSKÉ DNA (RNA)</t>
  </si>
  <si>
    <t>94123</t>
  </si>
  <si>
    <t>PCR ANALÝZA LIDSKÉ DNA</t>
  </si>
  <si>
    <t>94215</t>
  </si>
  <si>
    <t>DOT BLOTTING DNA</t>
  </si>
  <si>
    <t>40</t>
  </si>
  <si>
    <t>802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</si>
  <si>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</si>
  <si>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</si>
  <si>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</si>
  <si>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</si>
  <si>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</si>
  <si>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</si>
  <si>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</si>
  <si>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</si>
  <si>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</si>
  <si>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</si>
  <si>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</si>
  <si>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</si>
  <si>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</si>
  <si>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</si>
  <si>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</si>
  <si>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</si>
  <si>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</si>
  <si>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</si>
  <si>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</si>
  <si>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</si>
  <si>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</si>
  <si>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</si>
  <si>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</si>
  <si>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</si>
  <si>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</si>
  <si>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</si>
  <si>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</si>
  <si>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</si>
  <si>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</si>
  <si>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</si>
  <si>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82135</t>
  </si>
  <si>
    <t>KONFIRMAČNÍ TEST PRŮKAZU ANTIGENŮ</t>
  </si>
  <si>
    <t>41</t>
  </si>
  <si>
    <t>91131</t>
  </si>
  <si>
    <t>STANOVENÍ IgA</t>
  </si>
  <si>
    <t>91129</t>
  </si>
  <si>
    <t>STANOVENÍ IgG</t>
  </si>
  <si>
    <t>91133</t>
  </si>
  <si>
    <t>STANOVENÍ IgM</t>
  </si>
  <si>
    <t>44</t>
  </si>
  <si>
    <t>816</t>
  </si>
  <si>
    <t>94115</t>
  </si>
  <si>
    <t>IN SITU HYBRIDIZACE LIDSKÉ DNA SE ZNAČENOU SONDOU</t>
  </si>
  <si>
    <t>Zdravotní výkony (vybraných odborností) vyžádané pro pacienty hospitalizované na vlastním pracovišti - orientační přehled</t>
  </si>
  <si>
    <t>Ošetřovací den</t>
  </si>
  <si>
    <t>TISS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</si>
</sst>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(&quot;Kč&quot;* #,##0.00_);_(&quot;Kč&quot;* \(#,##0.00\);_(&quot;Kč&quot;* &quot;-&quot;??_);_(@_)"/>
    <numFmt numFmtId="164" formatCode="#\ ###\ ###\ ##0"/>
    <numFmt numFmtId="165" formatCode="#\ ###\ ##0.0"/>
    <numFmt numFmtId="166" formatCode="#,##0.0"/>
    <numFmt numFmtId="167" formatCode="0.0%"/>
    <numFmt numFmtId="168" formatCode="0.0"/>
    <numFmt numFmtId="169" formatCode="#,##0,"/>
    <numFmt numFmtId="170" formatCode="#\ ##0"/>
    <numFmt numFmtId="171" formatCode="0.000"/>
    <numFmt numFmtId="172" formatCode="#.##0"/>
    <numFmt numFmtId="173" formatCode="#,##0;\-#,##0;"/>
    <numFmt numFmtId="174" formatCode="General;\-General;"/>
    <numFmt numFmtId="175" formatCode="0%;\-0%;"/>
    <numFmt numFmtId="176" formatCode="#,##0%"/>
    <numFmt numFmtId="177" formatCode="#,##0.000"/>
  </numFmts>
  <fonts count="6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i/>
      <sz val="9"/>
      <name val="Arial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44" fontId="2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2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926">
    <xf numFmtId="0" fontId="0" fillId="0" borderId="0" xfId="0"/>
    <xf numFmtId="0" fontId="30" fillId="2" borderId="19" xfId="81" applyFont="1" applyFill="1" applyBorder="1"/>
    <xf numFmtId="0" fontId="31" fillId="2" borderId="20" xfId="81" applyFont="1" applyFill="1" applyBorder="1"/>
    <xf numFmtId="3" fontId="31" fillId="2" borderId="21" xfId="81" applyNumberFormat="1" applyFont="1" applyFill="1" applyBorder="1"/>
    <xf numFmtId="0" fontId="31" fillId="4" borderId="20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6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1" fillId="4" borderId="21" xfId="81" applyNumberFormat="1" applyFont="1" applyFill="1" applyBorder="1"/>
    <xf numFmtId="171" fontId="31" fillId="3" borderId="21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6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5" xfId="0" applyFont="1" applyFill="1" applyBorder="1" applyAlignment="1">
      <alignment vertical="top"/>
    </xf>
    <xf numFmtId="0" fontId="40" fillId="2" borderId="36" xfId="0" applyFont="1" applyFill="1" applyBorder="1" applyAlignment="1">
      <alignment vertical="top"/>
    </xf>
    <xf numFmtId="0" fontId="37" fillId="2" borderId="36" xfId="0" applyFont="1" applyFill="1" applyBorder="1" applyAlignment="1">
      <alignment vertical="top"/>
    </xf>
    <xf numFmtId="0" fontId="41" fillId="2" borderId="36" xfId="0" applyFont="1" applyFill="1" applyBorder="1" applyAlignment="1">
      <alignment vertical="top"/>
    </xf>
    <xf numFmtId="0" fontId="39" fillId="2" borderId="36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3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1" fillId="2" borderId="23" xfId="0" applyFont="1" applyFill="1" applyBorder="1" applyAlignment="1">
      <alignment horizontal="center" vertical="center" wrapText="1"/>
    </xf>
    <xf numFmtId="0" fontId="41" fillId="2" borderId="25" xfId="0" applyFont="1" applyFill="1" applyBorder="1" applyAlignment="1">
      <alignment horizontal="center" vertical="center" wrapText="1"/>
    </xf>
    <xf numFmtId="0" fontId="39" fillId="2" borderId="25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1" xfId="81" applyNumberFormat="1" applyFont="1" applyFill="1" applyBorder="1"/>
    <xf numFmtId="3" fontId="30" fillId="5" borderId="27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29" xfId="81" applyNumberFormat="1" applyFont="1" applyFill="1" applyBorder="1"/>
    <xf numFmtId="3" fontId="31" fillId="2" borderId="22" xfId="81" applyNumberFormat="1" applyFont="1" applyFill="1" applyBorder="1"/>
    <xf numFmtId="3" fontId="31" fillId="4" borderId="29" xfId="81" applyNumberFormat="1" applyFont="1" applyFill="1" applyBorder="1"/>
    <xf numFmtId="3" fontId="31" fillId="4" borderId="22" xfId="81" applyNumberFormat="1" applyFont="1" applyFill="1" applyBorder="1"/>
    <xf numFmtId="171" fontId="31" fillId="3" borderId="29" xfId="81" applyNumberFormat="1" applyFont="1" applyFill="1" applyBorder="1"/>
    <xf numFmtId="171" fontId="31" fillId="3" borderId="22" xfId="81" applyNumberFormat="1" applyFont="1" applyFill="1" applyBorder="1"/>
    <xf numFmtId="0" fontId="34" fillId="2" borderId="27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29" xfId="78" applyNumberFormat="1" applyFont="1" applyFill="1" applyBorder="1" applyAlignment="1">
      <alignment horizontal="right"/>
    </xf>
    <xf numFmtId="9" fontId="31" fillId="0" borderId="29" xfId="78" applyNumberFormat="1" applyFont="1" applyFill="1" applyBorder="1" applyAlignment="1">
      <alignment horizontal="right"/>
    </xf>
    <xf numFmtId="3" fontId="31" fillId="0" borderId="22" xfId="78" applyNumberFormat="1" applyFont="1" applyFill="1" applyBorder="1" applyAlignment="1">
      <alignment horizontal="right"/>
    </xf>
    <xf numFmtId="0" fontId="35" fillId="0" borderId="46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4" xfId="0" applyNumberFormat="1" applyFont="1" applyFill="1" applyBorder="1" applyAlignment="1">
      <alignment horizontal="right" vertical="top"/>
    </xf>
    <xf numFmtId="3" fontId="36" fillId="0" borderId="25" xfId="0" applyNumberFormat="1" applyFont="1" applyFill="1" applyBorder="1" applyAlignment="1">
      <alignment horizontal="right" vertical="top"/>
    </xf>
    <xf numFmtId="3" fontId="37" fillId="0" borderId="25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6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4" xfId="79" applyNumberFormat="1" applyFont="1" applyFill="1" applyBorder="1"/>
    <xf numFmtId="9" fontId="3" fillId="0" borderId="44" xfId="79" applyNumberFormat="1" applyFont="1" applyFill="1" applyBorder="1"/>
    <xf numFmtId="9" fontId="3" fillId="0" borderId="45" xfId="79" applyNumberFormat="1" applyFont="1" applyFill="1" applyBorder="1"/>
    <xf numFmtId="0" fontId="3" fillId="0" borderId="39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0" xfId="79" applyFont="1" applyFill="1" applyBorder="1"/>
    <xf numFmtId="0" fontId="3" fillId="0" borderId="41" xfId="79" applyFont="1" applyFill="1" applyBorder="1"/>
    <xf numFmtId="164" fontId="3" fillId="0" borderId="73" xfId="53" applyNumberFormat="1" applyFont="1" applyFill="1" applyBorder="1"/>
    <xf numFmtId="9" fontId="3" fillId="0" borderId="73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2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0" fontId="32" fillId="0" borderId="26" xfId="26" applyNumberFormat="1" applyFont="1" applyFill="1" applyBorder="1"/>
    <xf numFmtId="9" fontId="32" fillId="0" borderId="27" xfId="26" applyNumberFormat="1" applyFont="1" applyFill="1" applyBorder="1"/>
    <xf numFmtId="170" fontId="32" fillId="0" borderId="49" xfId="26" applyNumberFormat="1" applyFont="1" applyFill="1" applyBorder="1"/>
    <xf numFmtId="170" fontId="32" fillId="0" borderId="10" xfId="26" applyNumberFormat="1" applyFont="1" applyFill="1" applyBorder="1"/>
    <xf numFmtId="9" fontId="32" fillId="0" borderId="12" xfId="26" applyNumberFormat="1" applyFont="1" applyFill="1" applyBorder="1"/>
    <xf numFmtId="170" fontId="32" fillId="0" borderId="38" xfId="26" applyNumberFormat="1" applyFont="1" applyFill="1" applyBorder="1"/>
    <xf numFmtId="170" fontId="32" fillId="0" borderId="23" xfId="26" applyNumberFormat="1" applyFont="1" applyFill="1" applyBorder="1"/>
    <xf numFmtId="9" fontId="32" fillId="0" borderId="24" xfId="26" applyNumberFormat="1" applyFont="1" applyFill="1" applyBorder="1"/>
    <xf numFmtId="170" fontId="32" fillId="0" borderId="51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6" fontId="5" fillId="0" borderId="0" xfId="26" applyNumberFormat="1" applyFont="1" applyFill="1"/>
    <xf numFmtId="168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2" xfId="0" applyFont="1" applyFill="1" applyBorder="1" applyAlignment="1"/>
    <xf numFmtId="0" fontId="35" fillId="0" borderId="33" xfId="0" applyFont="1" applyFill="1" applyBorder="1" applyAlignment="1"/>
    <xf numFmtId="0" fontId="35" fillId="0" borderId="65" xfId="0" applyFont="1" applyFill="1" applyBorder="1" applyAlignment="1"/>
    <xf numFmtId="0" fontId="31" fillId="2" borderId="28" xfId="78" applyFont="1" applyFill="1" applyBorder="1" applyAlignment="1">
      <alignment horizontal="right"/>
    </xf>
    <xf numFmtId="3" fontId="31" fillId="2" borderId="64" xfId="78" applyNumberFormat="1" applyFont="1" applyFill="1" applyBorder="1"/>
    <xf numFmtId="0" fontId="3" fillId="2" borderId="21" xfId="79" applyFont="1" applyFill="1" applyBorder="1" applyAlignment="1">
      <alignment horizontal="left"/>
    </xf>
    <xf numFmtId="0" fontId="3" fillId="2" borderId="29" xfId="79" applyFont="1" applyFill="1" applyBorder="1" applyAlignment="1">
      <alignment horizontal="left"/>
    </xf>
    <xf numFmtId="0" fontId="3" fillId="2" borderId="25" xfId="80" applyFont="1" applyFill="1" applyBorder="1"/>
    <xf numFmtId="0" fontId="3" fillId="2" borderId="24" xfId="80" applyFont="1" applyFill="1" applyBorder="1"/>
    <xf numFmtId="0" fontId="3" fillId="2" borderId="43" xfId="79" applyFont="1" applyFill="1" applyBorder="1"/>
    <xf numFmtId="0" fontId="3" fillId="2" borderId="42" xfId="79" applyFont="1" applyFill="1" applyBorder="1"/>
    <xf numFmtId="0" fontId="3" fillId="2" borderId="71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1" xfId="26" applyNumberFormat="1" applyFont="1" applyFill="1" applyBorder="1"/>
    <xf numFmtId="3" fontId="34" fillId="2" borderId="29" xfId="26" applyNumberFormat="1" applyFont="1" applyFill="1" applyBorder="1"/>
    <xf numFmtId="3" fontId="34" fillId="4" borderId="21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8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7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7" fontId="34" fillId="2" borderId="3" xfId="26" applyNumberFormat="1" applyFont="1" applyFill="1" applyBorder="1" applyAlignment="1">
      <alignment horizontal="center"/>
    </xf>
    <xf numFmtId="3" fontId="34" fillId="2" borderId="21" xfId="26" applyNumberFormat="1" applyFont="1" applyFill="1" applyBorder="1" applyAlignment="1">
      <alignment horizontal="center"/>
    </xf>
    <xf numFmtId="167" fontId="34" fillId="2" borderId="22" xfId="26" applyNumberFormat="1" applyFont="1" applyFill="1" applyBorder="1" applyAlignment="1">
      <alignment horizontal="center"/>
    </xf>
    <xf numFmtId="167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7" fontId="34" fillId="7" borderId="7" xfId="86" applyNumberFormat="1" applyFont="1" applyFill="1" applyBorder="1"/>
    <xf numFmtId="167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7" fontId="34" fillId="7" borderId="12" xfId="86" applyNumberFormat="1" applyFont="1" applyFill="1" applyBorder="1"/>
    <xf numFmtId="167" fontId="34" fillId="2" borderId="22" xfId="86" applyNumberFormat="1" applyFont="1" applyFill="1" applyBorder="1" applyAlignment="1">
      <alignment horizontal="right"/>
    </xf>
    <xf numFmtId="3" fontId="34" fillId="2" borderId="30" xfId="26" applyNumberFormat="1" applyFont="1" applyFill="1" applyBorder="1"/>
    <xf numFmtId="167" fontId="34" fillId="2" borderId="22" xfId="86" applyNumberFormat="1" applyFont="1" applyFill="1" applyBorder="1"/>
    <xf numFmtId="3" fontId="34" fillId="2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7" fontId="34" fillId="3" borderId="3" xfId="26" applyNumberFormat="1" applyFont="1" applyFill="1" applyBorder="1" applyAlignment="1">
      <alignment horizontal="center"/>
    </xf>
    <xf numFmtId="3" fontId="34" fillId="3" borderId="21" xfId="26" applyNumberFormat="1" applyFont="1" applyFill="1" applyBorder="1" applyAlignment="1">
      <alignment horizontal="center"/>
    </xf>
    <xf numFmtId="167" fontId="34" fillId="3" borderId="22" xfId="26" applyNumberFormat="1" applyFont="1" applyFill="1" applyBorder="1" applyAlignment="1">
      <alignment horizontal="center"/>
    </xf>
    <xf numFmtId="3" fontId="32" fillId="7" borderId="26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8" xfId="26" applyNumberFormat="1" applyFont="1" applyFill="1" applyBorder="1"/>
    <xf numFmtId="3" fontId="34" fillId="3" borderId="21" xfId="26" applyNumberFormat="1" applyFont="1" applyFill="1" applyBorder="1"/>
    <xf numFmtId="3" fontId="34" fillId="3" borderId="29" xfId="26" applyNumberFormat="1" applyFont="1" applyFill="1" applyBorder="1"/>
    <xf numFmtId="167" fontId="34" fillId="3" borderId="22" xfId="86" applyNumberFormat="1" applyFont="1" applyFill="1" applyBorder="1" applyAlignment="1">
      <alignment horizontal="right"/>
    </xf>
    <xf numFmtId="167" fontId="34" fillId="3" borderId="22" xfId="86" applyNumberFormat="1" applyFont="1" applyFill="1" applyBorder="1"/>
    <xf numFmtId="3" fontId="34" fillId="3" borderId="22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7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7" fontId="34" fillId="4" borderId="3" xfId="26" applyNumberFormat="1" applyFont="1" applyFill="1" applyBorder="1" applyAlignment="1">
      <alignment horizontal="center"/>
    </xf>
    <xf numFmtId="3" fontId="34" fillId="4" borderId="21" xfId="26" applyNumberFormat="1" applyFont="1" applyFill="1" applyBorder="1" applyAlignment="1">
      <alignment horizontal="center"/>
    </xf>
    <xf numFmtId="167" fontId="34" fillId="4" borderId="22" xfId="26" applyNumberFormat="1" applyFont="1" applyFill="1" applyBorder="1" applyAlignment="1">
      <alignment horizontal="center"/>
    </xf>
    <xf numFmtId="3" fontId="34" fillId="4" borderId="28" xfId="26" applyNumberFormat="1" applyFont="1" applyFill="1" applyBorder="1"/>
    <xf numFmtId="3" fontId="34" fillId="4" borderId="29" xfId="26" applyNumberFormat="1" applyFont="1" applyFill="1" applyBorder="1"/>
    <xf numFmtId="167" fontId="34" fillId="4" borderId="22" xfId="86" applyNumberFormat="1" applyFont="1" applyFill="1" applyBorder="1" applyAlignment="1">
      <alignment horizontal="right"/>
    </xf>
    <xf numFmtId="3" fontId="34" fillId="4" borderId="30" xfId="26" applyNumberFormat="1" applyFont="1" applyFill="1" applyBorder="1"/>
    <xf numFmtId="167" fontId="34" fillId="4" borderId="22" xfId="86" applyNumberFormat="1" applyFont="1" applyFill="1" applyBorder="1"/>
    <xf numFmtId="3" fontId="34" fillId="4" borderId="22" xfId="26" applyNumberFormat="1" applyFont="1" applyFill="1" applyBorder="1" applyAlignment="1">
      <alignment horizontal="center"/>
    </xf>
    <xf numFmtId="9" fontId="3" fillId="2" borderId="32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0" fontId="34" fillId="2" borderId="48" xfId="26" quotePrefix="1" applyNumberFormat="1" applyFont="1" applyFill="1" applyBorder="1" applyAlignment="1">
      <alignment horizontal="center"/>
    </xf>
    <xf numFmtId="170" fontId="34" fillId="2" borderId="9" xfId="26" quotePrefix="1" applyNumberFormat="1" applyFont="1" applyFill="1" applyBorder="1" applyAlignment="1">
      <alignment horizontal="center"/>
    </xf>
    <xf numFmtId="170" fontId="34" fillId="2" borderId="50" xfId="26" quotePrefix="1" applyNumberFormat="1" applyFont="1" applyFill="1" applyBorder="1" applyAlignment="1">
      <alignment horizontal="center"/>
    </xf>
    <xf numFmtId="0" fontId="32" fillId="2" borderId="32" xfId="26" applyFont="1" applyFill="1" applyBorder="1"/>
    <xf numFmtId="0" fontId="3" fillId="2" borderId="65" xfId="33" applyFont="1" applyFill="1" applyBorder="1" applyAlignment="1">
      <alignment horizontal="center" vertical="center"/>
    </xf>
    <xf numFmtId="9" fontId="3" fillId="0" borderId="72" xfId="53" applyNumberFormat="1" applyFont="1" applyFill="1" applyBorder="1"/>
    <xf numFmtId="0" fontId="35" fillId="0" borderId="27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4" xfId="0" applyFont="1" applyFill="1" applyBorder="1"/>
    <xf numFmtId="0" fontId="35" fillId="5" borderId="46" xfId="0" applyFont="1" applyFill="1" applyBorder="1"/>
    <xf numFmtId="0" fontId="35" fillId="5" borderId="52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4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1" xfId="53" applyFont="1" applyFill="1" applyBorder="1" applyAlignment="1">
      <alignment horizontal="right"/>
    </xf>
    <xf numFmtId="164" fontId="34" fillId="0" borderId="76" xfId="53" applyNumberFormat="1" applyFont="1" applyFill="1" applyBorder="1"/>
    <xf numFmtId="164" fontId="34" fillId="0" borderId="77" xfId="53" applyNumberFormat="1" applyFont="1" applyFill="1" applyBorder="1"/>
    <xf numFmtId="9" fontId="34" fillId="0" borderId="78" xfId="83" applyNumberFormat="1" applyFont="1" applyFill="1" applyBorder="1"/>
    <xf numFmtId="3" fontId="34" fillId="0" borderId="78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0" fontId="32" fillId="0" borderId="52" xfId="26" applyFont="1" applyFill="1" applyBorder="1" applyAlignment="1">
      <alignment horizontal="right"/>
    </xf>
    <xf numFmtId="170" fontId="32" fillId="0" borderId="48" xfId="26" quotePrefix="1" applyNumberFormat="1" applyFont="1" applyFill="1" applyBorder="1" applyAlignment="1">
      <alignment horizontal="right"/>
    </xf>
    <xf numFmtId="170" fontId="32" fillId="0" borderId="9" xfId="26" quotePrefix="1" applyNumberFormat="1" applyFont="1" applyFill="1" applyBorder="1" applyAlignment="1">
      <alignment horizontal="right"/>
    </xf>
    <xf numFmtId="170" fontId="32" fillId="0" borderId="50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3" fontId="34" fillId="0" borderId="31" xfId="53" applyNumberFormat="1" applyFont="1" applyFill="1" applyBorder="1"/>
    <xf numFmtId="3" fontId="34" fillId="0" borderId="27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2" xfId="0" applyFont="1" applyFill="1" applyBorder="1" applyAlignment="1">
      <alignment horizontal="center"/>
    </xf>
    <xf numFmtId="3" fontId="3" fillId="0" borderId="72" xfId="53" applyNumberFormat="1" applyFont="1" applyFill="1" applyBorder="1"/>
    <xf numFmtId="3" fontId="3" fillId="0" borderId="73" xfId="53" applyNumberFormat="1" applyFont="1" applyFill="1" applyBorder="1"/>
    <xf numFmtId="3" fontId="3" fillId="0" borderId="74" xfId="53" applyNumberFormat="1" applyFont="1" applyFill="1" applyBorder="1"/>
    <xf numFmtId="0" fontId="34" fillId="2" borderId="52" xfId="0" applyNumberFormat="1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80" xfId="53" applyNumberFormat="1" applyFont="1" applyFill="1" applyBorder="1"/>
    <xf numFmtId="168" fontId="5" fillId="0" borderId="0" xfId="26" applyNumberFormat="1" applyFont="1" applyFill="1"/>
    <xf numFmtId="166" fontId="3" fillId="2" borderId="32" xfId="24" applyNumberFormat="1" applyFont="1" applyFill="1" applyBorder="1" applyAlignment="1">
      <alignment horizontal="center" vertical="center" wrapText="1"/>
    </xf>
    <xf numFmtId="169" fontId="35" fillId="0" borderId="0" xfId="0" applyNumberFormat="1" applyFont="1" applyFill="1"/>
    <xf numFmtId="0" fontId="34" fillId="2" borderId="48" xfId="74" applyFont="1" applyFill="1" applyBorder="1" applyAlignment="1">
      <alignment horizontal="center"/>
    </xf>
    <xf numFmtId="0" fontId="30" fillId="5" borderId="46" xfId="81" applyFont="1" applyFill="1" applyBorder="1"/>
    <xf numFmtId="0" fontId="34" fillId="2" borderId="25" xfId="81" applyFont="1" applyFill="1" applyBorder="1" applyAlignment="1">
      <alignment horizontal="center"/>
    </xf>
    <xf numFmtId="0" fontId="34" fillId="2" borderId="24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19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1" xfId="0" applyNumberFormat="1" applyFont="1" applyFill="1" applyBorder="1"/>
    <xf numFmtId="3" fontId="35" fillId="0" borderId="26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7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2" xfId="81" applyNumberFormat="1" applyFont="1" applyFill="1" applyBorder="1"/>
    <xf numFmtId="9" fontId="31" fillId="4" borderId="22" xfId="81" applyNumberFormat="1" applyFont="1" applyFill="1" applyBorder="1"/>
    <xf numFmtId="9" fontId="31" fillId="3" borderId="22" xfId="81" applyNumberFormat="1" applyFont="1" applyFill="1" applyBorder="1"/>
    <xf numFmtId="0" fontId="34" fillId="2" borderId="23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7" xfId="26" applyNumberFormat="1" applyFont="1" applyFill="1" applyBorder="1"/>
    <xf numFmtId="3" fontId="32" fillId="7" borderId="82" xfId="26" applyNumberFormat="1" applyFont="1" applyFill="1" applyBorder="1"/>
    <xf numFmtId="3" fontId="32" fillId="7" borderId="62" xfId="26" applyNumberFormat="1" applyFont="1" applyFill="1" applyBorder="1"/>
    <xf numFmtId="167" fontId="34" fillId="7" borderId="70" xfId="86" applyNumberFormat="1" applyFont="1" applyFill="1" applyBorder="1" applyAlignment="1">
      <alignment horizontal="right"/>
    </xf>
    <xf numFmtId="3" fontId="32" fillId="7" borderId="83" xfId="26" applyNumberFormat="1" applyFont="1" applyFill="1" applyBorder="1"/>
    <xf numFmtId="167" fontId="34" fillId="7" borderId="70" xfId="86" applyNumberFormat="1" applyFont="1" applyFill="1" applyBorder="1"/>
    <xf numFmtId="3" fontId="32" fillId="0" borderId="82" xfId="26" applyNumberFormat="1" applyFont="1" applyFill="1" applyBorder="1" applyAlignment="1">
      <alignment horizontal="center"/>
    </xf>
    <xf numFmtId="3" fontId="32" fillId="0" borderId="70" xfId="26" applyNumberFormat="1" applyFont="1" applyFill="1" applyBorder="1" applyAlignment="1">
      <alignment horizontal="center"/>
    </xf>
    <xf numFmtId="3" fontId="32" fillId="7" borderId="82" xfId="26" applyNumberFormat="1" applyFont="1" applyFill="1" applyBorder="1" applyAlignment="1">
      <alignment horizontal="center"/>
    </xf>
    <xf numFmtId="3" fontId="32" fillId="7" borderId="70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2" xfId="0" applyFont="1" applyFill="1" applyBorder="1" applyAlignment="1"/>
    <xf numFmtId="0" fontId="35" fillId="0" borderId="0" xfId="0" applyFont="1" applyFill="1" applyAlignment="1"/>
    <xf numFmtId="0" fontId="49" fillId="4" borderId="35" xfId="1" applyFont="1" applyFill="1" applyBorder="1"/>
    <xf numFmtId="0" fontId="49" fillId="4" borderId="19" xfId="1" applyFont="1" applyFill="1" applyBorder="1"/>
    <xf numFmtId="0" fontId="49" fillId="3" borderId="20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4" fontId="34" fillId="2" borderId="26" xfId="53" applyNumberFormat="1" applyFont="1" applyFill="1" applyBorder="1" applyAlignment="1">
      <alignment horizontal="right"/>
    </xf>
    <xf numFmtId="0" fontId="3" fillId="2" borderId="31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8" fontId="3" fillId="2" borderId="32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3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5" xfId="0" applyNumberFormat="1" applyFont="1" applyFill="1" applyBorder="1"/>
    <xf numFmtId="3" fontId="42" fillId="2" borderId="57" xfId="0" applyNumberFormat="1" applyFont="1" applyFill="1" applyBorder="1"/>
    <xf numFmtId="9" fontId="42" fillId="2" borderId="64" xfId="0" applyNumberFormat="1" applyFont="1" applyFill="1" applyBorder="1"/>
    <xf numFmtId="0" fontId="53" fillId="2" borderId="20" xfId="1" applyFont="1" applyFill="1" applyBorder="1" applyAlignment="1"/>
    <xf numFmtId="0" fontId="35" fillId="2" borderId="30" xfId="0" applyFont="1" applyFill="1" applyBorder="1" applyAlignment="1"/>
    <xf numFmtId="3" fontId="35" fillId="2" borderId="29" xfId="0" applyNumberFormat="1" applyFont="1" applyFill="1" applyBorder="1" applyAlignment="1"/>
    <xf numFmtId="9" fontId="35" fillId="2" borderId="22" xfId="0" applyNumberFormat="1" applyFont="1" applyFill="1" applyBorder="1" applyAlignment="1"/>
    <xf numFmtId="0" fontId="42" fillId="2" borderId="61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6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6" xfId="0" applyFont="1" applyFill="1" applyBorder="1" applyAlignment="1">
      <alignment horizontal="left" indent="2"/>
    </xf>
    <xf numFmtId="0" fontId="34" fillId="2" borderId="36" xfId="1" applyFont="1" applyFill="1" applyBorder="1" applyAlignment="1"/>
    <xf numFmtId="0" fontId="49" fillId="2" borderId="36" xfId="1" applyFont="1" applyFill="1" applyBorder="1" applyAlignment="1">
      <alignment horizontal="left" indent="2"/>
    </xf>
    <xf numFmtId="0" fontId="53" fillId="2" borderId="36" xfId="1" applyFont="1" applyFill="1" applyBorder="1" applyAlignment="1"/>
    <xf numFmtId="0" fontId="35" fillId="0" borderId="34" xfId="0" applyFont="1" applyBorder="1" applyAlignment="1"/>
    <xf numFmtId="3" fontId="35" fillId="0" borderId="25" xfId="0" applyNumberFormat="1" applyFont="1" applyBorder="1" applyAlignment="1"/>
    <xf numFmtId="9" fontId="35" fillId="0" borderId="24" xfId="0" applyNumberFormat="1" applyFont="1" applyBorder="1" applyAlignment="1"/>
    <xf numFmtId="0" fontId="42" fillId="0" borderId="46" xfId="0" applyFont="1" applyFill="1" applyBorder="1" applyAlignment="1">
      <alignment horizontal="left" indent="2"/>
    </xf>
    <xf numFmtId="0" fontId="35" fillId="0" borderId="46" xfId="0" applyFont="1" applyBorder="1" applyAlignment="1"/>
    <xf numFmtId="3" fontId="35" fillId="0" borderId="46" xfId="0" applyNumberFormat="1" applyFont="1" applyBorder="1" applyAlignment="1"/>
    <xf numFmtId="9" fontId="35" fillId="0" borderId="46" xfId="0" applyNumberFormat="1" applyFont="1" applyBorder="1" applyAlignment="1"/>
    <xf numFmtId="0" fontId="53" fillId="4" borderId="20" xfId="1" applyFont="1" applyFill="1" applyBorder="1" applyAlignment="1">
      <alignment horizontal="left"/>
    </xf>
    <xf numFmtId="0" fontId="35" fillId="4" borderId="30" xfId="0" applyFont="1" applyFill="1" applyBorder="1" applyAlignment="1"/>
    <xf numFmtId="3" fontId="35" fillId="4" borderId="29" xfId="0" applyNumberFormat="1" applyFont="1" applyFill="1" applyBorder="1" applyAlignment="1"/>
    <xf numFmtId="9" fontId="35" fillId="4" borderId="22" xfId="0" applyNumberFormat="1" applyFont="1" applyFill="1" applyBorder="1" applyAlignment="1"/>
    <xf numFmtId="0" fontId="53" fillId="4" borderId="61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2"/>
    </xf>
    <xf numFmtId="0" fontId="53" fillId="4" borderId="36" xfId="1" applyFont="1" applyFill="1" applyBorder="1" applyAlignment="1">
      <alignment horizontal="left"/>
    </xf>
    <xf numFmtId="0" fontId="49" fillId="4" borderId="36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6" xfId="1" applyFont="1" applyFill="1" applyBorder="1" applyAlignment="1">
      <alignment horizontal="left" wrapText="1" indent="2"/>
    </xf>
    <xf numFmtId="0" fontId="35" fillId="4" borderId="37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2" xfId="0" applyNumberFormat="1" applyFont="1" applyBorder="1" applyAlignment="1"/>
    <xf numFmtId="0" fontId="42" fillId="3" borderId="20" xfId="0" applyFont="1" applyFill="1" applyBorder="1" applyAlignment="1"/>
    <xf numFmtId="0" fontId="35" fillId="3" borderId="30" xfId="0" applyFont="1" applyFill="1" applyBorder="1" applyAlignment="1"/>
    <xf numFmtId="3" fontId="35" fillId="3" borderId="29" xfId="0" applyNumberFormat="1" applyFont="1" applyFill="1" applyBorder="1" applyAlignment="1"/>
    <xf numFmtId="9" fontId="35" fillId="3" borderId="22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1" fontId="43" fillId="0" borderId="0" xfId="0" applyNumberFormat="1" applyFont="1" applyFill="1"/>
    <xf numFmtId="172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6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4" fontId="35" fillId="0" borderId="0" xfId="0" applyNumberFormat="1" applyFont="1" applyFill="1"/>
    <xf numFmtId="9" fontId="35" fillId="0" borderId="0" xfId="0" applyNumberFormat="1" applyFont="1" applyFill="1"/>
    <xf numFmtId="164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4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5" fontId="35" fillId="0" borderId="0" xfId="0" applyNumberFormat="1" applyFont="1" applyFill="1"/>
    <xf numFmtId="0" fontId="42" fillId="2" borderId="28" xfId="0" applyFont="1" applyFill="1" applyBorder="1" applyAlignment="1">
      <alignment horizontal="right"/>
    </xf>
    <xf numFmtId="169" fontId="42" fillId="0" borderId="21" xfId="0" applyNumberFormat="1" applyFont="1" applyFill="1" applyBorder="1" applyAlignment="1"/>
    <xf numFmtId="169" fontId="42" fillId="0" borderId="29" xfId="0" applyNumberFormat="1" applyFont="1" applyFill="1" applyBorder="1" applyAlignment="1"/>
    <xf numFmtId="9" fontId="42" fillId="0" borderId="22" xfId="0" applyNumberFormat="1" applyFont="1" applyFill="1" applyBorder="1" applyAlignment="1"/>
    <xf numFmtId="169" fontId="42" fillId="0" borderId="30" xfId="0" applyNumberFormat="1" applyFont="1" applyFill="1" applyBorder="1" applyAlignment="1"/>
    <xf numFmtId="9" fontId="42" fillId="0" borderId="54" xfId="0" applyNumberFormat="1" applyFont="1" applyFill="1" applyBorder="1" applyAlignment="1"/>
    <xf numFmtId="169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2" xfId="0" applyNumberFormat="1" applyFont="1" applyFill="1" applyBorder="1" applyAlignment="1"/>
    <xf numFmtId="9" fontId="35" fillId="0" borderId="52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2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7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6" xfId="26" applyFont="1" applyFill="1" applyBorder="1" applyAlignment="1">
      <alignment vertical="center"/>
    </xf>
    <xf numFmtId="168" fontId="3" fillId="0" borderId="46" xfId="26" applyNumberFormat="1" applyFont="1" applyFill="1" applyBorder="1" applyAlignment="1">
      <alignment vertical="center"/>
    </xf>
    <xf numFmtId="166" fontId="3" fillId="0" borderId="46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4" xfId="0" applyNumberFormat="1" applyFont="1" applyFill="1" applyBorder="1"/>
    <xf numFmtId="3" fontId="59" fillId="9" borderId="85" xfId="0" applyNumberFormat="1" applyFont="1" applyFill="1" applyBorder="1"/>
    <xf numFmtId="3" fontId="59" fillId="9" borderId="84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88" xfId="0" applyNumberFormat="1" applyFont="1" applyFill="1" applyBorder="1" applyAlignment="1">
      <alignment horizontal="center" vertical="center"/>
    </xf>
    <xf numFmtId="0" fontId="42" fillId="2" borderId="89" xfId="0" applyFont="1" applyFill="1" applyBorder="1" applyAlignment="1">
      <alignment horizontal="center" vertical="center"/>
    </xf>
    <xf numFmtId="3" fontId="61" fillId="2" borderId="91" xfId="0" applyNumberFormat="1" applyFont="1" applyFill="1" applyBorder="1" applyAlignment="1">
      <alignment horizontal="center" vertical="center" wrapText="1"/>
    </xf>
    <xf numFmtId="0" fontId="61" fillId="2" borderId="92" xfId="0" applyFont="1" applyFill="1" applyBorder="1" applyAlignment="1">
      <alignment horizontal="center" vertical="center" wrapText="1"/>
    </xf>
    <xf numFmtId="0" fontId="42" fillId="2" borderId="94" xfId="0" applyFont="1" applyFill="1" applyBorder="1" applyAlignment="1"/>
    <xf numFmtId="0" fontId="42" fillId="2" borderId="96" xfId="0" applyFont="1" applyFill="1" applyBorder="1" applyAlignment="1">
      <alignment horizontal="left" indent="1"/>
    </xf>
    <xf numFmtId="0" fontId="42" fillId="2" borderId="102" xfId="0" applyFont="1" applyFill="1" applyBorder="1" applyAlignment="1">
      <alignment horizontal="left" indent="1"/>
    </xf>
    <xf numFmtId="0" fontId="42" fillId="4" borderId="94" xfId="0" applyFont="1" applyFill="1" applyBorder="1" applyAlignment="1"/>
    <xf numFmtId="0" fontId="42" fillId="4" borderId="96" xfId="0" applyFont="1" applyFill="1" applyBorder="1" applyAlignment="1">
      <alignment horizontal="left" indent="1"/>
    </xf>
    <xf numFmtId="0" fontId="42" fillId="4" borderId="107" xfId="0" applyFont="1" applyFill="1" applyBorder="1" applyAlignment="1">
      <alignment horizontal="left" indent="1"/>
    </xf>
    <xf numFmtId="0" fontId="35" fillId="2" borderId="96" xfId="0" quotePrefix="1" applyFont="1" applyFill="1" applyBorder="1" applyAlignment="1">
      <alignment horizontal="left" indent="2"/>
    </xf>
    <xf numFmtId="0" fontId="35" fillId="2" borderId="102" xfId="0" quotePrefix="1" applyFont="1" applyFill="1" applyBorder="1" applyAlignment="1">
      <alignment horizontal="left" indent="2"/>
    </xf>
    <xf numFmtId="0" fontId="42" fillId="2" borderId="94" xfId="0" applyFont="1" applyFill="1" applyBorder="1" applyAlignment="1">
      <alignment horizontal="left" indent="1"/>
    </xf>
    <xf numFmtId="0" fontId="42" fillId="2" borderId="107" xfId="0" applyFont="1" applyFill="1" applyBorder="1" applyAlignment="1">
      <alignment horizontal="left" indent="1"/>
    </xf>
    <xf numFmtId="0" fontId="42" fillId="4" borderId="102" xfId="0" applyFont="1" applyFill="1" applyBorder="1" applyAlignment="1">
      <alignment horizontal="left" indent="1"/>
    </xf>
    <xf numFmtId="0" fontId="35" fillId="0" borderId="112" xfId="0" applyFont="1" applyBorder="1"/>
    <xf numFmtId="3" fontId="35" fillId="0" borderId="112" xfId="0" applyNumberFormat="1" applyFont="1" applyBorder="1"/>
    <xf numFmtId="0" fontId="42" fillId="4" borderId="86" xfId="0" applyFont="1" applyFill="1" applyBorder="1" applyAlignment="1">
      <alignment horizontal="center" vertical="center"/>
    </xf>
    <xf numFmtId="0" fontId="42" fillId="4" borderId="65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1" xfId="0" applyNumberFormat="1" applyFont="1" applyFill="1" applyBorder="1" applyAlignment="1">
      <alignment horizontal="center" vertical="center"/>
    </xf>
    <xf numFmtId="3" fontId="61" fillId="2" borderId="109" xfId="0" applyNumberFormat="1" applyFont="1" applyFill="1" applyBorder="1" applyAlignment="1">
      <alignment horizontal="center" vertical="center" wrapText="1"/>
    </xf>
    <xf numFmtId="173" fontId="42" fillId="4" borderId="95" xfId="0" applyNumberFormat="1" applyFont="1" applyFill="1" applyBorder="1" applyAlignment="1"/>
    <xf numFmtId="173" fontId="42" fillId="4" borderId="88" xfId="0" applyNumberFormat="1" applyFont="1" applyFill="1" applyBorder="1" applyAlignment="1"/>
    <xf numFmtId="173" fontId="42" fillId="4" borderId="89" xfId="0" applyNumberFormat="1" applyFont="1" applyFill="1" applyBorder="1" applyAlignment="1"/>
    <xf numFmtId="173" fontId="42" fillId="0" borderId="97" xfId="0" applyNumberFormat="1" applyFont="1" applyBorder="1"/>
    <xf numFmtId="173" fontId="35" fillId="0" borderId="101" xfId="0" applyNumberFormat="1" applyFont="1" applyBorder="1"/>
    <xf numFmtId="173" fontId="35" fillId="0" borderId="99" xfId="0" applyNumberFormat="1" applyFont="1" applyBorder="1"/>
    <xf numFmtId="173" fontId="42" fillId="0" borderId="108" xfId="0" applyNumberFormat="1" applyFont="1" applyBorder="1"/>
    <xf numFmtId="173" fontId="35" fillId="0" borderId="109" xfId="0" applyNumberFormat="1" applyFont="1" applyBorder="1"/>
    <xf numFmtId="173" fontId="35" fillId="0" borderId="92" xfId="0" applyNumberFormat="1" applyFont="1" applyBorder="1"/>
    <xf numFmtId="173" fontId="42" fillId="2" borderId="110" xfId="0" applyNumberFormat="1" applyFont="1" applyFill="1" applyBorder="1" applyAlignment="1"/>
    <xf numFmtId="173" fontId="42" fillId="2" borderId="88" xfId="0" applyNumberFormat="1" applyFont="1" applyFill="1" applyBorder="1" applyAlignment="1"/>
    <xf numFmtId="173" fontId="42" fillId="2" borderId="89" xfId="0" applyNumberFormat="1" applyFont="1" applyFill="1" applyBorder="1" applyAlignment="1"/>
    <xf numFmtId="173" fontId="42" fillId="0" borderId="103" xfId="0" applyNumberFormat="1" applyFont="1" applyBorder="1"/>
    <xf numFmtId="173" fontId="35" fillId="0" borderId="104" xfId="0" applyNumberFormat="1" applyFont="1" applyBorder="1"/>
    <xf numFmtId="173" fontId="35" fillId="0" borderId="105" xfId="0" applyNumberFormat="1" applyFont="1" applyBorder="1"/>
    <xf numFmtId="173" fontId="42" fillId="0" borderId="95" xfId="0" applyNumberFormat="1" applyFont="1" applyBorder="1"/>
    <xf numFmtId="173" fontId="35" fillId="0" borderId="111" xfId="0" applyNumberFormat="1" applyFont="1" applyBorder="1"/>
    <xf numFmtId="173" fontId="35" fillId="0" borderId="89" xfId="0" applyNumberFormat="1" applyFont="1" applyBorder="1"/>
    <xf numFmtId="174" fontId="42" fillId="2" borderId="95" xfId="0" applyNumberFormat="1" applyFont="1" applyFill="1" applyBorder="1" applyAlignment="1"/>
    <xf numFmtId="174" fontId="35" fillId="2" borderId="88" xfId="0" applyNumberFormat="1" applyFont="1" applyFill="1" applyBorder="1" applyAlignment="1"/>
    <xf numFmtId="174" fontId="35" fillId="2" borderId="89" xfId="0" applyNumberFormat="1" applyFont="1" applyFill="1" applyBorder="1" applyAlignment="1"/>
    <xf numFmtId="174" fontId="42" fillId="0" borderId="97" xfId="0" applyNumberFormat="1" applyFont="1" applyBorder="1"/>
    <xf numFmtId="174" fontId="35" fillId="0" borderId="98" xfId="0" applyNumberFormat="1" applyFont="1" applyBorder="1"/>
    <xf numFmtId="174" fontId="35" fillId="0" borderId="99" xfId="0" applyNumberFormat="1" applyFont="1" applyBorder="1"/>
    <xf numFmtId="174" fontId="35" fillId="0" borderId="101" xfId="0" applyNumberFormat="1" applyFont="1" applyBorder="1"/>
    <xf numFmtId="174" fontId="42" fillId="0" borderId="103" xfId="0" applyNumberFormat="1" applyFont="1" applyBorder="1"/>
    <xf numFmtId="174" fontId="35" fillId="0" borderId="104" xfId="0" applyNumberFormat="1" applyFont="1" applyBorder="1"/>
    <xf numFmtId="174" fontId="35" fillId="0" borderId="105" xfId="0" applyNumberFormat="1" applyFont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64" fillId="0" borderId="0" xfId="0" applyFont="1"/>
    <xf numFmtId="173" fontId="42" fillId="4" borderId="95" xfId="0" applyNumberFormat="1" applyFont="1" applyFill="1" applyBorder="1" applyAlignment="1">
      <alignment horizontal="center"/>
    </xf>
    <xf numFmtId="175" fontId="42" fillId="0" borderId="103" xfId="0" applyNumberFormat="1" applyFont="1" applyBorder="1"/>
    <xf numFmtId="0" fontId="34" fillId="2" borderId="120" xfId="74" applyFont="1" applyFill="1" applyBorder="1" applyAlignment="1">
      <alignment horizontal="center"/>
    </xf>
    <xf numFmtId="0" fontId="34" fillId="2" borderId="90" xfId="81" applyFont="1" applyFill="1" applyBorder="1" applyAlignment="1">
      <alignment horizontal="center"/>
    </xf>
    <xf numFmtId="0" fontId="34" fillId="2" borderId="91" xfId="81" applyFont="1" applyFill="1" applyBorder="1" applyAlignment="1">
      <alignment horizontal="center"/>
    </xf>
    <xf numFmtId="0" fontId="34" fillId="2" borderId="92" xfId="81" applyFont="1" applyFill="1" applyBorder="1" applyAlignment="1">
      <alignment horizontal="center"/>
    </xf>
    <xf numFmtId="0" fontId="34" fillId="2" borderId="93" xfId="81" applyFont="1" applyFill="1" applyBorder="1" applyAlignment="1">
      <alignment horizontal="center"/>
    </xf>
    <xf numFmtId="0" fontId="3" fillId="2" borderId="21" xfId="79" applyFont="1" applyFill="1" applyBorder="1" applyAlignment="1"/>
    <xf numFmtId="0" fontId="3" fillId="2" borderId="29" xfId="79" applyFont="1" applyFill="1" applyBorder="1" applyAlignment="1"/>
    <xf numFmtId="0" fontId="32" fillId="5" borderId="0" xfId="74" applyFont="1" applyFill="1" applyAlignment="1">
      <alignment horizontal="center"/>
    </xf>
    <xf numFmtId="3" fontId="65" fillId="0" borderId="0" xfId="76" applyNumberFormat="1" applyFont="1" applyFill="1"/>
    <xf numFmtId="3" fontId="65" fillId="0" borderId="0" xfId="76" applyNumberFormat="1" applyFont="1" applyFill="1" applyAlignment="1">
      <alignment horizontal="left" indent="1"/>
    </xf>
    <xf numFmtId="3" fontId="32" fillId="0" borderId="0" xfId="26" applyNumberFormat="1" applyFont="1" applyFill="1" applyBorder="1" applyAlignment="1"/>
    <xf numFmtId="3" fontId="34" fillId="0" borderId="76" xfId="53" applyNumberFormat="1" applyFont="1" applyFill="1" applyBorder="1"/>
    <xf numFmtId="3" fontId="34" fillId="0" borderId="77" xfId="53" applyNumberFormat="1" applyFont="1" applyFill="1" applyBorder="1"/>
    <xf numFmtId="0" fontId="3" fillId="0" borderId="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right"/>
    </xf>
    <xf numFmtId="9" fontId="35" fillId="0" borderId="29" xfId="0" applyNumberFormat="1" applyFont="1" applyFill="1" applyBorder="1"/>
    <xf numFmtId="9" fontId="35" fillId="0" borderId="22" xfId="0" applyNumberFormat="1" applyFont="1" applyFill="1" applyBorder="1"/>
    <xf numFmtId="9" fontId="35" fillId="0" borderId="30" xfId="0" applyNumberFormat="1" applyFont="1" applyFill="1" applyBorder="1"/>
    <xf numFmtId="3" fontId="7" fillId="0" borderId="21" xfId="78" applyNumberFormat="1" applyFont="1" applyFill="1" applyBorder="1" applyAlignment="1"/>
    <xf numFmtId="3" fontId="7" fillId="0" borderId="29" xfId="78" applyNumberFormat="1" applyFont="1" applyFill="1" applyBorder="1" applyAlignment="1"/>
    <xf numFmtId="3" fontId="7" fillId="0" borderId="22" xfId="78" applyNumberFormat="1" applyFont="1" applyFill="1" applyBorder="1" applyAlignment="1"/>
    <xf numFmtId="0" fontId="35" fillId="5" borderId="100" xfId="0" applyFont="1" applyFill="1" applyBorder="1"/>
    <xf numFmtId="0" fontId="35" fillId="0" borderId="101" xfId="0" applyFont="1" applyBorder="1" applyAlignment="1"/>
    <xf numFmtId="9" fontId="35" fillId="0" borderId="99" xfId="0" applyNumberFormat="1" applyFont="1" applyBorder="1" applyAlignment="1"/>
    <xf numFmtId="0" fontId="28" fillId="2" borderId="36" xfId="1" applyFill="1" applyBorder="1" applyAlignment="1">
      <alignment horizontal="left" indent="4"/>
    </xf>
    <xf numFmtId="0" fontId="42" fillId="0" borderId="0" xfId="0" applyFont="1" applyFill="1" applyAlignment="1">
      <alignment horizontal="left" indent="1"/>
    </xf>
    <xf numFmtId="0" fontId="35" fillId="0" borderId="112" xfId="0" applyFont="1" applyFill="1" applyBorder="1" applyAlignment="1"/>
    <xf numFmtId="3" fontId="42" fillId="0" borderId="21" xfId="0" applyNumberFormat="1" applyFont="1" applyFill="1" applyBorder="1" applyAlignment="1"/>
    <xf numFmtId="3" fontId="42" fillId="0" borderId="29" xfId="0" applyNumberFormat="1" applyFont="1" applyFill="1" applyBorder="1" applyAlignment="1"/>
    <xf numFmtId="169" fontId="42" fillId="0" borderId="22" xfId="0" applyNumberFormat="1" applyFont="1" applyFill="1" applyBorder="1" applyAlignment="1"/>
    <xf numFmtId="9" fontId="42" fillId="0" borderId="97" xfId="0" applyNumberFormat="1" applyFont="1" applyBorder="1"/>
    <xf numFmtId="9" fontId="35" fillId="0" borderId="101" xfId="0" applyNumberFormat="1" applyFont="1" applyBorder="1"/>
    <xf numFmtId="9" fontId="35" fillId="0" borderId="99" xfId="0" applyNumberFormat="1" applyFont="1" applyBorder="1"/>
    <xf numFmtId="0" fontId="42" fillId="3" borderId="28" xfId="0" applyFont="1" applyFill="1" applyBorder="1" applyAlignment="1"/>
    <xf numFmtId="0" fontId="35" fillId="0" borderId="47" xfId="0" applyFont="1" applyBorder="1" applyAlignment="1"/>
    <xf numFmtId="0" fontId="42" fillId="2" borderId="28" xfId="0" applyFont="1" applyFill="1" applyBorder="1" applyAlignment="1"/>
    <xf numFmtId="0" fontId="42" fillId="4" borderId="28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8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0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34" fillId="2" borderId="48" xfId="81" applyFont="1" applyFill="1" applyBorder="1" applyAlignment="1">
      <alignment horizontal="center"/>
    </xf>
    <xf numFmtId="0" fontId="34" fillId="2" borderId="81" xfId="81" applyFont="1" applyFill="1" applyBorder="1" applyAlignment="1">
      <alignment horizontal="center"/>
    </xf>
    <xf numFmtId="0" fontId="34" fillId="2" borderId="49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6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1" xfId="0" applyFont="1" applyFill="1" applyBorder="1" applyAlignment="1">
      <alignment horizontal="center" vertical="center"/>
    </xf>
    <xf numFmtId="0" fontId="35" fillId="2" borderId="27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4" xfId="0" applyFont="1" applyFill="1" applyBorder="1" applyAlignment="1">
      <alignment horizontal="center" vertical="center" wrapText="1"/>
    </xf>
    <xf numFmtId="0" fontId="34" fillId="2" borderId="120" xfId="81" applyFont="1" applyFill="1" applyBorder="1" applyAlignment="1">
      <alignment horizontal="center"/>
    </xf>
    <xf numFmtId="0" fontId="34" fillId="2" borderId="116" xfId="81" applyFont="1" applyFill="1" applyBorder="1" applyAlignment="1">
      <alignment horizontal="center"/>
    </xf>
    <xf numFmtId="0" fontId="34" fillId="2" borderId="95" xfId="81" applyFont="1" applyFill="1" applyBorder="1" applyAlignment="1">
      <alignment horizontal="center"/>
    </xf>
    <xf numFmtId="0" fontId="34" fillId="2" borderId="119" xfId="81" applyFont="1" applyFill="1" applyBorder="1" applyAlignment="1">
      <alignment horizontal="center"/>
    </xf>
    <xf numFmtId="0" fontId="34" fillId="2" borderId="108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0" fontId="0" fillId="0" borderId="2" xfId="0" applyBorder="1" applyAlignment="1"/>
    <xf numFmtId="164" fontId="34" fillId="0" borderId="0" xfId="53" applyNumberFormat="1" applyFont="1" applyFill="1" applyBorder="1" applyAlignment="1">
      <alignment horizontal="center"/>
    </xf>
    <xf numFmtId="164" fontId="32" fillId="0" borderId="0" xfId="79" applyNumberFormat="1" applyFont="1" applyFill="1" applyBorder="1" applyAlignment="1">
      <alignment horizontal="center"/>
    </xf>
    <xf numFmtId="164" fontId="34" fillId="2" borderId="26" xfId="53" applyNumberFormat="1" applyFont="1" applyFill="1" applyBorder="1" applyAlignment="1">
      <alignment horizontal="right"/>
    </xf>
    <xf numFmtId="164" fontId="32" fillId="2" borderId="31" xfId="79" applyNumberFormat="1" applyFont="1" applyFill="1" applyBorder="1" applyAlignment="1">
      <alignment horizontal="right"/>
    </xf>
    <xf numFmtId="164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6" xfId="78" applyNumberFormat="1" applyFont="1" applyFill="1" applyBorder="1" applyAlignment="1">
      <alignment horizontal="left"/>
    </xf>
    <xf numFmtId="0" fontId="35" fillId="2" borderId="56" xfId="0" applyFont="1" applyFill="1" applyBorder="1" applyAlignment="1"/>
    <xf numFmtId="3" fontId="31" fillId="2" borderId="58" xfId="78" applyNumberFormat="1" applyFont="1" applyFill="1" applyBorder="1" applyAlignment="1"/>
    <xf numFmtId="0" fontId="42" fillId="2" borderId="66" xfId="0" applyFont="1" applyFill="1" applyBorder="1" applyAlignment="1">
      <alignment horizontal="left"/>
    </xf>
    <xf numFmtId="0" fontId="35" fillId="2" borderId="52" xfId="0" applyFont="1" applyFill="1" applyBorder="1" applyAlignment="1">
      <alignment horizontal="left"/>
    </xf>
    <xf numFmtId="0" fontId="35" fillId="2" borderId="56" xfId="0" applyFont="1" applyFill="1" applyBorder="1" applyAlignment="1">
      <alignment horizontal="left"/>
    </xf>
    <xf numFmtId="0" fontId="42" fillId="2" borderId="58" xfId="0" applyFont="1" applyFill="1" applyBorder="1" applyAlignment="1">
      <alignment horizontal="left"/>
    </xf>
    <xf numFmtId="3" fontId="42" fillId="2" borderId="58" xfId="0" applyNumberFormat="1" applyFont="1" applyFill="1" applyBorder="1" applyAlignment="1">
      <alignment horizontal="left"/>
    </xf>
    <xf numFmtId="3" fontId="35" fillId="2" borderId="53" xfId="0" applyNumberFormat="1" applyFont="1" applyFill="1" applyBorder="1" applyAlignment="1">
      <alignment horizontal="left"/>
    </xf>
    <xf numFmtId="9" fontId="3" fillId="2" borderId="123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122" xfId="80" applyNumberFormat="1" applyFont="1" applyFill="1" applyBorder="1" applyAlignment="1">
      <alignment horizontal="left"/>
    </xf>
    <xf numFmtId="3" fontId="3" fillId="2" borderId="110" xfId="80" applyNumberFormat="1" applyFont="1" applyFill="1" applyBorder="1" applyAlignment="1">
      <alignment horizontal="left"/>
    </xf>
    <xf numFmtId="0" fontId="3" fillId="2" borderId="31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59" xfId="80" applyFont="1" applyFill="1" applyBorder="1" applyAlignment="1">
      <alignment horizontal="left"/>
    </xf>
    <xf numFmtId="0" fontId="3" fillId="2" borderId="42" xfId="79" applyFont="1" applyFill="1" applyBorder="1" applyAlignment="1"/>
    <xf numFmtId="0" fontId="5" fillId="2" borderId="42" xfId="79" applyFont="1" applyFill="1" applyBorder="1" applyAlignment="1"/>
    <xf numFmtId="0" fontId="5" fillId="2" borderId="69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7" xfId="53" applyFont="1" applyFill="1" applyBorder="1" applyAlignment="1">
      <alignment horizontal="right"/>
    </xf>
    <xf numFmtId="0" fontId="5" fillId="2" borderId="68" xfId="79" applyFont="1" applyFill="1" applyBorder="1" applyAlignment="1"/>
    <xf numFmtId="0" fontId="3" fillId="2" borderId="43" xfId="79" applyFont="1" applyFill="1" applyBorder="1" applyAlignment="1">
      <alignment horizontal="left"/>
    </xf>
    <xf numFmtId="0" fontId="5" fillId="2" borderId="42" xfId="79" applyFont="1" applyFill="1" applyBorder="1" applyAlignment="1">
      <alignment horizontal="left"/>
    </xf>
    <xf numFmtId="0" fontId="3" fillId="2" borderId="42" xfId="79" applyFont="1" applyFill="1" applyBorder="1" applyAlignment="1">
      <alignment horizontal="left"/>
    </xf>
    <xf numFmtId="0" fontId="5" fillId="2" borderId="69" xfId="79" applyFont="1" applyFill="1" applyBorder="1" applyAlignment="1">
      <alignment horizontal="left"/>
    </xf>
    <xf numFmtId="0" fontId="2" fillId="0" borderId="2" xfId="26" applyFont="1" applyFill="1" applyBorder="1" applyAlignment="1"/>
    <xf numFmtId="166" fontId="42" fillId="2" borderId="87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4" xfId="0" applyFont="1" applyFill="1" applyBorder="1" applyAlignment="1">
      <alignment vertical="center"/>
    </xf>
    <xf numFmtId="3" fontId="34" fillId="2" borderId="66" xfId="26" applyNumberFormat="1" applyFont="1" applyFill="1" applyBorder="1" applyAlignment="1">
      <alignment horizontal="center"/>
    </xf>
    <xf numFmtId="3" fontId="34" fillId="2" borderId="52" xfId="26" applyNumberFormat="1" applyFont="1" applyFill="1" applyBorder="1" applyAlignment="1">
      <alignment horizontal="center"/>
    </xf>
    <xf numFmtId="3" fontId="34" fillId="2" borderId="53" xfId="26" applyNumberFormat="1" applyFont="1" applyFill="1" applyBorder="1" applyAlignment="1">
      <alignment horizontal="center"/>
    </xf>
    <xf numFmtId="3" fontId="34" fillId="2" borderId="121" xfId="26" applyNumberFormat="1" applyFont="1" applyFill="1" applyBorder="1" applyAlignment="1">
      <alignment horizontal="center"/>
    </xf>
    <xf numFmtId="3" fontId="34" fillId="2" borderId="112" xfId="26" applyNumberFormat="1" applyFont="1" applyFill="1" applyBorder="1" applyAlignment="1">
      <alignment horizontal="center"/>
    </xf>
    <xf numFmtId="3" fontId="34" fillId="2" borderId="87" xfId="26" applyNumberFormat="1" applyFont="1" applyFill="1" applyBorder="1" applyAlignment="1">
      <alignment horizontal="center"/>
    </xf>
    <xf numFmtId="3" fontId="34" fillId="2" borderId="53" xfId="0" applyNumberFormat="1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top" wrapText="1"/>
    </xf>
    <xf numFmtId="0" fontId="34" fillId="2" borderId="32" xfId="0" applyFont="1" applyFill="1" applyBorder="1" applyAlignment="1">
      <alignment horizontal="center" vertical="top"/>
    </xf>
    <xf numFmtId="0" fontId="34" fillId="2" borderId="32" xfId="0" applyFont="1" applyFill="1" applyBorder="1" applyAlignment="1">
      <alignment horizontal="center" vertical="center"/>
    </xf>
    <xf numFmtId="0" fontId="34" fillId="2" borderId="66" xfId="0" quotePrefix="1" applyFont="1" applyFill="1" applyBorder="1" applyAlignment="1">
      <alignment horizontal="center"/>
    </xf>
    <xf numFmtId="0" fontId="34" fillId="2" borderId="53" xfId="0" applyFont="1" applyFill="1" applyBorder="1" applyAlignment="1">
      <alignment horizontal="center"/>
    </xf>
    <xf numFmtId="9" fontId="46" fillId="2" borderId="53" xfId="0" applyNumberFormat="1" applyFont="1" applyFill="1" applyBorder="1" applyAlignment="1">
      <alignment horizontal="center" vertical="top"/>
    </xf>
    <xf numFmtId="0" fontId="34" fillId="2" borderId="86" xfId="0" applyNumberFormat="1" applyFont="1" applyFill="1" applyBorder="1" applyAlignment="1">
      <alignment horizontal="center" vertical="top"/>
    </xf>
    <xf numFmtId="0" fontId="34" fillId="2" borderId="66" xfId="0" quotePrefix="1" applyNumberFormat="1" applyFont="1" applyFill="1" applyBorder="1" applyAlignment="1">
      <alignment horizontal="center"/>
    </xf>
    <xf numFmtId="0" fontId="34" fillId="2" borderId="53" xfId="0" applyNumberFormat="1" applyFont="1" applyFill="1" applyBorder="1" applyAlignment="1">
      <alignment horizontal="center"/>
    </xf>
    <xf numFmtId="49" fontId="34" fillId="2" borderId="32" xfId="0" applyNumberFormat="1" applyFont="1" applyFill="1" applyBorder="1" applyAlignment="1">
      <alignment horizontal="center" vertical="top"/>
    </xf>
    <xf numFmtId="0" fontId="46" fillId="2" borderId="53" xfId="0" applyNumberFormat="1" applyFont="1" applyFill="1" applyBorder="1" applyAlignment="1">
      <alignment horizontal="center" vertical="top"/>
    </xf>
    <xf numFmtId="3" fontId="34" fillId="5" borderId="17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7" xfId="26" applyNumberFormat="1" applyFont="1" applyBorder="1" applyAlignment="1">
      <alignment horizontal="center"/>
    </xf>
    <xf numFmtId="0" fontId="35" fillId="0" borderId="18" xfId="0" applyFont="1" applyBorder="1" applyAlignment="1">
      <alignment horizontal="center"/>
    </xf>
    <xf numFmtId="167" fontId="32" fillId="5" borderId="17" xfId="26" applyNumberFormat="1" applyFont="1" applyFill="1" applyBorder="1" applyAlignment="1">
      <alignment horizontal="center"/>
    </xf>
    <xf numFmtId="0" fontId="35" fillId="0" borderId="18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2" xfId="26" applyNumberFormat="1" applyFont="1" applyFill="1" applyBorder="1" applyAlignment="1">
      <alignment horizontal="center" vertical="center"/>
    </xf>
    <xf numFmtId="3" fontId="34" fillId="2" borderId="65" xfId="26" applyNumberFormat="1" applyFont="1" applyFill="1" applyBorder="1" applyAlignment="1">
      <alignment horizontal="center" vertical="center"/>
    </xf>
    <xf numFmtId="3" fontId="34" fillId="0" borderId="52" xfId="26" applyNumberFormat="1" applyFont="1" applyFill="1" applyBorder="1" applyAlignment="1">
      <alignment horizontal="right" vertical="top"/>
    </xf>
    <xf numFmtId="3" fontId="34" fillId="4" borderId="66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6" xfId="26" applyNumberFormat="1" applyFont="1" applyFill="1" applyBorder="1" applyAlignment="1">
      <alignment horizontal="center"/>
    </xf>
    <xf numFmtId="3" fontId="34" fillId="4" borderId="52" xfId="26" applyNumberFormat="1" applyFont="1" applyFill="1" applyBorder="1" applyAlignment="1">
      <alignment horizontal="center"/>
    </xf>
    <xf numFmtId="3" fontId="34" fillId="4" borderId="53" xfId="26" applyNumberFormat="1" applyFont="1" applyFill="1" applyBorder="1" applyAlignment="1">
      <alignment horizontal="center"/>
    </xf>
    <xf numFmtId="3" fontId="34" fillId="3" borderId="32" xfId="26" applyNumberFormat="1" applyFont="1" applyFill="1" applyBorder="1" applyAlignment="1">
      <alignment horizontal="center" vertical="center" wrapText="1"/>
    </xf>
    <xf numFmtId="3" fontId="34" fillId="3" borderId="65" xfId="26" applyNumberFormat="1" applyFont="1" applyFill="1" applyBorder="1" applyAlignment="1">
      <alignment horizontal="center" vertical="center" wrapText="1"/>
    </xf>
    <xf numFmtId="3" fontId="34" fillId="3" borderId="66" xfId="26" applyNumberFormat="1" applyFont="1" applyFill="1" applyBorder="1" applyAlignment="1">
      <alignment horizontal="center"/>
    </xf>
    <xf numFmtId="3" fontId="34" fillId="3" borderId="52" xfId="26" applyNumberFormat="1" applyFont="1" applyFill="1" applyBorder="1" applyAlignment="1">
      <alignment horizontal="center"/>
    </xf>
    <xf numFmtId="3" fontId="34" fillId="3" borderId="53" xfId="26" applyNumberFormat="1" applyFont="1" applyFill="1" applyBorder="1" applyAlignment="1">
      <alignment horizontal="center"/>
    </xf>
    <xf numFmtId="0" fontId="35" fillId="0" borderId="52" xfId="0" applyFont="1" applyFill="1" applyBorder="1" applyAlignment="1">
      <alignment horizontal="right" vertical="top"/>
    </xf>
    <xf numFmtId="3" fontId="3" fillId="2" borderId="66" xfId="27" applyNumberFormat="1" applyFont="1" applyFill="1" applyBorder="1" applyAlignment="1">
      <alignment horizontal="center"/>
    </xf>
    <xf numFmtId="0" fontId="35" fillId="2" borderId="52" xfId="14" applyFont="1" applyFill="1" applyBorder="1" applyAlignment="1">
      <alignment horizontal="center"/>
    </xf>
    <xf numFmtId="0" fontId="35" fillId="2" borderId="53" xfId="14" applyFont="1" applyFill="1" applyBorder="1" applyAlignment="1">
      <alignment horizontal="center"/>
    </xf>
    <xf numFmtId="3" fontId="3" fillId="2" borderId="66" xfId="24" applyNumberFormat="1" applyFont="1" applyFill="1" applyBorder="1" applyAlignment="1">
      <alignment horizontal="center"/>
    </xf>
    <xf numFmtId="0" fontId="4" fillId="2" borderId="52" xfId="26" applyFont="1" applyFill="1" applyBorder="1" applyAlignment="1">
      <alignment horizontal="center"/>
    </xf>
    <xf numFmtId="168" fontId="3" fillId="2" borderId="32" xfId="26" applyNumberFormat="1" applyFont="1" applyFill="1" applyBorder="1" applyAlignment="1">
      <alignment horizontal="left" vertical="top"/>
    </xf>
    <xf numFmtId="3" fontId="3" fillId="2" borderId="32" xfId="26" applyNumberFormat="1" applyFont="1" applyFill="1" applyBorder="1" applyAlignment="1">
      <alignment horizontal="center" vertical="top"/>
    </xf>
    <xf numFmtId="3" fontId="3" fillId="2" borderId="66" xfId="26" applyNumberFormat="1" applyFont="1" applyFill="1" applyBorder="1" applyAlignment="1">
      <alignment horizontal="center"/>
    </xf>
    <xf numFmtId="3" fontId="3" fillId="2" borderId="53" xfId="26" applyNumberFormat="1" applyFont="1" applyFill="1" applyBorder="1" applyAlignment="1">
      <alignment horizontal="center"/>
    </xf>
    <xf numFmtId="49" fontId="3" fillId="2" borderId="32" xfId="26" applyNumberFormat="1" applyFont="1" applyFill="1" applyBorder="1" applyAlignment="1">
      <alignment horizontal="left" vertical="top"/>
    </xf>
    <xf numFmtId="0" fontId="3" fillId="2" borderId="66" xfId="26" quotePrefix="1" applyNumberFormat="1" applyFont="1" applyFill="1" applyBorder="1" applyAlignment="1">
      <alignment horizontal="center" vertical="top"/>
    </xf>
    <xf numFmtId="0" fontId="3" fillId="2" borderId="52" xfId="26" applyNumberFormat="1" applyFont="1" applyFill="1" applyBorder="1" applyAlignment="1">
      <alignment horizontal="center" vertical="top"/>
    </xf>
    <xf numFmtId="0" fontId="3" fillId="2" borderId="53" xfId="26" applyNumberFormat="1" applyFont="1" applyFill="1" applyBorder="1" applyAlignment="1">
      <alignment horizontal="center" vertical="top"/>
    </xf>
    <xf numFmtId="168" fontId="3" fillId="2" borderId="32" xfId="26" applyNumberFormat="1" applyFont="1" applyFill="1" applyBorder="1" applyAlignment="1">
      <alignment horizontal="left" vertical="top" wrapText="1"/>
    </xf>
    <xf numFmtId="0" fontId="34" fillId="2" borderId="32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5" xfId="76" applyNumberFormat="1" applyFont="1" applyFill="1" applyBorder="1" applyAlignment="1">
      <alignment horizontal="center" vertical="center"/>
    </xf>
    <xf numFmtId="3" fontId="34" fillId="2" borderId="57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79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25" xfId="0" applyNumberFormat="1" applyFont="1" applyFill="1" applyBorder="1" applyAlignment="1">
      <alignment horizontal="right" vertical="top"/>
    </xf>
    <xf numFmtId="3" fontId="36" fillId="10" borderId="126" xfId="0" applyNumberFormat="1" applyFont="1" applyFill="1" applyBorder="1" applyAlignment="1">
      <alignment horizontal="right" vertical="top"/>
    </xf>
    <xf numFmtId="176" fontId="36" fillId="10" borderId="127" xfId="0" applyNumberFormat="1" applyFont="1" applyFill="1" applyBorder="1" applyAlignment="1">
      <alignment horizontal="right" vertical="top"/>
    </xf>
    <xf numFmtId="3" fontId="36" fillId="0" borderId="125" xfId="0" applyNumberFormat="1" applyFont="1" applyBorder="1" applyAlignment="1">
      <alignment horizontal="right" vertical="top"/>
    </xf>
    <xf numFmtId="176" fontId="36" fillId="10" borderId="128" xfId="0" applyNumberFormat="1" applyFont="1" applyFill="1" applyBorder="1" applyAlignment="1">
      <alignment horizontal="right" vertical="top"/>
    </xf>
    <xf numFmtId="3" fontId="38" fillId="10" borderId="130" xfId="0" applyNumberFormat="1" applyFont="1" applyFill="1" applyBorder="1" applyAlignment="1">
      <alignment horizontal="right" vertical="top"/>
    </xf>
    <xf numFmtId="3" fontId="38" fillId="10" borderId="131" xfId="0" applyNumberFormat="1" applyFont="1" applyFill="1" applyBorder="1" applyAlignment="1">
      <alignment horizontal="right" vertical="top"/>
    </xf>
    <xf numFmtId="0" fontId="38" fillId="10" borderId="132" xfId="0" applyFont="1" applyFill="1" applyBorder="1" applyAlignment="1">
      <alignment horizontal="right" vertical="top"/>
    </xf>
    <xf numFmtId="3" fontId="38" fillId="0" borderId="130" xfId="0" applyNumberFormat="1" applyFont="1" applyBorder="1" applyAlignment="1">
      <alignment horizontal="right" vertical="top"/>
    </xf>
    <xf numFmtId="0" fontId="38" fillId="10" borderId="133" xfId="0" applyFont="1" applyFill="1" applyBorder="1" applyAlignment="1">
      <alignment horizontal="right" vertical="top"/>
    </xf>
    <xf numFmtId="0" fontId="36" fillId="10" borderId="127" xfId="0" applyFont="1" applyFill="1" applyBorder="1" applyAlignment="1">
      <alignment horizontal="right" vertical="top"/>
    </xf>
    <xf numFmtId="0" fontId="36" fillId="10" borderId="128" xfId="0" applyFont="1" applyFill="1" applyBorder="1" applyAlignment="1">
      <alignment horizontal="right" vertical="top"/>
    </xf>
    <xf numFmtId="176" fontId="38" fillId="10" borderId="132" xfId="0" applyNumberFormat="1" applyFont="1" applyFill="1" applyBorder="1" applyAlignment="1">
      <alignment horizontal="right" vertical="top"/>
    </xf>
    <xf numFmtId="176" fontId="38" fillId="10" borderId="133" xfId="0" applyNumberFormat="1" applyFont="1" applyFill="1" applyBorder="1" applyAlignment="1">
      <alignment horizontal="right" vertical="top"/>
    </xf>
    <xf numFmtId="3" fontId="38" fillId="0" borderId="134" xfId="0" applyNumberFormat="1" applyFont="1" applyBorder="1" applyAlignment="1">
      <alignment horizontal="right" vertical="top"/>
    </xf>
    <xf numFmtId="3" fontId="38" fillId="0" borderId="135" xfId="0" applyNumberFormat="1" applyFont="1" applyBorder="1" applyAlignment="1">
      <alignment horizontal="right" vertical="top"/>
    </xf>
    <xf numFmtId="0" fontId="38" fillId="0" borderId="136" xfId="0" applyFont="1" applyBorder="1" applyAlignment="1">
      <alignment horizontal="right" vertical="top"/>
    </xf>
    <xf numFmtId="176" fontId="38" fillId="10" borderId="137" xfId="0" applyNumberFormat="1" applyFont="1" applyFill="1" applyBorder="1" applyAlignment="1">
      <alignment horizontal="right" vertical="top"/>
    </xf>
    <xf numFmtId="0" fontId="40" fillId="11" borderId="124" xfId="0" applyFont="1" applyFill="1" applyBorder="1" applyAlignment="1">
      <alignment vertical="top"/>
    </xf>
    <xf numFmtId="0" fontId="40" fillId="11" borderId="124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 indent="6"/>
    </xf>
    <xf numFmtId="0" fontId="40" fillId="11" borderId="124" xfId="0" applyFont="1" applyFill="1" applyBorder="1" applyAlignment="1">
      <alignment vertical="top" indent="8"/>
    </xf>
    <xf numFmtId="0" fontId="41" fillId="11" borderId="129" xfId="0" applyFont="1" applyFill="1" applyBorder="1" applyAlignment="1">
      <alignment vertical="top" indent="2"/>
    </xf>
    <xf numFmtId="0" fontId="40" fillId="11" borderId="124" xfId="0" applyFont="1" applyFill="1" applyBorder="1" applyAlignment="1">
      <alignment vertical="top" indent="6"/>
    </xf>
    <xf numFmtId="0" fontId="41" fillId="11" borderId="129" xfId="0" applyFont="1" applyFill="1" applyBorder="1" applyAlignment="1">
      <alignment vertical="top" indent="4"/>
    </xf>
    <xf numFmtId="0" fontId="41" fillId="11" borderId="129" xfId="0" applyFont="1" applyFill="1" applyBorder="1" applyAlignment="1">
      <alignment vertical="top"/>
    </xf>
    <xf numFmtId="0" fontId="35" fillId="11" borderId="124" xfId="0" applyFont="1" applyFill="1" applyBorder="1"/>
    <xf numFmtId="0" fontId="41" fillId="11" borderId="20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right"/>
    </xf>
    <xf numFmtId="9" fontId="32" fillId="0" borderId="0" xfId="0" applyNumberFormat="1" applyFont="1" applyFill="1" applyBorder="1" applyAlignment="1">
      <alignment horizontal="right"/>
    </xf>
    <xf numFmtId="3" fontId="32" fillId="0" borderId="0" xfId="0" applyNumberFormat="1" applyFont="1" applyFill="1" applyBorder="1"/>
    <xf numFmtId="164" fontId="34" fillId="2" borderId="138" xfId="53" applyNumberFormat="1" applyFont="1" applyFill="1" applyBorder="1" applyAlignment="1">
      <alignment horizontal="left"/>
    </xf>
    <xf numFmtId="164" fontId="34" fillId="2" borderId="139" xfId="53" applyNumberFormat="1" applyFont="1" applyFill="1" applyBorder="1" applyAlignment="1">
      <alignment horizontal="left"/>
    </xf>
    <xf numFmtId="164" fontId="34" fillId="2" borderId="62" xfId="53" applyNumberFormat="1" applyFont="1" applyFill="1" applyBorder="1" applyAlignment="1">
      <alignment horizontal="left"/>
    </xf>
    <xf numFmtId="3" fontId="34" fillId="2" borderId="62" xfId="53" applyNumberFormat="1" applyFont="1" applyFill="1" applyBorder="1" applyAlignment="1">
      <alignment horizontal="left"/>
    </xf>
    <xf numFmtId="3" fontId="34" fillId="2" borderId="70" xfId="53" applyNumberFormat="1" applyFont="1" applyFill="1" applyBorder="1" applyAlignment="1">
      <alignment horizontal="left"/>
    </xf>
    <xf numFmtId="0" fontId="35" fillId="0" borderId="88" xfId="0" applyFont="1" applyFill="1" applyBorder="1"/>
    <xf numFmtId="0" fontId="35" fillId="0" borderId="89" xfId="0" applyFont="1" applyFill="1" applyBorder="1"/>
    <xf numFmtId="164" fontId="35" fillId="0" borderId="89" xfId="0" applyNumberFormat="1" applyFont="1" applyFill="1" applyBorder="1"/>
    <xf numFmtId="164" fontId="35" fillId="0" borderId="89" xfId="0" applyNumberFormat="1" applyFont="1" applyFill="1" applyBorder="1" applyAlignment="1">
      <alignment horizontal="right"/>
    </xf>
    <xf numFmtId="3" fontId="35" fillId="0" borderId="89" xfId="0" applyNumberFormat="1" applyFont="1" applyFill="1" applyBorder="1"/>
    <xf numFmtId="3" fontId="35" fillId="0" borderId="90" xfId="0" applyNumberFormat="1" applyFont="1" applyFill="1" applyBorder="1"/>
    <xf numFmtId="0" fontId="35" fillId="0" borderId="98" xfId="0" applyFont="1" applyFill="1" applyBorder="1"/>
    <xf numFmtId="0" fontId="35" fillId="0" borderId="99" xfId="0" applyFont="1" applyFill="1" applyBorder="1"/>
    <xf numFmtId="164" fontId="35" fillId="0" borderId="99" xfId="0" applyNumberFormat="1" applyFont="1" applyFill="1" applyBorder="1"/>
    <xf numFmtId="164" fontId="35" fillId="0" borderId="99" xfId="0" applyNumberFormat="1" applyFont="1" applyFill="1" applyBorder="1" applyAlignment="1">
      <alignment horizontal="right"/>
    </xf>
    <xf numFmtId="3" fontId="35" fillId="0" borderId="99" xfId="0" applyNumberFormat="1" applyFont="1" applyFill="1" applyBorder="1"/>
    <xf numFmtId="3" fontId="35" fillId="0" borderId="100" xfId="0" applyNumberFormat="1" applyFont="1" applyFill="1" applyBorder="1"/>
    <xf numFmtId="0" fontId="35" fillId="0" borderId="91" xfId="0" applyFont="1" applyFill="1" applyBorder="1"/>
    <xf numFmtId="0" fontId="35" fillId="0" borderId="92" xfId="0" applyFont="1" applyFill="1" applyBorder="1"/>
    <xf numFmtId="164" fontId="35" fillId="0" borderId="92" xfId="0" applyNumberFormat="1" applyFont="1" applyFill="1" applyBorder="1"/>
    <xf numFmtId="164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42" fillId="2" borderId="138" xfId="0" applyFont="1" applyFill="1" applyBorder="1"/>
    <xf numFmtId="3" fontId="42" fillId="2" borderId="140" xfId="0" applyNumberFormat="1" applyFont="1" applyFill="1" applyBorder="1"/>
    <xf numFmtId="9" fontId="42" fillId="2" borderId="83" xfId="0" applyNumberFormat="1" applyFont="1" applyFill="1" applyBorder="1"/>
    <xf numFmtId="3" fontId="42" fillId="2" borderId="70" xfId="0" applyNumberFormat="1" applyFont="1" applyFill="1" applyBorder="1"/>
    <xf numFmtId="9" fontId="35" fillId="0" borderId="89" xfId="0" applyNumberFormat="1" applyFont="1" applyFill="1" applyBorder="1"/>
    <xf numFmtId="9" fontId="35" fillId="0" borderId="99" xfId="0" applyNumberFormat="1" applyFont="1" applyFill="1" applyBorder="1"/>
    <xf numFmtId="9" fontId="35" fillId="0" borderId="92" xfId="0" applyNumberFormat="1" applyFont="1" applyFill="1" applyBorder="1"/>
    <xf numFmtId="3" fontId="35" fillId="0" borderId="105" xfId="0" applyNumberFormat="1" applyFont="1" applyFill="1" applyBorder="1"/>
    <xf numFmtId="9" fontId="35" fillId="0" borderId="105" xfId="0" applyNumberFormat="1" applyFont="1" applyFill="1" applyBorder="1"/>
    <xf numFmtId="3" fontId="35" fillId="0" borderId="106" xfId="0" applyNumberFormat="1" applyFont="1" applyFill="1" applyBorder="1"/>
    <xf numFmtId="0" fontId="42" fillId="11" borderId="21" xfId="0" applyFont="1" applyFill="1" applyBorder="1"/>
    <xf numFmtId="3" fontId="42" fillId="11" borderId="29" xfId="0" applyNumberFormat="1" applyFont="1" applyFill="1" applyBorder="1"/>
    <xf numFmtId="9" fontId="42" fillId="11" borderId="29" xfId="0" applyNumberFormat="1" applyFont="1" applyFill="1" applyBorder="1"/>
    <xf numFmtId="3" fontId="42" fillId="11" borderId="22" xfId="0" applyNumberFormat="1" applyFont="1" applyFill="1" applyBorder="1"/>
    <xf numFmtId="0" fontId="42" fillId="0" borderId="88" xfId="0" applyFont="1" applyFill="1" applyBorder="1"/>
    <xf numFmtId="0" fontId="42" fillId="0" borderId="98" xfId="0" applyFont="1" applyFill="1" applyBorder="1"/>
    <xf numFmtId="0" fontId="42" fillId="0" borderId="141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9" xfId="0" applyFont="1" applyFill="1" applyBorder="1"/>
    <xf numFmtId="3" fontId="42" fillId="2" borderId="0" xfId="0" applyNumberFormat="1" applyFont="1" applyFill="1" applyBorder="1"/>
    <xf numFmtId="3" fontId="42" fillId="2" borderId="18" xfId="0" applyNumberFormat="1" applyFont="1" applyFill="1" applyBorder="1"/>
    <xf numFmtId="0" fontId="3" fillId="2" borderId="138" xfId="79" applyFont="1" applyFill="1" applyBorder="1" applyAlignment="1">
      <alignment horizontal="left"/>
    </xf>
    <xf numFmtId="3" fontId="3" fillId="2" borderId="105" xfId="80" applyNumberFormat="1" applyFont="1" applyFill="1" applyBorder="1"/>
    <xf numFmtId="3" fontId="3" fillId="2" borderId="106" xfId="80" applyNumberFormat="1" applyFont="1" applyFill="1" applyBorder="1"/>
    <xf numFmtId="9" fontId="3" fillId="2" borderId="104" xfId="80" applyNumberFormat="1" applyFont="1" applyFill="1" applyBorder="1"/>
    <xf numFmtId="9" fontId="3" fillId="2" borderId="105" xfId="80" applyNumberFormat="1" applyFont="1" applyFill="1" applyBorder="1"/>
    <xf numFmtId="9" fontId="3" fillId="2" borderId="106" xfId="80" applyNumberFormat="1" applyFont="1" applyFill="1" applyBorder="1"/>
    <xf numFmtId="9" fontId="35" fillId="0" borderId="90" xfId="0" applyNumberFormat="1" applyFont="1" applyFill="1" applyBorder="1"/>
    <xf numFmtId="9" fontId="35" fillId="0" borderId="100" xfId="0" applyNumberFormat="1" applyFont="1" applyFill="1" applyBorder="1"/>
    <xf numFmtId="9" fontId="35" fillId="0" borderId="93" xfId="0" applyNumberFormat="1" applyFont="1" applyFill="1" applyBorder="1"/>
    <xf numFmtId="0" fontId="42" fillId="0" borderId="120" xfId="0" applyFont="1" applyFill="1" applyBorder="1"/>
    <xf numFmtId="0" fontId="42" fillId="0" borderId="118" xfId="0" applyFont="1" applyFill="1" applyBorder="1" applyAlignment="1">
      <alignment horizontal="left" indent="1"/>
    </xf>
    <xf numFmtId="0" fontId="42" fillId="0" borderId="119" xfId="0" applyFont="1" applyFill="1" applyBorder="1" applyAlignment="1">
      <alignment horizontal="left" indent="1"/>
    </xf>
    <xf numFmtId="9" fontId="35" fillId="0" borderId="111" xfId="0" applyNumberFormat="1" applyFont="1" applyFill="1" applyBorder="1"/>
    <xf numFmtId="9" fontId="35" fillId="0" borderId="101" xfId="0" applyNumberFormat="1" applyFont="1" applyFill="1" applyBorder="1"/>
    <xf numFmtId="9" fontId="35" fillId="0" borderId="109" xfId="0" applyNumberFormat="1" applyFont="1" applyFill="1" applyBorder="1"/>
    <xf numFmtId="3" fontId="35" fillId="0" borderId="88" xfId="0" applyNumberFormat="1" applyFont="1" applyFill="1" applyBorder="1"/>
    <xf numFmtId="3" fontId="35" fillId="0" borderId="98" xfId="0" applyNumberFormat="1" applyFont="1" applyFill="1" applyBorder="1"/>
    <xf numFmtId="3" fontId="35" fillId="0" borderId="91" xfId="0" applyNumberFormat="1" applyFont="1" applyFill="1" applyBorder="1"/>
    <xf numFmtId="9" fontId="35" fillId="0" borderId="115" xfId="0" applyNumberFormat="1" applyFont="1" applyFill="1" applyBorder="1"/>
    <xf numFmtId="9" fontId="35" fillId="0" borderId="113" xfId="0" applyNumberFormat="1" applyFont="1" applyFill="1" applyBorder="1"/>
    <xf numFmtId="9" fontId="35" fillId="0" borderId="114" xfId="0" applyNumberFormat="1" applyFont="1" applyFill="1" applyBorder="1"/>
    <xf numFmtId="9" fontId="32" fillId="0" borderId="0" xfId="0" applyNumberFormat="1" applyFont="1" applyFill="1" applyBorder="1"/>
    <xf numFmtId="0" fontId="42" fillId="11" borderId="120" xfId="0" applyFont="1" applyFill="1" applyBorder="1"/>
    <xf numFmtId="0" fontId="42" fillId="11" borderId="118" xfId="0" applyFont="1" applyFill="1" applyBorder="1"/>
    <xf numFmtId="0" fontId="42" fillId="11" borderId="119" xfId="0" applyFont="1" applyFill="1" applyBorder="1"/>
    <xf numFmtId="0" fontId="3" fillId="2" borderId="105" xfId="80" applyFont="1" applyFill="1" applyBorder="1"/>
    <xf numFmtId="3" fontId="35" fillId="0" borderId="115" xfId="0" applyNumberFormat="1" applyFont="1" applyFill="1" applyBorder="1"/>
    <xf numFmtId="3" fontId="35" fillId="0" borderId="113" xfId="0" applyNumberFormat="1" applyFont="1" applyFill="1" applyBorder="1"/>
    <xf numFmtId="3" fontId="35" fillId="0" borderId="114" xfId="0" applyNumberFormat="1" applyFont="1" applyFill="1" applyBorder="1"/>
    <xf numFmtId="0" fontId="35" fillId="0" borderId="120" xfId="0" applyFont="1" applyFill="1" applyBorder="1"/>
    <xf numFmtId="0" fontId="35" fillId="0" borderId="118" xfId="0" applyFont="1" applyFill="1" applyBorder="1"/>
    <xf numFmtId="0" fontId="35" fillId="0" borderId="119" xfId="0" applyFont="1" applyFill="1" applyBorder="1"/>
    <xf numFmtId="3" fontId="35" fillId="0" borderId="111" xfId="0" applyNumberFormat="1" applyFont="1" applyFill="1" applyBorder="1"/>
    <xf numFmtId="3" fontId="35" fillId="0" borderId="101" xfId="0" applyNumberFormat="1" applyFont="1" applyFill="1" applyBorder="1"/>
    <xf numFmtId="3" fontId="35" fillId="0" borderId="109" xfId="0" applyNumberFormat="1" applyFont="1" applyFill="1" applyBorder="1"/>
    <xf numFmtId="0" fontId="3" fillId="2" borderId="143" xfId="79" applyFont="1" applyFill="1" applyBorder="1" applyAlignment="1">
      <alignment horizontal="left"/>
    </xf>
    <xf numFmtId="0" fontId="3" fillId="2" borderId="144" xfId="79" applyFont="1" applyFill="1" applyBorder="1" applyAlignment="1">
      <alignment horizontal="left"/>
    </xf>
    <xf numFmtId="0" fontId="3" fillId="2" borderId="145" xfId="80" applyFont="1" applyFill="1" applyBorder="1" applyAlignment="1">
      <alignment horizontal="left"/>
    </xf>
    <xf numFmtId="0" fontId="3" fillId="2" borderId="145" xfId="79" applyFont="1" applyFill="1" applyBorder="1" applyAlignment="1">
      <alignment horizontal="left"/>
    </xf>
    <xf numFmtId="0" fontId="3" fillId="2" borderId="146" xfId="79" applyFont="1" applyFill="1" applyBorder="1" applyAlignment="1">
      <alignment horizontal="left"/>
    </xf>
    <xf numFmtId="0" fontId="35" fillId="0" borderId="26" xfId="0" applyFont="1" applyFill="1" applyBorder="1"/>
    <xf numFmtId="0" fontId="35" fillId="0" borderId="31" xfId="0" applyFont="1" applyFill="1" applyBorder="1"/>
    <xf numFmtId="0" fontId="35" fillId="0" borderId="31" xfId="0" applyFont="1" applyFill="1" applyBorder="1" applyAlignment="1">
      <alignment horizontal="right"/>
    </xf>
    <xf numFmtId="0" fontId="35" fillId="0" borderId="31" xfId="0" applyFont="1" applyFill="1" applyBorder="1" applyAlignment="1">
      <alignment horizontal="left"/>
    </xf>
    <xf numFmtId="164" fontId="35" fillId="0" borderId="31" xfId="0" applyNumberFormat="1" applyFont="1" applyFill="1" applyBorder="1"/>
    <xf numFmtId="165" fontId="35" fillId="0" borderId="31" xfId="0" applyNumberFormat="1" applyFont="1" applyFill="1" applyBorder="1"/>
    <xf numFmtId="9" fontId="35" fillId="0" borderId="31" xfId="0" applyNumberFormat="1" applyFont="1" applyFill="1" applyBorder="1"/>
    <xf numFmtId="0" fontId="35" fillId="0" borderId="99" xfId="0" applyFont="1" applyFill="1" applyBorder="1" applyAlignment="1">
      <alignment horizontal="right"/>
    </xf>
    <xf numFmtId="0" fontId="35" fillId="0" borderId="99" xfId="0" applyFont="1" applyFill="1" applyBorder="1" applyAlignment="1">
      <alignment horizontal="left"/>
    </xf>
    <xf numFmtId="165" fontId="35" fillId="0" borderId="99" xfId="0" applyNumberFormat="1" applyFont="1" applyFill="1" applyBorder="1"/>
    <xf numFmtId="0" fontId="35" fillId="0" borderId="92" xfId="0" applyFont="1" applyFill="1" applyBorder="1" applyAlignment="1">
      <alignment horizontal="right"/>
    </xf>
    <xf numFmtId="0" fontId="35" fillId="0" borderId="92" xfId="0" applyFont="1" applyFill="1" applyBorder="1" applyAlignment="1">
      <alignment horizontal="left"/>
    </xf>
    <xf numFmtId="165" fontId="35" fillId="0" borderId="92" xfId="0" applyNumberFormat="1" applyFont="1" applyFill="1" applyBorder="1"/>
    <xf numFmtId="0" fontId="42" fillId="2" borderId="55" xfId="0" applyFont="1" applyFill="1" applyBorder="1"/>
    <xf numFmtId="3" fontId="35" fillId="0" borderId="27" xfId="0" applyNumberFormat="1" applyFont="1" applyFill="1" applyBorder="1"/>
    <xf numFmtId="0" fontId="42" fillId="0" borderId="26" xfId="0" applyFont="1" applyFill="1" applyBorder="1"/>
    <xf numFmtId="0" fontId="42" fillId="2" borderId="57" xfId="0" applyFont="1" applyFill="1" applyBorder="1"/>
    <xf numFmtId="164" fontId="34" fillId="2" borderId="55" xfId="53" applyNumberFormat="1" applyFont="1" applyFill="1" applyBorder="1" applyAlignment="1">
      <alignment horizontal="left"/>
    </xf>
    <xf numFmtId="164" fontId="34" fillId="2" borderId="57" xfId="53" applyNumberFormat="1" applyFont="1" applyFill="1" applyBorder="1" applyAlignment="1">
      <alignment horizontal="left"/>
    </xf>
    <xf numFmtId="164" fontId="35" fillId="0" borderId="31" xfId="0" applyNumberFormat="1" applyFont="1" applyFill="1" applyBorder="1" applyAlignment="1">
      <alignment horizontal="right"/>
    </xf>
    <xf numFmtId="173" fontId="42" fillId="4" borderId="147" xfId="0" applyNumberFormat="1" applyFont="1" applyFill="1" applyBorder="1" applyAlignment="1">
      <alignment horizontal="center"/>
    </xf>
    <xf numFmtId="173" fontId="42" fillId="4" borderId="148" xfId="0" applyNumberFormat="1" applyFont="1" applyFill="1" applyBorder="1" applyAlignment="1">
      <alignment horizontal="center"/>
    </xf>
    <xf numFmtId="173" fontId="35" fillId="0" borderId="149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/>
    </xf>
    <xf numFmtId="173" fontId="35" fillId="0" borderId="150" xfId="0" applyNumberFormat="1" applyFont="1" applyBorder="1" applyAlignment="1">
      <alignment horizontal="right" wrapText="1"/>
    </xf>
    <xf numFmtId="175" fontId="35" fillId="0" borderId="149" xfId="0" applyNumberFormat="1" applyFont="1" applyBorder="1" applyAlignment="1">
      <alignment horizontal="right"/>
    </xf>
    <xf numFmtId="175" fontId="35" fillId="0" borderId="150" xfId="0" applyNumberFormat="1" applyFont="1" applyBorder="1" applyAlignment="1">
      <alignment horizontal="right"/>
    </xf>
    <xf numFmtId="173" fontId="35" fillId="0" borderId="151" xfId="0" applyNumberFormat="1" applyFont="1" applyBorder="1" applyAlignment="1">
      <alignment horizontal="right"/>
    </xf>
    <xf numFmtId="173" fontId="35" fillId="0" borderId="152" xfId="0" applyNumberFormat="1" applyFont="1" applyBorder="1" applyAlignment="1">
      <alignment horizontal="right"/>
    </xf>
    <xf numFmtId="0" fontId="42" fillId="2" borderId="60" xfId="0" applyFont="1" applyFill="1" applyBorder="1" applyAlignment="1">
      <alignment horizontal="center" vertical="center"/>
    </xf>
    <xf numFmtId="0" fontId="61" fillId="2" borderId="114" xfId="0" applyFont="1" applyFill="1" applyBorder="1" applyAlignment="1">
      <alignment horizontal="center" vertical="center" wrapText="1"/>
    </xf>
    <xf numFmtId="174" fontId="35" fillId="2" borderId="60" xfId="0" applyNumberFormat="1" applyFont="1" applyFill="1" applyBorder="1" applyAlignment="1"/>
    <xf numFmtId="174" fontId="35" fillId="0" borderId="113" xfId="0" applyNumberFormat="1" applyFont="1" applyBorder="1"/>
    <xf numFmtId="174" fontId="35" fillId="0" borderId="153" xfId="0" applyNumberFormat="1" applyFont="1" applyBorder="1"/>
    <xf numFmtId="173" fontId="42" fillId="4" borderId="60" xfId="0" applyNumberFormat="1" applyFont="1" applyFill="1" applyBorder="1" applyAlignment="1"/>
    <xf numFmtId="173" fontId="35" fillId="0" borderId="113" xfId="0" applyNumberFormat="1" applyFont="1" applyBorder="1"/>
    <xf numFmtId="173" fontId="35" fillId="0" borderId="114" xfId="0" applyNumberFormat="1" applyFont="1" applyBorder="1"/>
    <xf numFmtId="173" fontId="42" fillId="2" borderId="60" xfId="0" applyNumberFormat="1" applyFont="1" applyFill="1" applyBorder="1" applyAlignment="1"/>
    <xf numFmtId="173" fontId="35" fillId="0" borderId="153" xfId="0" applyNumberFormat="1" applyFont="1" applyBorder="1"/>
    <xf numFmtId="173" fontId="35" fillId="0" borderId="60" xfId="0" applyNumberFormat="1" applyFont="1" applyBorder="1"/>
    <xf numFmtId="9" fontId="35" fillId="0" borderId="113" xfId="0" applyNumberFormat="1" applyFont="1" applyBorder="1"/>
    <xf numFmtId="173" fontId="42" fillId="4" borderId="154" xfId="0" applyNumberFormat="1" applyFont="1" applyFill="1" applyBorder="1" applyAlignment="1">
      <alignment horizontal="center"/>
    </xf>
    <xf numFmtId="173" fontId="35" fillId="0" borderId="155" xfId="0" applyNumberFormat="1" applyFont="1" applyBorder="1" applyAlignment="1">
      <alignment horizontal="right"/>
    </xf>
    <xf numFmtId="175" fontId="35" fillId="0" borderId="155" xfId="0" applyNumberFormat="1" applyFont="1" applyBorder="1" applyAlignment="1">
      <alignment horizontal="right"/>
    </xf>
    <xf numFmtId="173" fontId="35" fillId="0" borderId="156" xfId="0" applyNumberFormat="1" applyFont="1" applyBorder="1" applyAlignment="1">
      <alignment horizontal="right"/>
    </xf>
    <xf numFmtId="0" fontId="0" fillId="0" borderId="17" xfId="0" applyBorder="1"/>
    <xf numFmtId="173" fontId="42" fillId="4" borderId="35" xfId="0" applyNumberFormat="1" applyFont="1" applyFill="1" applyBorder="1" applyAlignment="1">
      <alignment horizontal="center"/>
    </xf>
    <xf numFmtId="173" fontId="35" fillId="0" borderId="96" xfId="0" applyNumberFormat="1" applyFont="1" applyBorder="1" applyAlignment="1">
      <alignment horizontal="right"/>
    </xf>
    <xf numFmtId="175" fontId="35" fillId="0" borderId="96" xfId="0" applyNumberFormat="1" applyFont="1" applyBorder="1" applyAlignment="1">
      <alignment horizontal="right"/>
    </xf>
    <xf numFmtId="173" fontId="35" fillId="0" borderId="107" xfId="0" applyNumberFormat="1" applyFont="1" applyBorder="1" applyAlignment="1">
      <alignment horizontal="right"/>
    </xf>
    <xf numFmtId="0" fontId="35" fillId="2" borderId="70" xfId="0" applyFont="1" applyFill="1" applyBorder="1" applyAlignment="1">
      <alignment vertical="center"/>
    </xf>
    <xf numFmtId="0" fontId="34" fillId="2" borderId="17" xfId="26" applyNumberFormat="1" applyFont="1" applyFill="1" applyBorder="1"/>
    <xf numFmtId="0" fontId="34" fillId="2" borderId="0" xfId="26" applyNumberFormat="1" applyFont="1" applyFill="1" applyBorder="1"/>
    <xf numFmtId="0" fontId="34" fillId="2" borderId="18" xfId="26" applyNumberFormat="1" applyFont="1" applyFill="1" applyBorder="1" applyAlignment="1">
      <alignment horizontal="right"/>
    </xf>
    <xf numFmtId="169" fontId="35" fillId="0" borderId="31" xfId="0" applyNumberFormat="1" applyFont="1" applyFill="1" applyBorder="1"/>
    <xf numFmtId="169" fontId="35" fillId="0" borderId="92" xfId="0" applyNumberFormat="1" applyFont="1" applyFill="1" applyBorder="1"/>
    <xf numFmtId="0" fontId="42" fillId="0" borderId="91" xfId="0" applyFont="1" applyFill="1" applyBorder="1"/>
    <xf numFmtId="0" fontId="66" fillId="0" borderId="0" xfId="0" applyFont="1" applyFill="1"/>
    <xf numFmtId="0" fontId="67" fillId="0" borderId="0" xfId="0" applyFont="1" applyFill="1"/>
    <xf numFmtId="0" fontId="34" fillId="2" borderId="18" xfId="26" applyNumberFormat="1" applyFont="1" applyFill="1" applyBorder="1"/>
    <xf numFmtId="169" fontId="35" fillId="0" borderId="27" xfId="0" applyNumberFormat="1" applyFont="1" applyFill="1" applyBorder="1"/>
    <xf numFmtId="169" fontId="35" fillId="0" borderId="99" xfId="0" applyNumberFormat="1" applyFont="1" applyFill="1" applyBorder="1"/>
    <xf numFmtId="169" fontId="35" fillId="0" borderId="100" xfId="0" applyNumberFormat="1" applyFont="1" applyFill="1" applyBorder="1"/>
    <xf numFmtId="169" fontId="35" fillId="0" borderId="93" xfId="0" applyNumberFormat="1" applyFont="1" applyFill="1" applyBorder="1"/>
    <xf numFmtId="0" fontId="35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0" fontId="0" fillId="0" borderId="33" xfId="0" applyNumberFormat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3" fontId="34" fillId="2" borderId="17" xfId="0" applyNumberFormat="1" applyFont="1" applyFill="1" applyBorder="1" applyAlignment="1">
      <alignment horizontal="left"/>
    </xf>
    <xf numFmtId="3" fontId="34" fillId="2" borderId="18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8" xfId="0" applyNumberFormat="1" applyFont="1" applyFill="1" applyBorder="1" applyAlignment="1">
      <alignment horizontal="center" vertical="top"/>
    </xf>
    <xf numFmtId="3" fontId="34" fillId="2" borderId="18" xfId="0" applyNumberFormat="1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17" xfId="0" applyNumberFormat="1" applyFont="1" applyFill="1" applyBorder="1" applyAlignment="1">
      <alignment horizontal="left"/>
    </xf>
    <xf numFmtId="0" fontId="34" fillId="2" borderId="18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8" xfId="0" applyNumberFormat="1" applyFont="1" applyFill="1" applyBorder="1" applyAlignment="1">
      <alignment horizontal="center" vertical="top"/>
    </xf>
    <xf numFmtId="3" fontId="12" fillId="0" borderId="142" xfId="0" applyNumberFormat="1" applyFont="1" applyBorder="1"/>
    <xf numFmtId="166" fontId="12" fillId="0" borderId="142" xfId="0" applyNumberFormat="1" applyFont="1" applyBorder="1"/>
    <xf numFmtId="166" fontId="12" fillId="0" borderId="103" xfId="0" applyNumberFormat="1" applyFont="1" applyBorder="1"/>
    <xf numFmtId="166" fontId="5" fillId="0" borderId="142" xfId="0" applyNumberFormat="1" applyFont="1" applyBorder="1" applyAlignment="1">
      <alignment horizontal="right"/>
    </xf>
    <xf numFmtId="166" fontId="5" fillId="0" borderId="103" xfId="0" applyNumberFormat="1" applyFont="1" applyBorder="1" applyAlignment="1">
      <alignment horizontal="right"/>
    </xf>
    <xf numFmtId="3" fontId="5" fillId="0" borderId="142" xfId="0" applyNumberFormat="1" applyFont="1" applyBorder="1" applyAlignment="1">
      <alignment horizontal="right"/>
    </xf>
    <xf numFmtId="177" fontId="5" fillId="0" borderId="142" xfId="0" applyNumberFormat="1" applyFont="1" applyBorder="1" applyAlignment="1">
      <alignment horizontal="right"/>
    </xf>
    <xf numFmtId="4" fontId="5" fillId="0" borderId="142" xfId="0" applyNumberFormat="1" applyFont="1" applyBorder="1" applyAlignment="1">
      <alignment horizontal="right"/>
    </xf>
    <xf numFmtId="3" fontId="5" fillId="0" borderId="142" xfId="0" applyNumberFormat="1" applyFont="1" applyBorder="1"/>
    <xf numFmtId="3" fontId="11" fillId="0" borderId="102" xfId="0" applyNumberFormat="1" applyFont="1" applyBorder="1" applyAlignment="1">
      <alignment horizontal="center"/>
    </xf>
    <xf numFmtId="3" fontId="12" fillId="0" borderId="142" xfId="0" applyNumberFormat="1" applyFont="1" applyBorder="1" applyAlignment="1">
      <alignment horizontal="right"/>
    </xf>
    <xf numFmtId="166" fontId="12" fillId="0" borderId="142" xfId="0" applyNumberFormat="1" applyFont="1" applyBorder="1" applyAlignment="1">
      <alignment horizontal="right"/>
    </xf>
    <xf numFmtId="166" fontId="12" fillId="0" borderId="103" xfId="0" applyNumberFormat="1" applyFont="1" applyBorder="1" applyAlignment="1">
      <alignment horizontal="right"/>
    </xf>
    <xf numFmtId="166" fontId="5" fillId="0" borderId="18" xfId="0" applyNumberFormat="1" applyFont="1" applyBorder="1" applyAlignment="1">
      <alignment horizontal="right"/>
    </xf>
    <xf numFmtId="166" fontId="12" fillId="0" borderId="18" xfId="0" applyNumberFormat="1" applyFont="1" applyBorder="1" applyAlignment="1">
      <alignment horizontal="right"/>
    </xf>
    <xf numFmtId="3" fontId="11" fillId="0" borderId="33" xfId="0" applyNumberFormat="1" applyFont="1" applyBorder="1" applyAlignment="1">
      <alignment horizontal="center"/>
    </xf>
    <xf numFmtId="166" fontId="12" fillId="0" borderId="18" xfId="0" applyNumberFormat="1" applyFont="1" applyBorder="1"/>
    <xf numFmtId="166" fontId="11" fillId="0" borderId="18" xfId="0" applyNumberFormat="1" applyFont="1" applyBorder="1" applyAlignment="1">
      <alignment horizontal="right"/>
    </xf>
    <xf numFmtId="166" fontId="11" fillId="0" borderId="103" xfId="0" applyNumberFormat="1" applyFont="1" applyBorder="1" applyAlignment="1">
      <alignment horizontal="right"/>
    </xf>
    <xf numFmtId="3" fontId="35" fillId="0" borderId="142" xfId="0" applyNumberFormat="1" applyFont="1" applyBorder="1" applyAlignment="1">
      <alignment horizontal="right"/>
    </xf>
    <xf numFmtId="0" fontId="5" fillId="0" borderId="142" xfId="0" applyFont="1" applyBorder="1"/>
    <xf numFmtId="3" fontId="35" fillId="0" borderId="142" xfId="0" applyNumberFormat="1" applyFont="1" applyBorder="1"/>
    <xf numFmtId="9" fontId="35" fillId="0" borderId="142" xfId="0" applyNumberFormat="1" applyFont="1" applyBorder="1"/>
    <xf numFmtId="166" fontId="35" fillId="0" borderId="142" xfId="0" applyNumberFormat="1" applyFont="1" applyBorder="1"/>
    <xf numFmtId="166" fontId="35" fillId="0" borderId="103" xfId="0" applyNumberFormat="1" applyFont="1" applyBorder="1"/>
    <xf numFmtId="166" fontId="35" fillId="0" borderId="18" xfId="0" applyNumberFormat="1" applyFont="1" applyBorder="1"/>
    <xf numFmtId="49" fontId="3" fillId="2" borderId="33" xfId="26" applyNumberFormat="1" applyFont="1" applyFill="1" applyBorder="1" applyAlignment="1">
      <alignment horizontal="left" vertical="top"/>
    </xf>
    <xf numFmtId="168" fontId="3" fillId="2" borderId="17" xfId="26" applyNumberFormat="1" applyFont="1" applyFill="1" applyBorder="1" applyAlignment="1">
      <alignment horizontal="left" vertical="top"/>
    </xf>
    <xf numFmtId="168" fontId="3" fillId="2" borderId="0" xfId="26" applyNumberFormat="1" applyFont="1" applyFill="1" applyBorder="1" applyAlignment="1">
      <alignment horizontal="left" vertical="top"/>
    </xf>
    <xf numFmtId="168" fontId="3" fillId="2" borderId="18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 wrapText="1"/>
    </xf>
    <xf numFmtId="168" fontId="3" fillId="2" borderId="33" xfId="26" applyNumberFormat="1" applyFont="1" applyFill="1" applyBorder="1" applyAlignment="1">
      <alignment horizontal="left" vertical="top"/>
    </xf>
    <xf numFmtId="168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17" xfId="26" applyNumberFormat="1" applyFont="1" applyFill="1" applyBorder="1" applyAlignment="1">
      <alignment horizontal="left" vertical="center"/>
    </xf>
    <xf numFmtId="3" fontId="3" fillId="2" borderId="18" xfId="26" applyNumberFormat="1" applyFont="1" applyFill="1" applyBorder="1" applyAlignment="1">
      <alignment horizontal="left" vertical="center"/>
    </xf>
    <xf numFmtId="168" fontId="3" fillId="2" borderId="17" xfId="24" applyNumberFormat="1" applyFont="1" applyFill="1" applyBorder="1" applyAlignment="1">
      <alignment horizontal="left" vertical="center" wrapText="1"/>
    </xf>
    <xf numFmtId="168" fontId="3" fillId="2" borderId="0" xfId="24" applyNumberFormat="1" applyFont="1" applyFill="1" applyBorder="1" applyAlignment="1">
      <alignment horizontal="left" vertical="center" wrapText="1"/>
    </xf>
    <xf numFmtId="9" fontId="3" fillId="2" borderId="18" xfId="24" applyNumberFormat="1" applyFont="1" applyFill="1" applyBorder="1" applyAlignment="1">
      <alignment horizontal="left" vertical="center" wrapText="1"/>
    </xf>
    <xf numFmtId="166" fontId="3" fillId="2" borderId="18" xfId="24" applyNumberFormat="1" applyFont="1" applyFill="1" applyBorder="1" applyAlignment="1">
      <alignment horizontal="left" vertical="center" wrapText="1"/>
    </xf>
    <xf numFmtId="3" fontId="12" fillId="0" borderId="52" xfId="0" applyNumberFormat="1" applyFont="1" applyBorder="1"/>
    <xf numFmtId="166" fontId="12" fillId="0" borderId="52" xfId="0" applyNumberFormat="1" applyFont="1" applyBorder="1"/>
    <xf numFmtId="166" fontId="12" fillId="0" borderId="53" xfId="0" applyNumberFormat="1" applyFont="1" applyBorder="1"/>
    <xf numFmtId="3" fontId="35" fillId="0" borderId="52" xfId="0" applyNumberFormat="1" applyFont="1" applyBorder="1" applyAlignment="1">
      <alignment horizontal="right"/>
    </xf>
    <xf numFmtId="166" fontId="5" fillId="0" borderId="52" xfId="0" applyNumberFormat="1" applyFont="1" applyBorder="1" applyAlignment="1">
      <alignment horizontal="right"/>
    </xf>
    <xf numFmtId="166" fontId="5" fillId="0" borderId="53" xfId="0" applyNumberFormat="1" applyFont="1" applyBorder="1" applyAlignment="1">
      <alignment horizontal="right"/>
    </xf>
    <xf numFmtId="3" fontId="5" fillId="0" borderId="52" xfId="0" applyNumberFormat="1" applyFont="1" applyBorder="1" applyAlignment="1">
      <alignment horizontal="right"/>
    </xf>
    <xf numFmtId="177" fontId="5" fillId="0" borderId="52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5" fillId="0" borderId="52" xfId="0" applyFont="1" applyBorder="1"/>
    <xf numFmtId="3" fontId="5" fillId="0" borderId="52" xfId="0" applyNumberFormat="1" applyFont="1" applyBorder="1"/>
    <xf numFmtId="3" fontId="35" fillId="0" borderId="52" xfId="0" applyNumberFormat="1" applyFont="1" applyBorder="1"/>
    <xf numFmtId="9" fontId="35" fillId="0" borderId="52" xfId="0" applyNumberFormat="1" applyFont="1" applyBorder="1"/>
    <xf numFmtId="3" fontId="11" fillId="0" borderId="32" xfId="0" applyNumberFormat="1" applyFont="1" applyBorder="1" applyAlignment="1">
      <alignment horizontal="center"/>
    </xf>
    <xf numFmtId="3" fontId="35" fillId="0" borderId="0" xfId="0" applyNumberFormat="1" applyFont="1" applyBorder="1"/>
    <xf numFmtId="166" fontId="35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6" fontId="5" fillId="0" borderId="0" xfId="0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9" fontId="35" fillId="0" borderId="0" xfId="0" applyNumberFormat="1" applyFont="1" applyBorder="1"/>
    <xf numFmtId="3" fontId="12" fillId="0" borderId="0" xfId="0" applyNumberFormat="1" applyFont="1" applyBorder="1"/>
    <xf numFmtId="166" fontId="12" fillId="0" borderId="0" xfId="0" applyNumberFormat="1" applyFont="1" applyBorder="1"/>
    <xf numFmtId="49" fontId="3" fillId="0" borderId="32" xfId="0" applyNumberFormat="1" applyFont="1" applyBorder="1" applyAlignment="1">
      <alignment horizontal="center"/>
    </xf>
    <xf numFmtId="49" fontId="3" fillId="0" borderId="10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107" xfId="0" applyNumberFormat="1" applyFont="1" applyBorder="1" applyAlignment="1">
      <alignment horizontal="center"/>
    </xf>
    <xf numFmtId="3" fontId="35" fillId="0" borderId="117" xfId="0" applyNumberFormat="1" applyFont="1" applyBorder="1"/>
    <xf numFmtId="166" fontId="35" fillId="0" borderId="117" xfId="0" applyNumberFormat="1" applyFont="1" applyBorder="1"/>
    <xf numFmtId="166" fontId="35" fillId="0" borderId="108" xfId="0" applyNumberFormat="1" applyFont="1" applyBorder="1"/>
    <xf numFmtId="3" fontId="35" fillId="0" borderId="117" xfId="0" applyNumberFormat="1" applyFont="1" applyBorder="1" applyAlignment="1">
      <alignment horizontal="right"/>
    </xf>
    <xf numFmtId="166" fontId="5" fillId="0" borderId="117" xfId="0" applyNumberFormat="1" applyFont="1" applyBorder="1" applyAlignment="1">
      <alignment horizontal="right"/>
    </xf>
    <xf numFmtId="166" fontId="5" fillId="0" borderId="108" xfId="0" applyNumberFormat="1" applyFont="1" applyBorder="1" applyAlignment="1">
      <alignment horizontal="right"/>
    </xf>
    <xf numFmtId="3" fontId="12" fillId="0" borderId="117" xfId="0" applyNumberFormat="1" applyFont="1" applyBorder="1" applyAlignment="1">
      <alignment horizontal="right"/>
    </xf>
    <xf numFmtId="166" fontId="12" fillId="0" borderId="117" xfId="0" applyNumberFormat="1" applyFont="1" applyBorder="1" applyAlignment="1">
      <alignment horizontal="right"/>
    </xf>
    <xf numFmtId="166" fontId="11" fillId="0" borderId="108" xfId="0" applyNumberFormat="1" applyFont="1" applyBorder="1" applyAlignment="1">
      <alignment horizontal="right"/>
    </xf>
    <xf numFmtId="177" fontId="5" fillId="0" borderId="117" xfId="0" applyNumberFormat="1" applyFont="1" applyBorder="1" applyAlignment="1">
      <alignment horizontal="right"/>
    </xf>
    <xf numFmtId="3" fontId="5" fillId="0" borderId="117" xfId="0" applyNumberFormat="1" applyFont="1" applyBorder="1" applyAlignment="1">
      <alignment horizontal="right"/>
    </xf>
    <xf numFmtId="4" fontId="5" fillId="0" borderId="117" xfId="0" applyNumberFormat="1" applyFont="1" applyBorder="1" applyAlignment="1">
      <alignment horizontal="right"/>
    </xf>
    <xf numFmtId="0" fontId="5" fillId="0" borderId="117" xfId="0" applyFont="1" applyBorder="1"/>
    <xf numFmtId="3" fontId="5" fillId="0" borderId="117" xfId="0" applyNumberFormat="1" applyFont="1" applyBorder="1"/>
    <xf numFmtId="9" fontId="35" fillId="0" borderId="117" xfId="0" applyNumberFormat="1" applyFont="1" applyBorder="1"/>
    <xf numFmtId="3" fontId="11" fillId="0" borderId="107" xfId="0" applyNumberFormat="1" applyFont="1" applyBorder="1" applyAlignment="1">
      <alignment horizontal="center"/>
    </xf>
    <xf numFmtId="0" fontId="32" fillId="2" borderId="33" xfId="0" applyFont="1" applyFill="1" applyBorder="1" applyAlignment="1">
      <alignment vertical="center" wrapText="1"/>
    </xf>
    <xf numFmtId="0" fontId="34" fillId="2" borderId="17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2" xfId="76" applyNumberFormat="1" applyFont="1" applyFill="1" applyBorder="1" applyAlignment="1">
      <alignment horizontal="center" vertical="center"/>
    </xf>
    <xf numFmtId="3" fontId="34" fillId="2" borderId="62" xfId="76" applyNumberFormat="1" applyFont="1" applyFill="1" applyBorder="1" applyAlignment="1">
      <alignment horizontal="center" vertical="center"/>
    </xf>
    <xf numFmtId="0" fontId="32" fillId="0" borderId="26" xfId="76" applyFont="1" applyFill="1" applyBorder="1"/>
    <xf numFmtId="0" fontId="32" fillId="0" borderId="98" xfId="76" applyFont="1" applyFill="1" applyBorder="1"/>
    <xf numFmtId="0" fontId="32" fillId="0" borderId="91" xfId="76" applyFont="1" applyFill="1" applyBorder="1"/>
    <xf numFmtId="0" fontId="32" fillId="0" borderId="60" xfId="76" applyFont="1" applyFill="1" applyBorder="1"/>
    <xf numFmtId="0" fontId="32" fillId="0" borderId="113" xfId="76" applyFont="1" applyFill="1" applyBorder="1"/>
    <xf numFmtId="0" fontId="32" fillId="0" borderId="114" xfId="76" applyFont="1" applyFill="1" applyBorder="1"/>
    <xf numFmtId="0" fontId="34" fillId="2" borderId="105" xfId="76" applyNumberFormat="1" applyFont="1" applyFill="1" applyBorder="1" applyAlignment="1">
      <alignment horizontal="left"/>
    </xf>
    <xf numFmtId="0" fontId="34" fillId="2" borderId="157" xfId="76" applyNumberFormat="1" applyFont="1" applyFill="1" applyBorder="1" applyAlignment="1">
      <alignment horizontal="left"/>
    </xf>
    <xf numFmtId="3" fontId="32" fillId="0" borderId="26" xfId="76" applyNumberFormat="1" applyFont="1" applyFill="1" applyBorder="1"/>
    <xf numFmtId="3" fontId="32" fillId="0" borderId="31" xfId="76" applyNumberFormat="1" applyFont="1" applyFill="1" applyBorder="1"/>
    <xf numFmtId="3" fontId="32" fillId="0" borderId="98" xfId="76" applyNumberFormat="1" applyFont="1" applyFill="1" applyBorder="1"/>
    <xf numFmtId="3" fontId="32" fillId="0" borderId="99" xfId="76" applyNumberFormat="1" applyFont="1" applyFill="1" applyBorder="1"/>
    <xf numFmtId="3" fontId="32" fillId="0" borderId="91" xfId="76" applyNumberFormat="1" applyFont="1" applyFill="1" applyBorder="1"/>
    <xf numFmtId="3" fontId="32" fillId="0" borderId="92" xfId="76" applyNumberFormat="1" applyFont="1" applyFill="1" applyBorder="1"/>
    <xf numFmtId="9" fontId="32" fillId="0" borderId="60" xfId="76" applyNumberFormat="1" applyFont="1" applyFill="1" applyBorder="1"/>
    <xf numFmtId="9" fontId="32" fillId="0" borderId="113" xfId="76" applyNumberFormat="1" applyFont="1" applyFill="1" applyBorder="1"/>
    <xf numFmtId="9" fontId="32" fillId="0" borderId="114" xfId="76" applyNumberFormat="1" applyFont="1" applyFill="1" applyBorder="1"/>
    <xf numFmtId="0" fontId="34" fillId="2" borderId="104" xfId="76" applyNumberFormat="1" applyFont="1" applyFill="1" applyBorder="1" applyAlignment="1">
      <alignment horizontal="left"/>
    </xf>
    <xf numFmtId="0" fontId="34" fillId="2" borderId="106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100" xfId="76" applyNumberFormat="1" applyFont="1" applyFill="1" applyBorder="1"/>
    <xf numFmtId="3" fontId="32" fillId="0" borderId="93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86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0.71954730627991192</c:v>
                </c:pt>
                <c:pt idx="1">
                  <c:v>1.1308597247911409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0832128"/>
        <c:axId val="1520830952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1.0825030119262646</c:v>
                </c:pt>
                <c:pt idx="1">
                  <c:v>1.0825030119262646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0830560"/>
        <c:axId val="1520832912"/>
      </c:scatterChart>
      <c:catAx>
        <c:axId val="152083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520830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5208309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1520832128"/>
        <c:crosses val="autoZero"/>
        <c:crossBetween val="between"/>
      </c:valAx>
      <c:valAx>
        <c:axId val="1520830560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520832912"/>
        <c:crosses val="max"/>
        <c:crossBetween val="midCat"/>
      </c:valAx>
      <c:valAx>
        <c:axId val="1520832912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520830560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0.91071304428429078</c:v>
                </c:pt>
                <c:pt idx="1">
                  <c:v>0.96710213582047955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037848"/>
        <c:axId val="1225038240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25035104"/>
        <c:axId val="1225037456"/>
      </c:scatterChart>
      <c:catAx>
        <c:axId val="1225037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2503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25038240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225037848"/>
        <c:crosses val="autoZero"/>
        <c:crossBetween val="between"/>
      </c:valAx>
      <c:valAx>
        <c:axId val="1225035104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225037456"/>
        <c:crosses val="max"/>
        <c:crossBetween val="midCat"/>
      </c:valAx>
      <c:valAx>
        <c:axId val="1225037456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225035104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54" bestFit="1" customWidth="1"/>
    <col min="2" max="2" width="102.21875" style="254" bestFit="1" customWidth="1"/>
    <col min="3" max="3" width="16.109375" style="51" hidden="1" customWidth="1"/>
    <col min="4" max="16384" width="8.88671875" style="254"/>
  </cols>
  <sheetData>
    <row r="1" spans="1:3" ht="18.600000000000001" customHeight="1" thickBot="1" x14ac:dyDescent="0.4">
      <c r="A1" s="478" t="s">
        <v>133</v>
      </c>
      <c r="B1" s="478"/>
    </row>
    <row r="2" spans="1:3" ht="14.4" customHeight="1" thickBot="1" x14ac:dyDescent="0.35">
      <c r="A2" s="383" t="s">
        <v>334</v>
      </c>
      <c r="B2" s="50"/>
    </row>
    <row r="3" spans="1:3" ht="14.4" customHeight="1" thickBot="1" x14ac:dyDescent="0.35">
      <c r="A3" s="474" t="s">
        <v>183</v>
      </c>
      <c r="B3" s="475"/>
    </row>
    <row r="4" spans="1:3" ht="14.4" customHeight="1" x14ac:dyDescent="0.3">
      <c r="A4" s="271" t="str">
        <f t="shared" ref="A4:A8" si="0">HYPERLINK("#'"&amp;C4&amp;"'!A1",C4)</f>
        <v>Motivace</v>
      </c>
      <c r="B4" s="182" t="s">
        <v>152</v>
      </c>
      <c r="C4" s="51" t="s">
        <v>153</v>
      </c>
    </row>
    <row r="5" spans="1:3" ht="14.4" customHeight="1" x14ac:dyDescent="0.3">
      <c r="A5" s="272" t="str">
        <f t="shared" si="0"/>
        <v>HI</v>
      </c>
      <c r="B5" s="183" t="s">
        <v>176</v>
      </c>
      <c r="C5" s="51" t="s">
        <v>137</v>
      </c>
    </row>
    <row r="6" spans="1:3" ht="14.4" customHeight="1" x14ac:dyDescent="0.3">
      <c r="A6" s="273" t="str">
        <f t="shared" si="0"/>
        <v>HI Graf</v>
      </c>
      <c r="B6" s="184" t="s">
        <v>129</v>
      </c>
      <c r="C6" s="51" t="s">
        <v>138</v>
      </c>
    </row>
    <row r="7" spans="1:3" ht="14.4" customHeight="1" x14ac:dyDescent="0.3">
      <c r="A7" s="273" t="str">
        <f t="shared" si="0"/>
        <v>Man Tab</v>
      </c>
      <c r="B7" s="184" t="s">
        <v>336</v>
      </c>
      <c r="C7" s="51" t="s">
        <v>139</v>
      </c>
    </row>
    <row r="8" spans="1:3" ht="14.4" customHeight="1" thickBot="1" x14ac:dyDescent="0.35">
      <c r="A8" s="274" t="str">
        <f t="shared" si="0"/>
        <v>HV</v>
      </c>
      <c r="B8" s="185" t="s">
        <v>61</v>
      </c>
      <c r="C8" s="51" t="s">
        <v>66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76" t="s">
        <v>134</v>
      </c>
      <c r="B10" s="475"/>
    </row>
    <row r="11" spans="1:3" ht="14.4" customHeight="1" x14ac:dyDescent="0.3">
      <c r="A11" s="275" t="str">
        <f t="shared" ref="A11" si="1">HYPERLINK("#'"&amp;C11&amp;"'!A1",C11)</f>
        <v>Léky Žádanky</v>
      </c>
      <c r="B11" s="183" t="s">
        <v>177</v>
      </c>
      <c r="C11" s="51" t="s">
        <v>140</v>
      </c>
    </row>
    <row r="12" spans="1:3" ht="14.4" customHeight="1" x14ac:dyDescent="0.3">
      <c r="A12" s="273" t="str">
        <f t="shared" ref="A12:A23" si="2">HYPERLINK("#'"&amp;C12&amp;"'!A1",C12)</f>
        <v>LŽ Detail</v>
      </c>
      <c r="B12" s="184" t="s">
        <v>207</v>
      </c>
      <c r="C12" s="51" t="s">
        <v>141</v>
      </c>
    </row>
    <row r="13" spans="1:3" ht="28.8" customHeight="1" x14ac:dyDescent="0.3">
      <c r="A13" s="273" t="str">
        <f t="shared" si="2"/>
        <v>LŽ PL</v>
      </c>
      <c r="B13" s="689" t="s">
        <v>208</v>
      </c>
      <c r="C13" s="51" t="s">
        <v>187</v>
      </c>
    </row>
    <row r="14" spans="1:3" ht="14.4" customHeight="1" x14ac:dyDescent="0.3">
      <c r="A14" s="273" t="str">
        <f t="shared" si="2"/>
        <v>LŽ PL Detail</v>
      </c>
      <c r="B14" s="184" t="s">
        <v>1901</v>
      </c>
      <c r="C14" s="51" t="s">
        <v>189</v>
      </c>
    </row>
    <row r="15" spans="1:3" ht="14.4" customHeight="1" x14ac:dyDescent="0.3">
      <c r="A15" s="273" t="str">
        <f t="shared" si="2"/>
        <v>LŽ Statim</v>
      </c>
      <c r="B15" s="462" t="s">
        <v>299</v>
      </c>
      <c r="C15" s="51" t="s">
        <v>309</v>
      </c>
    </row>
    <row r="16" spans="1:3" ht="14.4" customHeight="1" x14ac:dyDescent="0.3">
      <c r="A16" s="273" t="str">
        <f t="shared" si="2"/>
        <v>Léky Recepty</v>
      </c>
      <c r="B16" s="184" t="s">
        <v>178</v>
      </c>
      <c r="C16" s="51" t="s">
        <v>142</v>
      </c>
    </row>
    <row r="17" spans="1:3" ht="14.4" customHeight="1" x14ac:dyDescent="0.3">
      <c r="A17" s="273" t="str">
        <f t="shared" si="2"/>
        <v>LRp Lékaři</v>
      </c>
      <c r="B17" s="184" t="s">
        <v>192</v>
      </c>
      <c r="C17" s="51" t="s">
        <v>193</v>
      </c>
    </row>
    <row r="18" spans="1:3" ht="14.4" customHeight="1" x14ac:dyDescent="0.3">
      <c r="A18" s="273" t="str">
        <f t="shared" si="2"/>
        <v>LRp Detail</v>
      </c>
      <c r="B18" s="184" t="s">
        <v>2565</v>
      </c>
      <c r="C18" s="51" t="s">
        <v>143</v>
      </c>
    </row>
    <row r="19" spans="1:3" ht="28.8" customHeight="1" x14ac:dyDescent="0.3">
      <c r="A19" s="273" t="str">
        <f t="shared" si="2"/>
        <v>LRp PL</v>
      </c>
      <c r="B19" s="689" t="s">
        <v>2566</v>
      </c>
      <c r="C19" s="51" t="s">
        <v>188</v>
      </c>
    </row>
    <row r="20" spans="1:3" ht="14.4" customHeight="1" x14ac:dyDescent="0.3">
      <c r="A20" s="273" t="str">
        <f>HYPERLINK("#'"&amp;C20&amp;"'!A1",C20)</f>
        <v>LRp PL Detail</v>
      </c>
      <c r="B20" s="184" t="s">
        <v>2593</v>
      </c>
      <c r="C20" s="51" t="s">
        <v>190</v>
      </c>
    </row>
    <row r="21" spans="1:3" ht="14.4" customHeight="1" x14ac:dyDescent="0.3">
      <c r="A21" s="275" t="str">
        <f t="shared" ref="A21" si="3">HYPERLINK("#'"&amp;C21&amp;"'!A1",C21)</f>
        <v>Materiál Žádanky</v>
      </c>
      <c r="B21" s="184" t="s">
        <v>179</v>
      </c>
      <c r="C21" s="51" t="s">
        <v>144</v>
      </c>
    </row>
    <row r="22" spans="1:3" ht="14.4" customHeight="1" x14ac:dyDescent="0.3">
      <c r="A22" s="273" t="str">
        <f t="shared" si="2"/>
        <v>MŽ Detail</v>
      </c>
      <c r="B22" s="184" t="s">
        <v>3399</v>
      </c>
      <c r="C22" s="51" t="s">
        <v>145</v>
      </c>
    </row>
    <row r="23" spans="1:3" ht="14.4" customHeight="1" thickBot="1" x14ac:dyDescent="0.35">
      <c r="A23" s="275" t="str">
        <f t="shared" si="2"/>
        <v>Osobní náklady</v>
      </c>
      <c r="B23" s="184" t="s">
        <v>131</v>
      </c>
      <c r="C23" s="51" t="s">
        <v>146</v>
      </c>
    </row>
    <row r="24" spans="1:3" ht="14.4" customHeight="1" thickBot="1" x14ac:dyDescent="0.35">
      <c r="A24" s="187"/>
      <c r="B24" s="187"/>
    </row>
    <row r="25" spans="1:3" ht="14.4" customHeight="1" thickBot="1" x14ac:dyDescent="0.35">
      <c r="A25" s="477" t="s">
        <v>135</v>
      </c>
      <c r="B25" s="475"/>
    </row>
    <row r="26" spans="1:3" ht="14.4" customHeight="1" x14ac:dyDescent="0.3">
      <c r="A26" s="276" t="str">
        <f t="shared" ref="A26:A36" si="4">HYPERLINK("#'"&amp;C26&amp;"'!A1",C26)</f>
        <v>ZV Vykáz.-A</v>
      </c>
      <c r="B26" s="183" t="s">
        <v>3406</v>
      </c>
      <c r="C26" s="51" t="s">
        <v>154</v>
      </c>
    </row>
    <row r="27" spans="1:3" ht="14.4" customHeight="1" x14ac:dyDescent="0.3">
      <c r="A27" s="273" t="str">
        <f t="shared" ref="A27" si="5">HYPERLINK("#'"&amp;C27&amp;"'!A1",C27)</f>
        <v>ZV Vykáz.-A Lékaři</v>
      </c>
      <c r="B27" s="184" t="s">
        <v>3409</v>
      </c>
      <c r="C27" s="51" t="s">
        <v>312</v>
      </c>
    </row>
    <row r="28" spans="1:3" ht="14.4" customHeight="1" x14ac:dyDescent="0.3">
      <c r="A28" s="273" t="str">
        <f t="shared" si="4"/>
        <v>ZV Vykáz.-A Detail</v>
      </c>
      <c r="B28" s="184" t="s">
        <v>3471</v>
      </c>
      <c r="C28" s="51" t="s">
        <v>155</v>
      </c>
    </row>
    <row r="29" spans="1:3" ht="14.4" customHeight="1" x14ac:dyDescent="0.3">
      <c r="A29" s="273" t="str">
        <f t="shared" si="4"/>
        <v>ZV Vykáz.-H</v>
      </c>
      <c r="B29" s="184" t="s">
        <v>158</v>
      </c>
      <c r="C29" s="51" t="s">
        <v>156</v>
      </c>
    </row>
    <row r="30" spans="1:3" ht="14.4" customHeight="1" x14ac:dyDescent="0.3">
      <c r="A30" s="273" t="str">
        <f t="shared" si="4"/>
        <v>ZV Vykáz.-H Detail</v>
      </c>
      <c r="B30" s="184" t="s">
        <v>3999</v>
      </c>
      <c r="C30" s="51" t="s">
        <v>157</v>
      </c>
    </row>
    <row r="31" spans="1:3" ht="14.4" customHeight="1" x14ac:dyDescent="0.3">
      <c r="A31" s="276" t="str">
        <f t="shared" si="4"/>
        <v>CaseMix</v>
      </c>
      <c r="B31" s="184" t="s">
        <v>136</v>
      </c>
      <c r="C31" s="51" t="s">
        <v>147</v>
      </c>
    </row>
    <row r="32" spans="1:3" ht="14.4" customHeight="1" x14ac:dyDescent="0.3">
      <c r="A32" s="273" t="str">
        <f t="shared" si="4"/>
        <v>ALOS</v>
      </c>
      <c r="B32" s="184" t="s">
        <v>115</v>
      </c>
      <c r="C32" s="51" t="s">
        <v>86</v>
      </c>
    </row>
    <row r="33" spans="1:3" ht="14.4" customHeight="1" x14ac:dyDescent="0.3">
      <c r="A33" s="273" t="str">
        <f t="shared" si="4"/>
        <v>Total</v>
      </c>
      <c r="B33" s="184" t="s">
        <v>4087</v>
      </c>
      <c r="C33" s="51" t="s">
        <v>148</v>
      </c>
    </row>
    <row r="34" spans="1:3" ht="14.4" customHeight="1" x14ac:dyDescent="0.3">
      <c r="A34" s="273" t="str">
        <f t="shared" si="4"/>
        <v>ZV Vyžád.</v>
      </c>
      <c r="B34" s="184" t="s">
        <v>159</v>
      </c>
      <c r="C34" s="51" t="s">
        <v>151</v>
      </c>
    </row>
    <row r="35" spans="1:3" ht="14.4" customHeight="1" x14ac:dyDescent="0.3">
      <c r="A35" s="273" t="str">
        <f t="shared" si="4"/>
        <v>ZV Vyžád. Detail</v>
      </c>
      <c r="B35" s="184" t="s">
        <v>4510</v>
      </c>
      <c r="C35" s="51" t="s">
        <v>150</v>
      </c>
    </row>
    <row r="36" spans="1:3" ht="14.4" customHeight="1" x14ac:dyDescent="0.3">
      <c r="A36" s="273" t="str">
        <f t="shared" si="4"/>
        <v>OD TISS</v>
      </c>
      <c r="B36" s="184" t="s">
        <v>182</v>
      </c>
      <c r="C36" s="51" t="s">
        <v>149</v>
      </c>
    </row>
  </sheetData>
  <mergeCells count="4">
    <mergeCell ref="A3:B3"/>
    <mergeCell ref="A10:B10"/>
    <mergeCell ref="A25:B2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2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54" bestFit="1" customWidth="1"/>
    <col min="2" max="2" width="8.88671875" style="254" bestFit="1" customWidth="1"/>
    <col min="3" max="3" width="7" style="254" bestFit="1" customWidth="1"/>
    <col min="4" max="4" width="53.44140625" style="254" bestFit="1" customWidth="1"/>
    <col min="5" max="5" width="28.44140625" style="254" bestFit="1" customWidth="1"/>
    <col min="6" max="6" width="6.6640625" style="337" customWidth="1"/>
    <col min="7" max="7" width="10" style="337" customWidth="1"/>
    <col min="8" max="8" width="6.77734375" style="340" bestFit="1" customWidth="1"/>
    <col min="9" max="9" width="6.6640625" style="337" customWidth="1"/>
    <col min="10" max="10" width="10" style="337" customWidth="1"/>
    <col min="11" max="11" width="6.77734375" style="340" bestFit="1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1901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134.69999999999999</v>
      </c>
      <c r="G3" s="47">
        <f>SUBTOTAL(9,G6:G1048576)</f>
        <v>36050.884455263877</v>
      </c>
      <c r="H3" s="48">
        <f>IF(M3=0,0,G3/M3)</f>
        <v>0.14950932181942839</v>
      </c>
      <c r="I3" s="47">
        <f>SUBTOTAL(9,I6:I1048576)</f>
        <v>1272.1000000000001</v>
      </c>
      <c r="J3" s="47">
        <f>SUBTOTAL(9,J6:J1048576)</f>
        <v>205077.1202507219</v>
      </c>
      <c r="K3" s="48">
        <f>IF(M3=0,0,J3/M3)</f>
        <v>0.85049067818057145</v>
      </c>
      <c r="L3" s="47">
        <f>SUBTOTAL(9,L6:L1048576)</f>
        <v>1406.8</v>
      </c>
      <c r="M3" s="49">
        <f>SUBTOTAL(9,M6:M1048576)</f>
        <v>241128.0047059858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672" t="s">
        <v>163</v>
      </c>
      <c r="B5" s="690" t="s">
        <v>164</v>
      </c>
      <c r="C5" s="690" t="s">
        <v>90</v>
      </c>
      <c r="D5" s="690" t="s">
        <v>165</v>
      </c>
      <c r="E5" s="690" t="s">
        <v>166</v>
      </c>
      <c r="F5" s="691" t="s">
        <v>28</v>
      </c>
      <c r="G5" s="691" t="s">
        <v>14</v>
      </c>
      <c r="H5" s="674" t="s">
        <v>167</v>
      </c>
      <c r="I5" s="673" t="s">
        <v>28</v>
      </c>
      <c r="J5" s="691" t="s">
        <v>14</v>
      </c>
      <c r="K5" s="674" t="s">
        <v>167</v>
      </c>
      <c r="L5" s="673" t="s">
        <v>28</v>
      </c>
      <c r="M5" s="692" t="s">
        <v>14</v>
      </c>
    </row>
    <row r="6" spans="1:13" ht="14.4" customHeight="1" x14ac:dyDescent="0.3">
      <c r="A6" s="654" t="s">
        <v>558</v>
      </c>
      <c r="B6" s="655" t="s">
        <v>1811</v>
      </c>
      <c r="C6" s="655" t="s">
        <v>1157</v>
      </c>
      <c r="D6" s="655" t="s">
        <v>1057</v>
      </c>
      <c r="E6" s="655" t="s">
        <v>1812</v>
      </c>
      <c r="F6" s="658"/>
      <c r="G6" s="658"/>
      <c r="H6" s="676">
        <v>0</v>
      </c>
      <c r="I6" s="658">
        <v>1</v>
      </c>
      <c r="J6" s="658">
        <v>239.90999999999994</v>
      </c>
      <c r="K6" s="676">
        <v>1</v>
      </c>
      <c r="L6" s="658">
        <v>1</v>
      </c>
      <c r="M6" s="659">
        <v>239.90999999999994</v>
      </c>
    </row>
    <row r="7" spans="1:13" ht="14.4" customHeight="1" x14ac:dyDescent="0.3">
      <c r="A7" s="660" t="s">
        <v>558</v>
      </c>
      <c r="B7" s="661" t="s">
        <v>1811</v>
      </c>
      <c r="C7" s="661" t="s">
        <v>996</v>
      </c>
      <c r="D7" s="661" t="s">
        <v>997</v>
      </c>
      <c r="E7" s="661" t="s">
        <v>998</v>
      </c>
      <c r="F7" s="664"/>
      <c r="G7" s="664"/>
      <c r="H7" s="677">
        <v>0</v>
      </c>
      <c r="I7" s="664">
        <v>3</v>
      </c>
      <c r="J7" s="664">
        <v>367.78166666666664</v>
      </c>
      <c r="K7" s="677">
        <v>1</v>
      </c>
      <c r="L7" s="664">
        <v>3</v>
      </c>
      <c r="M7" s="665">
        <v>367.78166666666664</v>
      </c>
    </row>
    <row r="8" spans="1:13" ht="14.4" customHeight="1" x14ac:dyDescent="0.3">
      <c r="A8" s="660" t="s">
        <v>558</v>
      </c>
      <c r="B8" s="661" t="s">
        <v>1811</v>
      </c>
      <c r="C8" s="661" t="s">
        <v>1056</v>
      </c>
      <c r="D8" s="661" t="s">
        <v>1057</v>
      </c>
      <c r="E8" s="661" t="s">
        <v>1813</v>
      </c>
      <c r="F8" s="664"/>
      <c r="G8" s="664"/>
      <c r="H8" s="677">
        <v>0</v>
      </c>
      <c r="I8" s="664">
        <v>9</v>
      </c>
      <c r="J8" s="664">
        <v>633.02888428577205</v>
      </c>
      <c r="K8" s="677">
        <v>1</v>
      </c>
      <c r="L8" s="664">
        <v>9</v>
      </c>
      <c r="M8" s="665">
        <v>633.02888428577205</v>
      </c>
    </row>
    <row r="9" spans="1:13" ht="14.4" customHeight="1" x14ac:dyDescent="0.3">
      <c r="A9" s="660" t="s">
        <v>558</v>
      </c>
      <c r="B9" s="661" t="s">
        <v>1814</v>
      </c>
      <c r="C9" s="661" t="s">
        <v>1022</v>
      </c>
      <c r="D9" s="661" t="s">
        <v>1815</v>
      </c>
      <c r="E9" s="661" t="s">
        <v>1816</v>
      </c>
      <c r="F9" s="664"/>
      <c r="G9" s="664"/>
      <c r="H9" s="677">
        <v>0</v>
      </c>
      <c r="I9" s="664">
        <v>2</v>
      </c>
      <c r="J9" s="664">
        <v>198.24</v>
      </c>
      <c r="K9" s="677">
        <v>1</v>
      </c>
      <c r="L9" s="664">
        <v>2</v>
      </c>
      <c r="M9" s="665">
        <v>198.24</v>
      </c>
    </row>
    <row r="10" spans="1:13" ht="14.4" customHeight="1" x14ac:dyDescent="0.3">
      <c r="A10" s="660" t="s">
        <v>558</v>
      </c>
      <c r="B10" s="661" t="s">
        <v>1817</v>
      </c>
      <c r="C10" s="661" t="s">
        <v>1077</v>
      </c>
      <c r="D10" s="661" t="s">
        <v>1078</v>
      </c>
      <c r="E10" s="661" t="s">
        <v>1079</v>
      </c>
      <c r="F10" s="664"/>
      <c r="G10" s="664"/>
      <c r="H10" s="677">
        <v>0</v>
      </c>
      <c r="I10" s="664">
        <v>1</v>
      </c>
      <c r="J10" s="664">
        <v>63.399729331722106</v>
      </c>
      <c r="K10" s="677">
        <v>1</v>
      </c>
      <c r="L10" s="664">
        <v>1</v>
      </c>
      <c r="M10" s="665">
        <v>63.399729331722106</v>
      </c>
    </row>
    <row r="11" spans="1:13" ht="14.4" customHeight="1" x14ac:dyDescent="0.3">
      <c r="A11" s="660" t="s">
        <v>558</v>
      </c>
      <c r="B11" s="661" t="s">
        <v>1818</v>
      </c>
      <c r="C11" s="661" t="s">
        <v>1120</v>
      </c>
      <c r="D11" s="661" t="s">
        <v>1121</v>
      </c>
      <c r="E11" s="661" t="s">
        <v>1122</v>
      </c>
      <c r="F11" s="664"/>
      <c r="G11" s="664"/>
      <c r="H11" s="677">
        <v>0</v>
      </c>
      <c r="I11" s="664">
        <v>3</v>
      </c>
      <c r="J11" s="664">
        <v>215.35999999999996</v>
      </c>
      <c r="K11" s="677">
        <v>1</v>
      </c>
      <c r="L11" s="664">
        <v>3</v>
      </c>
      <c r="M11" s="665">
        <v>215.35999999999996</v>
      </c>
    </row>
    <row r="12" spans="1:13" ht="14.4" customHeight="1" x14ac:dyDescent="0.3">
      <c r="A12" s="660" t="s">
        <v>558</v>
      </c>
      <c r="B12" s="661" t="s">
        <v>1819</v>
      </c>
      <c r="C12" s="661" t="s">
        <v>1112</v>
      </c>
      <c r="D12" s="661" t="s">
        <v>1113</v>
      </c>
      <c r="E12" s="661" t="s">
        <v>1114</v>
      </c>
      <c r="F12" s="664"/>
      <c r="G12" s="664"/>
      <c r="H12" s="677">
        <v>0</v>
      </c>
      <c r="I12" s="664">
        <v>4</v>
      </c>
      <c r="J12" s="664">
        <v>1884.6180499235913</v>
      </c>
      <c r="K12" s="677">
        <v>1</v>
      </c>
      <c r="L12" s="664">
        <v>4</v>
      </c>
      <c r="M12" s="665">
        <v>1884.6180499235913</v>
      </c>
    </row>
    <row r="13" spans="1:13" ht="14.4" customHeight="1" x14ac:dyDescent="0.3">
      <c r="A13" s="660" t="s">
        <v>558</v>
      </c>
      <c r="B13" s="661" t="s">
        <v>1820</v>
      </c>
      <c r="C13" s="661" t="s">
        <v>1167</v>
      </c>
      <c r="D13" s="661" t="s">
        <v>1168</v>
      </c>
      <c r="E13" s="661" t="s">
        <v>1169</v>
      </c>
      <c r="F13" s="664"/>
      <c r="G13" s="664"/>
      <c r="H13" s="677">
        <v>0</v>
      </c>
      <c r="I13" s="664">
        <v>3</v>
      </c>
      <c r="J13" s="664">
        <v>279.39999999999998</v>
      </c>
      <c r="K13" s="677">
        <v>1</v>
      </c>
      <c r="L13" s="664">
        <v>3</v>
      </c>
      <c r="M13" s="665">
        <v>279.39999999999998</v>
      </c>
    </row>
    <row r="14" spans="1:13" ht="14.4" customHeight="1" x14ac:dyDescent="0.3">
      <c r="A14" s="660" t="s">
        <v>558</v>
      </c>
      <c r="B14" s="661" t="s">
        <v>1821</v>
      </c>
      <c r="C14" s="661" t="s">
        <v>1100</v>
      </c>
      <c r="D14" s="661" t="s">
        <v>1101</v>
      </c>
      <c r="E14" s="661" t="s">
        <v>1102</v>
      </c>
      <c r="F14" s="664"/>
      <c r="G14" s="664"/>
      <c r="H14" s="677">
        <v>0</v>
      </c>
      <c r="I14" s="664">
        <v>2</v>
      </c>
      <c r="J14" s="664">
        <v>46.85</v>
      </c>
      <c r="K14" s="677">
        <v>1</v>
      </c>
      <c r="L14" s="664">
        <v>2</v>
      </c>
      <c r="M14" s="665">
        <v>46.85</v>
      </c>
    </row>
    <row r="15" spans="1:13" ht="14.4" customHeight="1" x14ac:dyDescent="0.3">
      <c r="A15" s="660" t="s">
        <v>558</v>
      </c>
      <c r="B15" s="661" t="s">
        <v>1822</v>
      </c>
      <c r="C15" s="661" t="s">
        <v>1089</v>
      </c>
      <c r="D15" s="661" t="s">
        <v>1823</v>
      </c>
      <c r="E15" s="661" t="s">
        <v>1824</v>
      </c>
      <c r="F15" s="664"/>
      <c r="G15" s="664"/>
      <c r="H15" s="677">
        <v>0</v>
      </c>
      <c r="I15" s="664">
        <v>3</v>
      </c>
      <c r="J15" s="664">
        <v>416.31000000000006</v>
      </c>
      <c r="K15" s="677">
        <v>1</v>
      </c>
      <c r="L15" s="664">
        <v>3</v>
      </c>
      <c r="M15" s="665">
        <v>416.31000000000006</v>
      </c>
    </row>
    <row r="16" spans="1:13" ht="14.4" customHeight="1" x14ac:dyDescent="0.3">
      <c r="A16" s="660" t="s">
        <v>558</v>
      </c>
      <c r="B16" s="661" t="s">
        <v>1825</v>
      </c>
      <c r="C16" s="661" t="s">
        <v>1151</v>
      </c>
      <c r="D16" s="661" t="s">
        <v>1035</v>
      </c>
      <c r="E16" s="661" t="s">
        <v>1152</v>
      </c>
      <c r="F16" s="664"/>
      <c r="G16" s="664"/>
      <c r="H16" s="677">
        <v>0</v>
      </c>
      <c r="I16" s="664">
        <v>15</v>
      </c>
      <c r="J16" s="664">
        <v>4549.4314248183136</v>
      </c>
      <c r="K16" s="677">
        <v>1</v>
      </c>
      <c r="L16" s="664">
        <v>15</v>
      </c>
      <c r="M16" s="665">
        <v>4549.4314248183136</v>
      </c>
    </row>
    <row r="17" spans="1:13" ht="14.4" customHeight="1" x14ac:dyDescent="0.3">
      <c r="A17" s="660" t="s">
        <v>558</v>
      </c>
      <c r="B17" s="661" t="s">
        <v>1825</v>
      </c>
      <c r="C17" s="661" t="s">
        <v>1154</v>
      </c>
      <c r="D17" s="661" t="s">
        <v>1035</v>
      </c>
      <c r="E17" s="661" t="s">
        <v>1155</v>
      </c>
      <c r="F17" s="664"/>
      <c r="G17" s="664"/>
      <c r="H17" s="677">
        <v>0</v>
      </c>
      <c r="I17" s="664">
        <v>11</v>
      </c>
      <c r="J17" s="664">
        <v>4498.45</v>
      </c>
      <c r="K17" s="677">
        <v>1</v>
      </c>
      <c r="L17" s="664">
        <v>11</v>
      </c>
      <c r="M17" s="665">
        <v>4498.45</v>
      </c>
    </row>
    <row r="18" spans="1:13" ht="14.4" customHeight="1" x14ac:dyDescent="0.3">
      <c r="A18" s="660" t="s">
        <v>558</v>
      </c>
      <c r="B18" s="661" t="s">
        <v>1825</v>
      </c>
      <c r="C18" s="661" t="s">
        <v>1034</v>
      </c>
      <c r="D18" s="661" t="s">
        <v>1035</v>
      </c>
      <c r="E18" s="661" t="s">
        <v>1036</v>
      </c>
      <c r="F18" s="664"/>
      <c r="G18" s="664"/>
      <c r="H18" s="677">
        <v>0</v>
      </c>
      <c r="I18" s="664">
        <v>8</v>
      </c>
      <c r="J18" s="664">
        <v>5102.628999999999</v>
      </c>
      <c r="K18" s="677">
        <v>1</v>
      </c>
      <c r="L18" s="664">
        <v>8</v>
      </c>
      <c r="M18" s="665">
        <v>5102.628999999999</v>
      </c>
    </row>
    <row r="19" spans="1:13" ht="14.4" customHeight="1" x14ac:dyDescent="0.3">
      <c r="A19" s="660" t="s">
        <v>558</v>
      </c>
      <c r="B19" s="661" t="s">
        <v>1825</v>
      </c>
      <c r="C19" s="661" t="s">
        <v>1038</v>
      </c>
      <c r="D19" s="661" t="s">
        <v>1035</v>
      </c>
      <c r="E19" s="661" t="s">
        <v>1039</v>
      </c>
      <c r="F19" s="664"/>
      <c r="G19" s="664"/>
      <c r="H19" s="677">
        <v>0</v>
      </c>
      <c r="I19" s="664">
        <v>5</v>
      </c>
      <c r="J19" s="664">
        <v>3606</v>
      </c>
      <c r="K19" s="677">
        <v>1</v>
      </c>
      <c r="L19" s="664">
        <v>5</v>
      </c>
      <c r="M19" s="665">
        <v>3606</v>
      </c>
    </row>
    <row r="20" spans="1:13" ht="14.4" customHeight="1" x14ac:dyDescent="0.3">
      <c r="A20" s="660" t="s">
        <v>558</v>
      </c>
      <c r="B20" s="661" t="s">
        <v>1825</v>
      </c>
      <c r="C20" s="661" t="s">
        <v>1041</v>
      </c>
      <c r="D20" s="661" t="s">
        <v>1035</v>
      </c>
      <c r="E20" s="661" t="s">
        <v>1042</v>
      </c>
      <c r="F20" s="664"/>
      <c r="G20" s="664"/>
      <c r="H20" s="677">
        <v>0</v>
      </c>
      <c r="I20" s="664">
        <v>1</v>
      </c>
      <c r="J20" s="664">
        <v>913.65</v>
      </c>
      <c r="K20" s="677">
        <v>1</v>
      </c>
      <c r="L20" s="664">
        <v>1</v>
      </c>
      <c r="M20" s="665">
        <v>913.65</v>
      </c>
    </row>
    <row r="21" spans="1:13" ht="14.4" customHeight="1" x14ac:dyDescent="0.3">
      <c r="A21" s="660" t="s">
        <v>558</v>
      </c>
      <c r="B21" s="661" t="s">
        <v>1825</v>
      </c>
      <c r="C21" s="661" t="s">
        <v>1071</v>
      </c>
      <c r="D21" s="661" t="s">
        <v>1072</v>
      </c>
      <c r="E21" s="661" t="s">
        <v>1036</v>
      </c>
      <c r="F21" s="664"/>
      <c r="G21" s="664"/>
      <c r="H21" s="677">
        <v>0</v>
      </c>
      <c r="I21" s="664">
        <v>8</v>
      </c>
      <c r="J21" s="664">
        <v>9171.2888129754247</v>
      </c>
      <c r="K21" s="677">
        <v>1</v>
      </c>
      <c r="L21" s="664">
        <v>8</v>
      </c>
      <c r="M21" s="665">
        <v>9171.2888129754247</v>
      </c>
    </row>
    <row r="22" spans="1:13" ht="14.4" customHeight="1" x14ac:dyDescent="0.3">
      <c r="A22" s="660" t="s">
        <v>558</v>
      </c>
      <c r="B22" s="661" t="s">
        <v>1825</v>
      </c>
      <c r="C22" s="661" t="s">
        <v>1075</v>
      </c>
      <c r="D22" s="661" t="s">
        <v>1072</v>
      </c>
      <c r="E22" s="661" t="s">
        <v>1039</v>
      </c>
      <c r="F22" s="664"/>
      <c r="G22" s="664"/>
      <c r="H22" s="677">
        <v>0</v>
      </c>
      <c r="I22" s="664">
        <v>5</v>
      </c>
      <c r="J22" s="664">
        <v>7707.699999999998</v>
      </c>
      <c r="K22" s="677">
        <v>1</v>
      </c>
      <c r="L22" s="664">
        <v>5</v>
      </c>
      <c r="M22" s="665">
        <v>7707.699999999998</v>
      </c>
    </row>
    <row r="23" spans="1:13" ht="14.4" customHeight="1" x14ac:dyDescent="0.3">
      <c r="A23" s="660" t="s">
        <v>558</v>
      </c>
      <c r="B23" s="661" t="s">
        <v>1826</v>
      </c>
      <c r="C23" s="661" t="s">
        <v>1164</v>
      </c>
      <c r="D23" s="661" t="s">
        <v>1165</v>
      </c>
      <c r="E23" s="661" t="s">
        <v>1166</v>
      </c>
      <c r="F23" s="664"/>
      <c r="G23" s="664"/>
      <c r="H23" s="677">
        <v>0</v>
      </c>
      <c r="I23" s="664">
        <v>6</v>
      </c>
      <c r="J23" s="664">
        <v>420.79794078037241</v>
      </c>
      <c r="K23" s="677">
        <v>1</v>
      </c>
      <c r="L23" s="664">
        <v>6</v>
      </c>
      <c r="M23" s="665">
        <v>420.79794078037241</v>
      </c>
    </row>
    <row r="24" spans="1:13" ht="14.4" customHeight="1" x14ac:dyDescent="0.3">
      <c r="A24" s="660" t="s">
        <v>558</v>
      </c>
      <c r="B24" s="661" t="s">
        <v>1827</v>
      </c>
      <c r="C24" s="661" t="s">
        <v>1030</v>
      </c>
      <c r="D24" s="661" t="s">
        <v>1828</v>
      </c>
      <c r="E24" s="661" t="s">
        <v>1032</v>
      </c>
      <c r="F24" s="664"/>
      <c r="G24" s="664"/>
      <c r="H24" s="677">
        <v>0</v>
      </c>
      <c r="I24" s="664">
        <v>1</v>
      </c>
      <c r="J24" s="664">
        <v>1188.3030020293529</v>
      </c>
      <c r="K24" s="677">
        <v>1</v>
      </c>
      <c r="L24" s="664">
        <v>1</v>
      </c>
      <c r="M24" s="665">
        <v>1188.3030020293529</v>
      </c>
    </row>
    <row r="25" spans="1:13" ht="14.4" customHeight="1" x14ac:dyDescent="0.3">
      <c r="A25" s="660" t="s">
        <v>558</v>
      </c>
      <c r="B25" s="661" t="s">
        <v>1829</v>
      </c>
      <c r="C25" s="661" t="s">
        <v>1097</v>
      </c>
      <c r="D25" s="661" t="s">
        <v>1011</v>
      </c>
      <c r="E25" s="661" t="s">
        <v>1098</v>
      </c>
      <c r="F25" s="664"/>
      <c r="G25" s="664"/>
      <c r="H25" s="677">
        <v>0</v>
      </c>
      <c r="I25" s="664">
        <v>32</v>
      </c>
      <c r="J25" s="664">
        <v>4201.3588189616003</v>
      </c>
      <c r="K25" s="677">
        <v>1</v>
      </c>
      <c r="L25" s="664">
        <v>32</v>
      </c>
      <c r="M25" s="665">
        <v>4201.3588189616003</v>
      </c>
    </row>
    <row r="26" spans="1:13" ht="14.4" customHeight="1" x14ac:dyDescent="0.3">
      <c r="A26" s="660" t="s">
        <v>558</v>
      </c>
      <c r="B26" s="661" t="s">
        <v>1829</v>
      </c>
      <c r="C26" s="661" t="s">
        <v>1010</v>
      </c>
      <c r="D26" s="661" t="s">
        <v>1011</v>
      </c>
      <c r="E26" s="661" t="s">
        <v>1830</v>
      </c>
      <c r="F26" s="664"/>
      <c r="G26" s="664"/>
      <c r="H26" s="677">
        <v>0</v>
      </c>
      <c r="I26" s="664">
        <v>6</v>
      </c>
      <c r="J26" s="664">
        <v>271.2295804043535</v>
      </c>
      <c r="K26" s="677">
        <v>1</v>
      </c>
      <c r="L26" s="664">
        <v>6</v>
      </c>
      <c r="M26" s="665">
        <v>271.2295804043535</v>
      </c>
    </row>
    <row r="27" spans="1:13" ht="14.4" customHeight="1" x14ac:dyDescent="0.3">
      <c r="A27" s="660" t="s">
        <v>558</v>
      </c>
      <c r="B27" s="661" t="s">
        <v>1831</v>
      </c>
      <c r="C27" s="661" t="s">
        <v>1171</v>
      </c>
      <c r="D27" s="661" t="s">
        <v>1172</v>
      </c>
      <c r="E27" s="661" t="s">
        <v>1173</v>
      </c>
      <c r="F27" s="664"/>
      <c r="G27" s="664"/>
      <c r="H27" s="677">
        <v>0</v>
      </c>
      <c r="I27" s="664">
        <v>1</v>
      </c>
      <c r="J27" s="664">
        <v>408.65221606422875</v>
      </c>
      <c r="K27" s="677">
        <v>1</v>
      </c>
      <c r="L27" s="664">
        <v>1</v>
      </c>
      <c r="M27" s="665">
        <v>408.65221606422875</v>
      </c>
    </row>
    <row r="28" spans="1:13" ht="14.4" customHeight="1" x14ac:dyDescent="0.3">
      <c r="A28" s="660" t="s">
        <v>558</v>
      </c>
      <c r="B28" s="661" t="s">
        <v>1832</v>
      </c>
      <c r="C28" s="661" t="s">
        <v>1060</v>
      </c>
      <c r="D28" s="661" t="s">
        <v>1061</v>
      </c>
      <c r="E28" s="661" t="s">
        <v>974</v>
      </c>
      <c r="F28" s="664"/>
      <c r="G28" s="664"/>
      <c r="H28" s="677">
        <v>0</v>
      </c>
      <c r="I28" s="664">
        <v>4</v>
      </c>
      <c r="J28" s="664">
        <v>305.44</v>
      </c>
      <c r="K28" s="677">
        <v>1</v>
      </c>
      <c r="L28" s="664">
        <v>4</v>
      </c>
      <c r="M28" s="665">
        <v>305.44</v>
      </c>
    </row>
    <row r="29" spans="1:13" ht="14.4" customHeight="1" x14ac:dyDescent="0.3">
      <c r="A29" s="660" t="s">
        <v>558</v>
      </c>
      <c r="B29" s="661" t="s">
        <v>1833</v>
      </c>
      <c r="C29" s="661" t="s">
        <v>1048</v>
      </c>
      <c r="D29" s="661" t="s">
        <v>1049</v>
      </c>
      <c r="E29" s="661" t="s">
        <v>1050</v>
      </c>
      <c r="F29" s="664"/>
      <c r="G29" s="664"/>
      <c r="H29" s="677">
        <v>0</v>
      </c>
      <c r="I29" s="664">
        <v>19</v>
      </c>
      <c r="J29" s="664">
        <v>829.35852280795802</v>
      </c>
      <c r="K29" s="677">
        <v>1</v>
      </c>
      <c r="L29" s="664">
        <v>19</v>
      </c>
      <c r="M29" s="665">
        <v>829.35852280795802</v>
      </c>
    </row>
    <row r="30" spans="1:13" ht="14.4" customHeight="1" x14ac:dyDescent="0.3">
      <c r="A30" s="660" t="s">
        <v>558</v>
      </c>
      <c r="B30" s="661" t="s">
        <v>1833</v>
      </c>
      <c r="C30" s="661" t="s">
        <v>1052</v>
      </c>
      <c r="D30" s="661" t="s">
        <v>1053</v>
      </c>
      <c r="E30" s="661" t="s">
        <v>1054</v>
      </c>
      <c r="F30" s="664"/>
      <c r="G30" s="664"/>
      <c r="H30" s="677">
        <v>0</v>
      </c>
      <c r="I30" s="664">
        <v>2</v>
      </c>
      <c r="J30" s="664">
        <v>105.5</v>
      </c>
      <c r="K30" s="677">
        <v>1</v>
      </c>
      <c r="L30" s="664">
        <v>2</v>
      </c>
      <c r="M30" s="665">
        <v>105.5</v>
      </c>
    </row>
    <row r="31" spans="1:13" ht="14.4" customHeight="1" x14ac:dyDescent="0.3">
      <c r="A31" s="660" t="s">
        <v>558</v>
      </c>
      <c r="B31" s="661" t="s">
        <v>1834</v>
      </c>
      <c r="C31" s="661" t="s">
        <v>1104</v>
      </c>
      <c r="D31" s="661" t="s">
        <v>1105</v>
      </c>
      <c r="E31" s="661" t="s">
        <v>1106</v>
      </c>
      <c r="F31" s="664"/>
      <c r="G31" s="664"/>
      <c r="H31" s="677">
        <v>0</v>
      </c>
      <c r="I31" s="664">
        <v>2</v>
      </c>
      <c r="J31" s="664">
        <v>49.940000000000012</v>
      </c>
      <c r="K31" s="677">
        <v>1</v>
      </c>
      <c r="L31" s="664">
        <v>2</v>
      </c>
      <c r="M31" s="665">
        <v>49.940000000000012</v>
      </c>
    </row>
    <row r="32" spans="1:13" ht="14.4" customHeight="1" x14ac:dyDescent="0.3">
      <c r="A32" s="660" t="s">
        <v>558</v>
      </c>
      <c r="B32" s="661" t="s">
        <v>1835</v>
      </c>
      <c r="C32" s="661" t="s">
        <v>1139</v>
      </c>
      <c r="D32" s="661" t="s">
        <v>1140</v>
      </c>
      <c r="E32" s="661" t="s">
        <v>1141</v>
      </c>
      <c r="F32" s="664"/>
      <c r="G32" s="664"/>
      <c r="H32" s="677">
        <v>0</v>
      </c>
      <c r="I32" s="664">
        <v>6</v>
      </c>
      <c r="J32" s="664">
        <v>238.49961700044821</v>
      </c>
      <c r="K32" s="677">
        <v>1</v>
      </c>
      <c r="L32" s="664">
        <v>6</v>
      </c>
      <c r="M32" s="665">
        <v>238.49961700044821</v>
      </c>
    </row>
    <row r="33" spans="1:13" ht="14.4" customHeight="1" x14ac:dyDescent="0.3">
      <c r="A33" s="660" t="s">
        <v>558</v>
      </c>
      <c r="B33" s="661" t="s">
        <v>1836</v>
      </c>
      <c r="C33" s="661" t="s">
        <v>1093</v>
      </c>
      <c r="D33" s="661" t="s">
        <v>1094</v>
      </c>
      <c r="E33" s="661" t="s">
        <v>1095</v>
      </c>
      <c r="F33" s="664"/>
      <c r="G33" s="664"/>
      <c r="H33" s="677">
        <v>0</v>
      </c>
      <c r="I33" s="664">
        <v>2</v>
      </c>
      <c r="J33" s="664">
        <v>444.42</v>
      </c>
      <c r="K33" s="677">
        <v>1</v>
      </c>
      <c r="L33" s="664">
        <v>2</v>
      </c>
      <c r="M33" s="665">
        <v>444.42</v>
      </c>
    </row>
    <row r="34" spans="1:13" ht="14.4" customHeight="1" x14ac:dyDescent="0.3">
      <c r="A34" s="660" t="s">
        <v>558</v>
      </c>
      <c r="B34" s="661" t="s">
        <v>1837</v>
      </c>
      <c r="C34" s="661" t="s">
        <v>1018</v>
      </c>
      <c r="D34" s="661" t="s">
        <v>1838</v>
      </c>
      <c r="E34" s="661" t="s">
        <v>1020</v>
      </c>
      <c r="F34" s="664"/>
      <c r="G34" s="664"/>
      <c r="H34" s="677">
        <v>0</v>
      </c>
      <c r="I34" s="664">
        <v>4</v>
      </c>
      <c r="J34" s="664">
        <v>289.85884121060576</v>
      </c>
      <c r="K34" s="677">
        <v>1</v>
      </c>
      <c r="L34" s="664">
        <v>4</v>
      </c>
      <c r="M34" s="665">
        <v>289.85884121060576</v>
      </c>
    </row>
    <row r="35" spans="1:13" ht="14.4" customHeight="1" x14ac:dyDescent="0.3">
      <c r="A35" s="660" t="s">
        <v>558</v>
      </c>
      <c r="B35" s="661" t="s">
        <v>1837</v>
      </c>
      <c r="C35" s="661" t="s">
        <v>999</v>
      </c>
      <c r="D35" s="661" t="s">
        <v>1000</v>
      </c>
      <c r="E35" s="661" t="s">
        <v>1001</v>
      </c>
      <c r="F35" s="664"/>
      <c r="G35" s="664"/>
      <c r="H35" s="677">
        <v>0</v>
      </c>
      <c r="I35" s="664">
        <v>4</v>
      </c>
      <c r="J35" s="664">
        <v>31.899872961911356</v>
      </c>
      <c r="K35" s="677">
        <v>1</v>
      </c>
      <c r="L35" s="664">
        <v>4</v>
      </c>
      <c r="M35" s="665">
        <v>31.899872961911356</v>
      </c>
    </row>
    <row r="36" spans="1:13" ht="14.4" customHeight="1" x14ac:dyDescent="0.3">
      <c r="A36" s="660" t="s">
        <v>558</v>
      </c>
      <c r="B36" s="661" t="s">
        <v>1837</v>
      </c>
      <c r="C36" s="661" t="s">
        <v>1002</v>
      </c>
      <c r="D36" s="661" t="s">
        <v>1003</v>
      </c>
      <c r="E36" s="661" t="s">
        <v>1004</v>
      </c>
      <c r="F36" s="664"/>
      <c r="G36" s="664"/>
      <c r="H36" s="677">
        <v>0</v>
      </c>
      <c r="I36" s="664">
        <v>3</v>
      </c>
      <c r="J36" s="664">
        <v>36.239902351574173</v>
      </c>
      <c r="K36" s="677">
        <v>1</v>
      </c>
      <c r="L36" s="664">
        <v>3</v>
      </c>
      <c r="M36" s="665">
        <v>36.239902351574173</v>
      </c>
    </row>
    <row r="37" spans="1:13" ht="14.4" customHeight="1" x14ac:dyDescent="0.3">
      <c r="A37" s="660" t="s">
        <v>558</v>
      </c>
      <c r="B37" s="661" t="s">
        <v>1837</v>
      </c>
      <c r="C37" s="661" t="s">
        <v>1063</v>
      </c>
      <c r="D37" s="661" t="s">
        <v>1839</v>
      </c>
      <c r="E37" s="661" t="s">
        <v>836</v>
      </c>
      <c r="F37" s="664"/>
      <c r="G37" s="664"/>
      <c r="H37" s="677">
        <v>0</v>
      </c>
      <c r="I37" s="664">
        <v>7</v>
      </c>
      <c r="J37" s="664">
        <v>253.81844847158652</v>
      </c>
      <c r="K37" s="677">
        <v>1</v>
      </c>
      <c r="L37" s="664">
        <v>7</v>
      </c>
      <c r="M37" s="665">
        <v>253.81844847158652</v>
      </c>
    </row>
    <row r="38" spans="1:13" ht="14.4" customHeight="1" x14ac:dyDescent="0.3">
      <c r="A38" s="660" t="s">
        <v>558</v>
      </c>
      <c r="B38" s="661" t="s">
        <v>1840</v>
      </c>
      <c r="C38" s="661" t="s">
        <v>1135</v>
      </c>
      <c r="D38" s="661" t="s">
        <v>1841</v>
      </c>
      <c r="E38" s="661" t="s">
        <v>1137</v>
      </c>
      <c r="F38" s="664"/>
      <c r="G38" s="664"/>
      <c r="H38" s="677">
        <v>0</v>
      </c>
      <c r="I38" s="664">
        <v>1</v>
      </c>
      <c r="J38" s="664">
        <v>335.94895995800181</v>
      </c>
      <c r="K38" s="677">
        <v>1</v>
      </c>
      <c r="L38" s="664">
        <v>1</v>
      </c>
      <c r="M38" s="665">
        <v>335.94895995800181</v>
      </c>
    </row>
    <row r="39" spans="1:13" ht="14.4" customHeight="1" x14ac:dyDescent="0.3">
      <c r="A39" s="660" t="s">
        <v>558</v>
      </c>
      <c r="B39" s="661" t="s">
        <v>1842</v>
      </c>
      <c r="C39" s="661" t="s">
        <v>579</v>
      </c>
      <c r="D39" s="661" t="s">
        <v>580</v>
      </c>
      <c r="E39" s="661" t="s">
        <v>581</v>
      </c>
      <c r="F39" s="664">
        <v>3</v>
      </c>
      <c r="G39" s="664">
        <v>302.18885079584538</v>
      </c>
      <c r="H39" s="677">
        <v>1</v>
      </c>
      <c r="I39" s="664"/>
      <c r="J39" s="664"/>
      <c r="K39" s="677">
        <v>0</v>
      </c>
      <c r="L39" s="664">
        <v>3</v>
      </c>
      <c r="M39" s="665">
        <v>302.18885079584538</v>
      </c>
    </row>
    <row r="40" spans="1:13" ht="14.4" customHeight="1" x14ac:dyDescent="0.3">
      <c r="A40" s="660" t="s">
        <v>558</v>
      </c>
      <c r="B40" s="661" t="s">
        <v>1842</v>
      </c>
      <c r="C40" s="661" t="s">
        <v>1123</v>
      </c>
      <c r="D40" s="661" t="s">
        <v>1124</v>
      </c>
      <c r="E40" s="661" t="s">
        <v>1125</v>
      </c>
      <c r="F40" s="664"/>
      <c r="G40" s="664"/>
      <c r="H40" s="677">
        <v>0</v>
      </c>
      <c r="I40" s="664">
        <v>5</v>
      </c>
      <c r="J40" s="664">
        <v>412.15000000000003</v>
      </c>
      <c r="K40" s="677">
        <v>1</v>
      </c>
      <c r="L40" s="664">
        <v>5</v>
      </c>
      <c r="M40" s="665">
        <v>412.15000000000003</v>
      </c>
    </row>
    <row r="41" spans="1:13" ht="14.4" customHeight="1" x14ac:dyDescent="0.3">
      <c r="A41" s="660" t="s">
        <v>558</v>
      </c>
      <c r="B41" s="661" t="s">
        <v>1843</v>
      </c>
      <c r="C41" s="661" t="s">
        <v>1175</v>
      </c>
      <c r="D41" s="661" t="s">
        <v>1176</v>
      </c>
      <c r="E41" s="661" t="s">
        <v>796</v>
      </c>
      <c r="F41" s="664"/>
      <c r="G41" s="664"/>
      <c r="H41" s="677">
        <v>0</v>
      </c>
      <c r="I41" s="664">
        <v>2</v>
      </c>
      <c r="J41" s="664">
        <v>176.86</v>
      </c>
      <c r="K41" s="677">
        <v>1</v>
      </c>
      <c r="L41" s="664">
        <v>2</v>
      </c>
      <c r="M41" s="665">
        <v>176.86</v>
      </c>
    </row>
    <row r="42" spans="1:13" ht="14.4" customHeight="1" x14ac:dyDescent="0.3">
      <c r="A42" s="660" t="s">
        <v>558</v>
      </c>
      <c r="B42" s="661" t="s">
        <v>1843</v>
      </c>
      <c r="C42" s="661" t="s">
        <v>1085</v>
      </c>
      <c r="D42" s="661" t="s">
        <v>1844</v>
      </c>
      <c r="E42" s="661" t="s">
        <v>796</v>
      </c>
      <c r="F42" s="664"/>
      <c r="G42" s="664"/>
      <c r="H42" s="677">
        <v>0</v>
      </c>
      <c r="I42" s="664">
        <v>6</v>
      </c>
      <c r="J42" s="664">
        <v>562.49876395764363</v>
      </c>
      <c r="K42" s="677">
        <v>1</v>
      </c>
      <c r="L42" s="664">
        <v>6</v>
      </c>
      <c r="M42" s="665">
        <v>562.49876395764363</v>
      </c>
    </row>
    <row r="43" spans="1:13" ht="14.4" customHeight="1" x14ac:dyDescent="0.3">
      <c r="A43" s="660" t="s">
        <v>558</v>
      </c>
      <c r="B43" s="661" t="s">
        <v>1843</v>
      </c>
      <c r="C43" s="661" t="s">
        <v>1131</v>
      </c>
      <c r="D43" s="661" t="s">
        <v>1845</v>
      </c>
      <c r="E43" s="661" t="s">
        <v>1149</v>
      </c>
      <c r="F43" s="664"/>
      <c r="G43" s="664"/>
      <c r="H43" s="677">
        <v>0</v>
      </c>
      <c r="I43" s="664">
        <v>11</v>
      </c>
      <c r="J43" s="664">
        <v>1594.389392611467</v>
      </c>
      <c r="K43" s="677">
        <v>1</v>
      </c>
      <c r="L43" s="664">
        <v>11</v>
      </c>
      <c r="M43" s="665">
        <v>1594.389392611467</v>
      </c>
    </row>
    <row r="44" spans="1:13" ht="14.4" customHeight="1" x14ac:dyDescent="0.3">
      <c r="A44" s="660" t="s">
        <v>558</v>
      </c>
      <c r="B44" s="661" t="s">
        <v>1846</v>
      </c>
      <c r="C44" s="661" t="s">
        <v>1147</v>
      </c>
      <c r="D44" s="661" t="s">
        <v>1148</v>
      </c>
      <c r="E44" s="661" t="s">
        <v>1149</v>
      </c>
      <c r="F44" s="664"/>
      <c r="G44" s="664"/>
      <c r="H44" s="677">
        <v>0</v>
      </c>
      <c r="I44" s="664">
        <v>2</v>
      </c>
      <c r="J44" s="664">
        <v>420.93999999999994</v>
      </c>
      <c r="K44" s="677">
        <v>1</v>
      </c>
      <c r="L44" s="664">
        <v>2</v>
      </c>
      <c r="M44" s="665">
        <v>420.93999999999994</v>
      </c>
    </row>
    <row r="45" spans="1:13" ht="14.4" customHeight="1" x14ac:dyDescent="0.3">
      <c r="A45" s="660" t="s">
        <v>558</v>
      </c>
      <c r="B45" s="661" t="s">
        <v>1847</v>
      </c>
      <c r="C45" s="661" t="s">
        <v>1014</v>
      </c>
      <c r="D45" s="661" t="s">
        <v>1015</v>
      </c>
      <c r="E45" s="661" t="s">
        <v>1848</v>
      </c>
      <c r="F45" s="664"/>
      <c r="G45" s="664"/>
      <c r="H45" s="677">
        <v>0</v>
      </c>
      <c r="I45" s="664">
        <v>3</v>
      </c>
      <c r="J45" s="664">
        <v>353.5600021856236</v>
      </c>
      <c r="K45" s="677">
        <v>1</v>
      </c>
      <c r="L45" s="664">
        <v>3</v>
      </c>
      <c r="M45" s="665">
        <v>353.5600021856236</v>
      </c>
    </row>
    <row r="46" spans="1:13" ht="14.4" customHeight="1" x14ac:dyDescent="0.3">
      <c r="A46" s="660" t="s">
        <v>558</v>
      </c>
      <c r="B46" s="661" t="s">
        <v>1849</v>
      </c>
      <c r="C46" s="661" t="s">
        <v>1044</v>
      </c>
      <c r="D46" s="661" t="s">
        <v>1045</v>
      </c>
      <c r="E46" s="661" t="s">
        <v>1850</v>
      </c>
      <c r="F46" s="664"/>
      <c r="G46" s="664"/>
      <c r="H46" s="677">
        <v>0</v>
      </c>
      <c r="I46" s="664">
        <v>1</v>
      </c>
      <c r="J46" s="664">
        <v>46.899999999999991</v>
      </c>
      <c r="K46" s="677">
        <v>1</v>
      </c>
      <c r="L46" s="664">
        <v>1</v>
      </c>
      <c r="M46" s="665">
        <v>46.899999999999991</v>
      </c>
    </row>
    <row r="47" spans="1:13" ht="14.4" customHeight="1" x14ac:dyDescent="0.3">
      <c r="A47" s="660" t="s">
        <v>558</v>
      </c>
      <c r="B47" s="661" t="s">
        <v>1851</v>
      </c>
      <c r="C47" s="661" t="s">
        <v>1127</v>
      </c>
      <c r="D47" s="661" t="s">
        <v>1852</v>
      </c>
      <c r="E47" s="661" t="s">
        <v>1853</v>
      </c>
      <c r="F47" s="664"/>
      <c r="G47" s="664"/>
      <c r="H47" s="677">
        <v>0</v>
      </c>
      <c r="I47" s="664">
        <v>1</v>
      </c>
      <c r="J47" s="664">
        <v>64.48</v>
      </c>
      <c r="K47" s="677">
        <v>1</v>
      </c>
      <c r="L47" s="664">
        <v>1</v>
      </c>
      <c r="M47" s="665">
        <v>64.48</v>
      </c>
    </row>
    <row r="48" spans="1:13" ht="14.4" customHeight="1" x14ac:dyDescent="0.3">
      <c r="A48" s="660" t="s">
        <v>558</v>
      </c>
      <c r="B48" s="661" t="s">
        <v>1854</v>
      </c>
      <c r="C48" s="661" t="s">
        <v>576</v>
      </c>
      <c r="D48" s="661" t="s">
        <v>1855</v>
      </c>
      <c r="E48" s="661" t="s">
        <v>578</v>
      </c>
      <c r="F48" s="664">
        <v>1.2</v>
      </c>
      <c r="G48" s="664">
        <v>664.78800000000012</v>
      </c>
      <c r="H48" s="677">
        <v>1</v>
      </c>
      <c r="I48" s="664"/>
      <c r="J48" s="664"/>
      <c r="K48" s="677">
        <v>0</v>
      </c>
      <c r="L48" s="664">
        <v>1.2</v>
      </c>
      <c r="M48" s="665">
        <v>664.78800000000012</v>
      </c>
    </row>
    <row r="49" spans="1:13" ht="14.4" customHeight="1" x14ac:dyDescent="0.3">
      <c r="A49" s="660" t="s">
        <v>558</v>
      </c>
      <c r="B49" s="661" t="s">
        <v>1854</v>
      </c>
      <c r="C49" s="661" t="s">
        <v>1238</v>
      </c>
      <c r="D49" s="661" t="s">
        <v>1220</v>
      </c>
      <c r="E49" s="661" t="s">
        <v>1239</v>
      </c>
      <c r="F49" s="664"/>
      <c r="G49" s="664"/>
      <c r="H49" s="677">
        <v>0</v>
      </c>
      <c r="I49" s="664">
        <v>116</v>
      </c>
      <c r="J49" s="664">
        <v>2609.4715929318927</v>
      </c>
      <c r="K49" s="677">
        <v>1</v>
      </c>
      <c r="L49" s="664">
        <v>116</v>
      </c>
      <c r="M49" s="665">
        <v>2609.4715929318927</v>
      </c>
    </row>
    <row r="50" spans="1:13" ht="14.4" customHeight="1" x14ac:dyDescent="0.3">
      <c r="A50" s="660" t="s">
        <v>558</v>
      </c>
      <c r="B50" s="661" t="s">
        <v>1856</v>
      </c>
      <c r="C50" s="661" t="s">
        <v>1234</v>
      </c>
      <c r="D50" s="661" t="s">
        <v>1857</v>
      </c>
      <c r="E50" s="661" t="s">
        <v>1858</v>
      </c>
      <c r="F50" s="664"/>
      <c r="G50" s="664"/>
      <c r="H50" s="677">
        <v>0</v>
      </c>
      <c r="I50" s="664">
        <v>6</v>
      </c>
      <c r="J50" s="664">
        <v>667.83664988971839</v>
      </c>
      <c r="K50" s="677">
        <v>1</v>
      </c>
      <c r="L50" s="664">
        <v>6</v>
      </c>
      <c r="M50" s="665">
        <v>667.83664988971839</v>
      </c>
    </row>
    <row r="51" spans="1:13" ht="14.4" customHeight="1" x14ac:dyDescent="0.3">
      <c r="A51" s="660" t="s">
        <v>558</v>
      </c>
      <c r="B51" s="661" t="s">
        <v>1856</v>
      </c>
      <c r="C51" s="661" t="s">
        <v>1245</v>
      </c>
      <c r="D51" s="661" t="s">
        <v>1859</v>
      </c>
      <c r="E51" s="661" t="s">
        <v>1860</v>
      </c>
      <c r="F51" s="664"/>
      <c r="G51" s="664"/>
      <c r="H51" s="677">
        <v>0</v>
      </c>
      <c r="I51" s="664">
        <v>8</v>
      </c>
      <c r="J51" s="664">
        <v>612.05999999999995</v>
      </c>
      <c r="K51" s="677">
        <v>1</v>
      </c>
      <c r="L51" s="664">
        <v>8</v>
      </c>
      <c r="M51" s="665">
        <v>612.05999999999995</v>
      </c>
    </row>
    <row r="52" spans="1:13" ht="14.4" customHeight="1" x14ac:dyDescent="0.3">
      <c r="A52" s="660" t="s">
        <v>558</v>
      </c>
      <c r="B52" s="661" t="s">
        <v>1861</v>
      </c>
      <c r="C52" s="661" t="s">
        <v>1241</v>
      </c>
      <c r="D52" s="661" t="s">
        <v>1242</v>
      </c>
      <c r="E52" s="661" t="s">
        <v>1862</v>
      </c>
      <c r="F52" s="664"/>
      <c r="G52" s="664"/>
      <c r="H52" s="677">
        <v>0</v>
      </c>
      <c r="I52" s="664">
        <v>20.399999999999995</v>
      </c>
      <c r="J52" s="664">
        <v>2950.7556177217957</v>
      </c>
      <c r="K52" s="677">
        <v>1</v>
      </c>
      <c r="L52" s="664">
        <v>20.399999999999995</v>
      </c>
      <c r="M52" s="665">
        <v>2950.7556177217957</v>
      </c>
    </row>
    <row r="53" spans="1:13" ht="14.4" customHeight="1" x14ac:dyDescent="0.3">
      <c r="A53" s="660" t="s">
        <v>558</v>
      </c>
      <c r="B53" s="661" t="s">
        <v>1863</v>
      </c>
      <c r="C53" s="661" t="s">
        <v>1252</v>
      </c>
      <c r="D53" s="661" t="s">
        <v>1253</v>
      </c>
      <c r="E53" s="661" t="s">
        <v>1254</v>
      </c>
      <c r="F53" s="664">
        <v>2.2000000000000002</v>
      </c>
      <c r="G53" s="664">
        <v>620.98399999999992</v>
      </c>
      <c r="H53" s="677">
        <v>0.75752481842113606</v>
      </c>
      <c r="I53" s="664">
        <v>1.2999999999999998</v>
      </c>
      <c r="J53" s="664">
        <v>198.76999999999998</v>
      </c>
      <c r="K53" s="677">
        <v>0.24247518157886391</v>
      </c>
      <c r="L53" s="664">
        <v>3.5</v>
      </c>
      <c r="M53" s="665">
        <v>819.75399999999991</v>
      </c>
    </row>
    <row r="54" spans="1:13" ht="14.4" customHeight="1" x14ac:dyDescent="0.3">
      <c r="A54" s="660" t="s">
        <v>558</v>
      </c>
      <c r="B54" s="661" t="s">
        <v>1863</v>
      </c>
      <c r="C54" s="661" t="s">
        <v>1230</v>
      </c>
      <c r="D54" s="661" t="s">
        <v>1231</v>
      </c>
      <c r="E54" s="661" t="s">
        <v>1232</v>
      </c>
      <c r="F54" s="664">
        <v>0.6</v>
      </c>
      <c r="G54" s="664">
        <v>297</v>
      </c>
      <c r="H54" s="677">
        <v>1</v>
      </c>
      <c r="I54" s="664"/>
      <c r="J54" s="664"/>
      <c r="K54" s="677">
        <v>0</v>
      </c>
      <c r="L54" s="664">
        <v>0.6</v>
      </c>
      <c r="M54" s="665">
        <v>297</v>
      </c>
    </row>
    <row r="55" spans="1:13" ht="14.4" customHeight="1" x14ac:dyDescent="0.3">
      <c r="A55" s="660" t="s">
        <v>558</v>
      </c>
      <c r="B55" s="661" t="s">
        <v>1863</v>
      </c>
      <c r="C55" s="661" t="s">
        <v>1223</v>
      </c>
      <c r="D55" s="661" t="s">
        <v>1224</v>
      </c>
      <c r="E55" s="661" t="s">
        <v>1864</v>
      </c>
      <c r="F55" s="664"/>
      <c r="G55" s="664"/>
      <c r="H55" s="677">
        <v>0</v>
      </c>
      <c r="I55" s="664">
        <v>2</v>
      </c>
      <c r="J55" s="664">
        <v>114.74</v>
      </c>
      <c r="K55" s="677">
        <v>1</v>
      </c>
      <c r="L55" s="664">
        <v>2</v>
      </c>
      <c r="M55" s="665">
        <v>114.74</v>
      </c>
    </row>
    <row r="56" spans="1:13" ht="14.4" customHeight="1" x14ac:dyDescent="0.3">
      <c r="A56" s="660" t="s">
        <v>558</v>
      </c>
      <c r="B56" s="661" t="s">
        <v>1863</v>
      </c>
      <c r="C56" s="661" t="s">
        <v>1207</v>
      </c>
      <c r="D56" s="661" t="s">
        <v>1865</v>
      </c>
      <c r="E56" s="661" t="s">
        <v>1866</v>
      </c>
      <c r="F56" s="664">
        <v>5</v>
      </c>
      <c r="G56" s="664">
        <v>357.29999999999995</v>
      </c>
      <c r="H56" s="677">
        <v>1</v>
      </c>
      <c r="I56" s="664"/>
      <c r="J56" s="664"/>
      <c r="K56" s="677">
        <v>0</v>
      </c>
      <c r="L56" s="664">
        <v>5</v>
      </c>
      <c r="M56" s="665">
        <v>357.29999999999995</v>
      </c>
    </row>
    <row r="57" spans="1:13" ht="14.4" customHeight="1" x14ac:dyDescent="0.3">
      <c r="A57" s="660" t="s">
        <v>558</v>
      </c>
      <c r="B57" s="661" t="s">
        <v>1867</v>
      </c>
      <c r="C57" s="661" t="s">
        <v>1255</v>
      </c>
      <c r="D57" s="661" t="s">
        <v>1256</v>
      </c>
      <c r="E57" s="661" t="s">
        <v>1257</v>
      </c>
      <c r="F57" s="664"/>
      <c r="G57" s="664"/>
      <c r="H57" s="677">
        <v>0</v>
      </c>
      <c r="I57" s="664">
        <v>20</v>
      </c>
      <c r="J57" s="664">
        <v>693.2</v>
      </c>
      <c r="K57" s="677">
        <v>1</v>
      </c>
      <c r="L57" s="664">
        <v>20</v>
      </c>
      <c r="M57" s="665">
        <v>693.2</v>
      </c>
    </row>
    <row r="58" spans="1:13" ht="14.4" customHeight="1" x14ac:dyDescent="0.3">
      <c r="A58" s="660" t="s">
        <v>558</v>
      </c>
      <c r="B58" s="661" t="s">
        <v>1867</v>
      </c>
      <c r="C58" s="661" t="s">
        <v>1258</v>
      </c>
      <c r="D58" s="661" t="s">
        <v>1259</v>
      </c>
      <c r="E58" s="661" t="s">
        <v>1260</v>
      </c>
      <c r="F58" s="664"/>
      <c r="G58" s="664"/>
      <c r="H58" s="677">
        <v>0</v>
      </c>
      <c r="I58" s="664">
        <v>10</v>
      </c>
      <c r="J58" s="664">
        <v>551.87</v>
      </c>
      <c r="K58" s="677">
        <v>1</v>
      </c>
      <c r="L58" s="664">
        <v>10</v>
      </c>
      <c r="M58" s="665">
        <v>551.87</v>
      </c>
    </row>
    <row r="59" spans="1:13" ht="14.4" customHeight="1" x14ac:dyDescent="0.3">
      <c r="A59" s="660" t="s">
        <v>558</v>
      </c>
      <c r="B59" s="661" t="s">
        <v>1868</v>
      </c>
      <c r="C59" s="661" t="s">
        <v>1143</v>
      </c>
      <c r="D59" s="661" t="s">
        <v>1144</v>
      </c>
      <c r="E59" s="661" t="s">
        <v>1145</v>
      </c>
      <c r="F59" s="664"/>
      <c r="G59" s="664"/>
      <c r="H59" s="677">
        <v>0</v>
      </c>
      <c r="I59" s="664">
        <v>4</v>
      </c>
      <c r="J59" s="664">
        <v>1019.08</v>
      </c>
      <c r="K59" s="677">
        <v>1</v>
      </c>
      <c r="L59" s="664">
        <v>4</v>
      </c>
      <c r="M59" s="665">
        <v>1019.08</v>
      </c>
    </row>
    <row r="60" spans="1:13" ht="14.4" customHeight="1" x14ac:dyDescent="0.3">
      <c r="A60" s="660" t="s">
        <v>558</v>
      </c>
      <c r="B60" s="661" t="s">
        <v>1869</v>
      </c>
      <c r="C60" s="661" t="s">
        <v>1081</v>
      </c>
      <c r="D60" s="661" t="s">
        <v>1870</v>
      </c>
      <c r="E60" s="661" t="s">
        <v>1871</v>
      </c>
      <c r="F60" s="664"/>
      <c r="G60" s="664"/>
      <c r="H60" s="677">
        <v>0</v>
      </c>
      <c r="I60" s="664">
        <v>4</v>
      </c>
      <c r="J60" s="664">
        <v>188.35989417901092</v>
      </c>
      <c r="K60" s="677">
        <v>1</v>
      </c>
      <c r="L60" s="664">
        <v>4</v>
      </c>
      <c r="M60" s="665">
        <v>188.35989417901092</v>
      </c>
    </row>
    <row r="61" spans="1:13" ht="14.4" customHeight="1" x14ac:dyDescent="0.3">
      <c r="A61" s="660" t="s">
        <v>558</v>
      </c>
      <c r="B61" s="661" t="s">
        <v>1872</v>
      </c>
      <c r="C61" s="661" t="s">
        <v>1160</v>
      </c>
      <c r="D61" s="661" t="s">
        <v>1161</v>
      </c>
      <c r="E61" s="661" t="s">
        <v>1873</v>
      </c>
      <c r="F61" s="664"/>
      <c r="G61" s="664"/>
      <c r="H61" s="677">
        <v>0</v>
      </c>
      <c r="I61" s="664">
        <v>1</v>
      </c>
      <c r="J61" s="664">
        <v>89.170063325625065</v>
      </c>
      <c r="K61" s="677">
        <v>1</v>
      </c>
      <c r="L61" s="664">
        <v>1</v>
      </c>
      <c r="M61" s="665">
        <v>89.170063325625065</v>
      </c>
    </row>
    <row r="62" spans="1:13" ht="14.4" customHeight="1" x14ac:dyDescent="0.3">
      <c r="A62" s="660" t="s">
        <v>558</v>
      </c>
      <c r="B62" s="661" t="s">
        <v>1872</v>
      </c>
      <c r="C62" s="661" t="s">
        <v>1026</v>
      </c>
      <c r="D62" s="661" t="s">
        <v>1027</v>
      </c>
      <c r="E62" s="661" t="s">
        <v>1028</v>
      </c>
      <c r="F62" s="664"/>
      <c r="G62" s="664"/>
      <c r="H62" s="677">
        <v>0</v>
      </c>
      <c r="I62" s="664">
        <v>10</v>
      </c>
      <c r="J62" s="664">
        <v>1401.3386748450216</v>
      </c>
      <c r="K62" s="677">
        <v>1</v>
      </c>
      <c r="L62" s="664">
        <v>10</v>
      </c>
      <c r="M62" s="665">
        <v>1401.3386748450216</v>
      </c>
    </row>
    <row r="63" spans="1:13" ht="14.4" customHeight="1" x14ac:dyDescent="0.3">
      <c r="A63" s="660" t="s">
        <v>558</v>
      </c>
      <c r="B63" s="661" t="s">
        <v>1874</v>
      </c>
      <c r="C63" s="661" t="s">
        <v>1108</v>
      </c>
      <c r="D63" s="661" t="s">
        <v>1109</v>
      </c>
      <c r="E63" s="661" t="s">
        <v>1875</v>
      </c>
      <c r="F63" s="664"/>
      <c r="G63" s="664"/>
      <c r="H63" s="677">
        <v>0</v>
      </c>
      <c r="I63" s="664">
        <v>4</v>
      </c>
      <c r="J63" s="664">
        <v>198.23886042768453</v>
      </c>
      <c r="K63" s="677">
        <v>1</v>
      </c>
      <c r="L63" s="664">
        <v>4</v>
      </c>
      <c r="M63" s="665">
        <v>198.23886042768453</v>
      </c>
    </row>
    <row r="64" spans="1:13" ht="14.4" customHeight="1" x14ac:dyDescent="0.3">
      <c r="A64" s="660" t="s">
        <v>558</v>
      </c>
      <c r="B64" s="661" t="s">
        <v>1876</v>
      </c>
      <c r="C64" s="661" t="s">
        <v>1116</v>
      </c>
      <c r="D64" s="661" t="s">
        <v>1117</v>
      </c>
      <c r="E64" s="661" t="s">
        <v>1877</v>
      </c>
      <c r="F64" s="664"/>
      <c r="G64" s="664"/>
      <c r="H64" s="677">
        <v>0</v>
      </c>
      <c r="I64" s="664">
        <v>2</v>
      </c>
      <c r="J64" s="664">
        <v>105.82026438931878</v>
      </c>
      <c r="K64" s="677">
        <v>1</v>
      </c>
      <c r="L64" s="664">
        <v>2</v>
      </c>
      <c r="M64" s="665">
        <v>105.82026438931878</v>
      </c>
    </row>
    <row r="65" spans="1:13" ht="14.4" customHeight="1" x14ac:dyDescent="0.3">
      <c r="A65" s="660" t="s">
        <v>558</v>
      </c>
      <c r="B65" s="661" t="s">
        <v>1876</v>
      </c>
      <c r="C65" s="661" t="s">
        <v>1067</v>
      </c>
      <c r="D65" s="661" t="s">
        <v>1068</v>
      </c>
      <c r="E65" s="661" t="s">
        <v>1069</v>
      </c>
      <c r="F65" s="664"/>
      <c r="G65" s="664"/>
      <c r="H65" s="677">
        <v>0</v>
      </c>
      <c r="I65" s="664">
        <v>8</v>
      </c>
      <c r="J65" s="664">
        <v>644.88</v>
      </c>
      <c r="K65" s="677">
        <v>1</v>
      </c>
      <c r="L65" s="664">
        <v>8</v>
      </c>
      <c r="M65" s="665">
        <v>644.88</v>
      </c>
    </row>
    <row r="66" spans="1:13" ht="14.4" customHeight="1" x14ac:dyDescent="0.3">
      <c r="A66" s="660" t="s">
        <v>558</v>
      </c>
      <c r="B66" s="661" t="s">
        <v>1878</v>
      </c>
      <c r="C66" s="661" t="s">
        <v>1006</v>
      </c>
      <c r="D66" s="661" t="s">
        <v>1007</v>
      </c>
      <c r="E66" s="661" t="s">
        <v>1879</v>
      </c>
      <c r="F66" s="664"/>
      <c r="G66" s="664"/>
      <c r="H66" s="677">
        <v>0</v>
      </c>
      <c r="I66" s="664">
        <v>1</v>
      </c>
      <c r="J66" s="664">
        <v>198.89009276265651</v>
      </c>
      <c r="K66" s="677">
        <v>1</v>
      </c>
      <c r="L66" s="664">
        <v>1</v>
      </c>
      <c r="M66" s="665">
        <v>198.89009276265651</v>
      </c>
    </row>
    <row r="67" spans="1:13" ht="14.4" customHeight="1" x14ac:dyDescent="0.3">
      <c r="A67" s="660" t="s">
        <v>558</v>
      </c>
      <c r="B67" s="661" t="s">
        <v>1880</v>
      </c>
      <c r="C67" s="661" t="s">
        <v>1189</v>
      </c>
      <c r="D67" s="661" t="s">
        <v>1190</v>
      </c>
      <c r="E67" s="661" t="s">
        <v>1191</v>
      </c>
      <c r="F67" s="664"/>
      <c r="G67" s="664"/>
      <c r="H67" s="677">
        <v>0</v>
      </c>
      <c r="I67" s="664">
        <v>4</v>
      </c>
      <c r="J67" s="664">
        <v>811.44</v>
      </c>
      <c r="K67" s="677">
        <v>1</v>
      </c>
      <c r="L67" s="664">
        <v>4</v>
      </c>
      <c r="M67" s="665">
        <v>811.44</v>
      </c>
    </row>
    <row r="68" spans="1:13" ht="14.4" customHeight="1" x14ac:dyDescent="0.3">
      <c r="A68" s="660" t="s">
        <v>558</v>
      </c>
      <c r="B68" s="661" t="s">
        <v>1880</v>
      </c>
      <c r="C68" s="661" t="s">
        <v>1196</v>
      </c>
      <c r="D68" s="661" t="s">
        <v>1197</v>
      </c>
      <c r="E68" s="661" t="s">
        <v>1198</v>
      </c>
      <c r="F68" s="664"/>
      <c r="G68" s="664"/>
      <c r="H68" s="677">
        <v>0</v>
      </c>
      <c r="I68" s="664">
        <v>10</v>
      </c>
      <c r="J68" s="664">
        <v>492.50164528629642</v>
      </c>
      <c r="K68" s="677">
        <v>1</v>
      </c>
      <c r="L68" s="664">
        <v>10</v>
      </c>
      <c r="M68" s="665">
        <v>492.50164528629642</v>
      </c>
    </row>
    <row r="69" spans="1:13" ht="14.4" customHeight="1" x14ac:dyDescent="0.3">
      <c r="A69" s="660" t="s">
        <v>558</v>
      </c>
      <c r="B69" s="661" t="s">
        <v>1880</v>
      </c>
      <c r="C69" s="661" t="s">
        <v>1200</v>
      </c>
      <c r="D69" s="661" t="s">
        <v>1201</v>
      </c>
      <c r="E69" s="661" t="s">
        <v>1194</v>
      </c>
      <c r="F69" s="664"/>
      <c r="G69" s="664"/>
      <c r="H69" s="677">
        <v>0</v>
      </c>
      <c r="I69" s="664">
        <v>1</v>
      </c>
      <c r="J69" s="664">
        <v>116.24999999999997</v>
      </c>
      <c r="K69" s="677">
        <v>1</v>
      </c>
      <c r="L69" s="664">
        <v>1</v>
      </c>
      <c r="M69" s="665">
        <v>116.24999999999997</v>
      </c>
    </row>
    <row r="70" spans="1:13" ht="14.4" customHeight="1" x14ac:dyDescent="0.3">
      <c r="A70" s="660" t="s">
        <v>558</v>
      </c>
      <c r="B70" s="661" t="s">
        <v>1880</v>
      </c>
      <c r="C70" s="661" t="s">
        <v>1192</v>
      </c>
      <c r="D70" s="661" t="s">
        <v>1193</v>
      </c>
      <c r="E70" s="661" t="s">
        <v>1194</v>
      </c>
      <c r="F70" s="664"/>
      <c r="G70" s="664"/>
      <c r="H70" s="677">
        <v>0</v>
      </c>
      <c r="I70" s="664">
        <v>2</v>
      </c>
      <c r="J70" s="664">
        <v>232.49999999999994</v>
      </c>
      <c r="K70" s="677">
        <v>1</v>
      </c>
      <c r="L70" s="664">
        <v>2</v>
      </c>
      <c r="M70" s="665">
        <v>232.49999999999994</v>
      </c>
    </row>
    <row r="71" spans="1:13" ht="14.4" customHeight="1" x14ac:dyDescent="0.3">
      <c r="A71" s="660" t="s">
        <v>558</v>
      </c>
      <c r="B71" s="661" t="s">
        <v>1880</v>
      </c>
      <c r="C71" s="661" t="s">
        <v>1202</v>
      </c>
      <c r="D71" s="661" t="s">
        <v>1203</v>
      </c>
      <c r="E71" s="661" t="s">
        <v>1204</v>
      </c>
      <c r="F71" s="664"/>
      <c r="G71" s="664"/>
      <c r="H71" s="677">
        <v>0</v>
      </c>
      <c r="I71" s="664">
        <v>10</v>
      </c>
      <c r="J71" s="664">
        <v>1912.1999999999998</v>
      </c>
      <c r="K71" s="677">
        <v>1</v>
      </c>
      <c r="L71" s="664">
        <v>10</v>
      </c>
      <c r="M71" s="665">
        <v>1912.1999999999998</v>
      </c>
    </row>
    <row r="72" spans="1:13" ht="14.4" customHeight="1" x14ac:dyDescent="0.3">
      <c r="A72" s="660" t="s">
        <v>563</v>
      </c>
      <c r="B72" s="661" t="s">
        <v>1872</v>
      </c>
      <c r="C72" s="661" t="s">
        <v>1026</v>
      </c>
      <c r="D72" s="661" t="s">
        <v>1027</v>
      </c>
      <c r="E72" s="661" t="s">
        <v>1028</v>
      </c>
      <c r="F72" s="664"/>
      <c r="G72" s="664"/>
      <c r="H72" s="677">
        <v>0</v>
      </c>
      <c r="I72" s="664">
        <v>2</v>
      </c>
      <c r="J72" s="664">
        <v>276.49999688294781</v>
      </c>
      <c r="K72" s="677">
        <v>1</v>
      </c>
      <c r="L72" s="664">
        <v>2</v>
      </c>
      <c r="M72" s="665">
        <v>276.49999688294781</v>
      </c>
    </row>
    <row r="73" spans="1:13" ht="14.4" customHeight="1" x14ac:dyDescent="0.3">
      <c r="A73" s="660" t="s">
        <v>566</v>
      </c>
      <c r="B73" s="661" t="s">
        <v>1811</v>
      </c>
      <c r="C73" s="661" t="s">
        <v>1542</v>
      </c>
      <c r="D73" s="661" t="s">
        <v>1543</v>
      </c>
      <c r="E73" s="661" t="s">
        <v>1544</v>
      </c>
      <c r="F73" s="664"/>
      <c r="G73" s="664"/>
      <c r="H73" s="677">
        <v>0</v>
      </c>
      <c r="I73" s="664">
        <v>225</v>
      </c>
      <c r="J73" s="664">
        <v>15273.241053257756</v>
      </c>
      <c r="K73" s="677">
        <v>1</v>
      </c>
      <c r="L73" s="664">
        <v>225</v>
      </c>
      <c r="M73" s="665">
        <v>15273.241053257756</v>
      </c>
    </row>
    <row r="74" spans="1:13" ht="14.4" customHeight="1" x14ac:dyDescent="0.3">
      <c r="A74" s="660" t="s">
        <v>566</v>
      </c>
      <c r="B74" s="661" t="s">
        <v>1881</v>
      </c>
      <c r="C74" s="661" t="s">
        <v>1552</v>
      </c>
      <c r="D74" s="661" t="s">
        <v>1553</v>
      </c>
      <c r="E74" s="661" t="s">
        <v>1554</v>
      </c>
      <c r="F74" s="664"/>
      <c r="G74" s="664"/>
      <c r="H74" s="677">
        <v>0</v>
      </c>
      <c r="I74" s="664">
        <v>2</v>
      </c>
      <c r="J74" s="664">
        <v>727.9561808087044</v>
      </c>
      <c r="K74" s="677">
        <v>1</v>
      </c>
      <c r="L74" s="664">
        <v>2</v>
      </c>
      <c r="M74" s="665">
        <v>727.9561808087044</v>
      </c>
    </row>
    <row r="75" spans="1:13" ht="14.4" customHeight="1" x14ac:dyDescent="0.3">
      <c r="A75" s="660" t="s">
        <v>566</v>
      </c>
      <c r="B75" s="661" t="s">
        <v>1881</v>
      </c>
      <c r="C75" s="661" t="s">
        <v>1268</v>
      </c>
      <c r="D75" s="661" t="s">
        <v>1269</v>
      </c>
      <c r="E75" s="661" t="s">
        <v>1270</v>
      </c>
      <c r="F75" s="664">
        <v>2</v>
      </c>
      <c r="G75" s="664">
        <v>775.1580866505152</v>
      </c>
      <c r="H75" s="677">
        <v>1</v>
      </c>
      <c r="I75" s="664"/>
      <c r="J75" s="664"/>
      <c r="K75" s="677">
        <v>0</v>
      </c>
      <c r="L75" s="664">
        <v>2</v>
      </c>
      <c r="M75" s="665">
        <v>775.1580866505152</v>
      </c>
    </row>
    <row r="76" spans="1:13" ht="14.4" customHeight="1" x14ac:dyDescent="0.3">
      <c r="A76" s="660" t="s">
        <v>566</v>
      </c>
      <c r="B76" s="661" t="s">
        <v>1825</v>
      </c>
      <c r="C76" s="661" t="s">
        <v>1151</v>
      </c>
      <c r="D76" s="661" t="s">
        <v>1035</v>
      </c>
      <c r="E76" s="661" t="s">
        <v>1152</v>
      </c>
      <c r="F76" s="664"/>
      <c r="G76" s="664"/>
      <c r="H76" s="677">
        <v>0</v>
      </c>
      <c r="I76" s="664">
        <v>33</v>
      </c>
      <c r="J76" s="664">
        <v>9948.4923237513394</v>
      </c>
      <c r="K76" s="677">
        <v>1</v>
      </c>
      <c r="L76" s="664">
        <v>33</v>
      </c>
      <c r="M76" s="665">
        <v>9948.4923237513394</v>
      </c>
    </row>
    <row r="77" spans="1:13" ht="14.4" customHeight="1" x14ac:dyDescent="0.3">
      <c r="A77" s="660" t="s">
        <v>566</v>
      </c>
      <c r="B77" s="661" t="s">
        <v>1825</v>
      </c>
      <c r="C77" s="661" t="s">
        <v>1154</v>
      </c>
      <c r="D77" s="661" t="s">
        <v>1035</v>
      </c>
      <c r="E77" s="661" t="s">
        <v>1155</v>
      </c>
      <c r="F77" s="664"/>
      <c r="G77" s="664"/>
      <c r="H77" s="677">
        <v>0</v>
      </c>
      <c r="I77" s="664">
        <v>12</v>
      </c>
      <c r="J77" s="664">
        <v>4907.396700104975</v>
      </c>
      <c r="K77" s="677">
        <v>1</v>
      </c>
      <c r="L77" s="664">
        <v>12</v>
      </c>
      <c r="M77" s="665">
        <v>4907.396700104975</v>
      </c>
    </row>
    <row r="78" spans="1:13" ht="14.4" customHeight="1" x14ac:dyDescent="0.3">
      <c r="A78" s="660" t="s">
        <v>566</v>
      </c>
      <c r="B78" s="661" t="s">
        <v>1825</v>
      </c>
      <c r="C78" s="661" t="s">
        <v>1034</v>
      </c>
      <c r="D78" s="661" t="s">
        <v>1035</v>
      </c>
      <c r="E78" s="661" t="s">
        <v>1036</v>
      </c>
      <c r="F78" s="664"/>
      <c r="G78" s="664"/>
      <c r="H78" s="677">
        <v>0</v>
      </c>
      <c r="I78" s="664">
        <v>3</v>
      </c>
      <c r="J78" s="664">
        <v>1891.9829999999997</v>
      </c>
      <c r="K78" s="677">
        <v>1</v>
      </c>
      <c r="L78" s="664">
        <v>3</v>
      </c>
      <c r="M78" s="665">
        <v>1891.9829999999997</v>
      </c>
    </row>
    <row r="79" spans="1:13" ht="14.4" customHeight="1" x14ac:dyDescent="0.3">
      <c r="A79" s="660" t="s">
        <v>566</v>
      </c>
      <c r="B79" s="661" t="s">
        <v>1826</v>
      </c>
      <c r="C79" s="661" t="s">
        <v>1164</v>
      </c>
      <c r="D79" s="661" t="s">
        <v>1165</v>
      </c>
      <c r="E79" s="661" t="s">
        <v>1166</v>
      </c>
      <c r="F79" s="664"/>
      <c r="G79" s="664"/>
      <c r="H79" s="677">
        <v>0</v>
      </c>
      <c r="I79" s="664">
        <v>2</v>
      </c>
      <c r="J79" s="664">
        <v>140.35941225057243</v>
      </c>
      <c r="K79" s="677">
        <v>1</v>
      </c>
      <c r="L79" s="664">
        <v>2</v>
      </c>
      <c r="M79" s="665">
        <v>140.35941225057243</v>
      </c>
    </row>
    <row r="80" spans="1:13" ht="14.4" customHeight="1" x14ac:dyDescent="0.3">
      <c r="A80" s="660" t="s">
        <v>566</v>
      </c>
      <c r="B80" s="661" t="s">
        <v>1829</v>
      </c>
      <c r="C80" s="661" t="s">
        <v>1097</v>
      </c>
      <c r="D80" s="661" t="s">
        <v>1011</v>
      </c>
      <c r="E80" s="661" t="s">
        <v>1098</v>
      </c>
      <c r="F80" s="664"/>
      <c r="G80" s="664"/>
      <c r="H80" s="677">
        <v>0</v>
      </c>
      <c r="I80" s="664">
        <v>58</v>
      </c>
      <c r="J80" s="664">
        <v>7592.333029537911</v>
      </c>
      <c r="K80" s="677">
        <v>1</v>
      </c>
      <c r="L80" s="664">
        <v>58</v>
      </c>
      <c r="M80" s="665">
        <v>7592.333029537911</v>
      </c>
    </row>
    <row r="81" spans="1:13" ht="14.4" customHeight="1" x14ac:dyDescent="0.3">
      <c r="A81" s="660" t="s">
        <v>566</v>
      </c>
      <c r="B81" s="661" t="s">
        <v>1833</v>
      </c>
      <c r="C81" s="661" t="s">
        <v>1048</v>
      </c>
      <c r="D81" s="661" t="s">
        <v>1049</v>
      </c>
      <c r="E81" s="661" t="s">
        <v>1050</v>
      </c>
      <c r="F81" s="664"/>
      <c r="G81" s="664"/>
      <c r="H81" s="677">
        <v>0</v>
      </c>
      <c r="I81" s="664">
        <v>1</v>
      </c>
      <c r="J81" s="664">
        <v>43.570000000000014</v>
      </c>
      <c r="K81" s="677">
        <v>1</v>
      </c>
      <c r="L81" s="664">
        <v>1</v>
      </c>
      <c r="M81" s="665">
        <v>43.570000000000014</v>
      </c>
    </row>
    <row r="82" spans="1:13" ht="14.4" customHeight="1" x14ac:dyDescent="0.3">
      <c r="A82" s="660" t="s">
        <v>566</v>
      </c>
      <c r="B82" s="661" t="s">
        <v>1837</v>
      </c>
      <c r="C82" s="661" t="s">
        <v>999</v>
      </c>
      <c r="D82" s="661" t="s">
        <v>1000</v>
      </c>
      <c r="E82" s="661" t="s">
        <v>1001</v>
      </c>
      <c r="F82" s="664"/>
      <c r="G82" s="664"/>
      <c r="H82" s="677">
        <v>0</v>
      </c>
      <c r="I82" s="664">
        <v>1</v>
      </c>
      <c r="J82" s="664">
        <v>7.7999364809556813</v>
      </c>
      <c r="K82" s="677">
        <v>1</v>
      </c>
      <c r="L82" s="664">
        <v>1</v>
      </c>
      <c r="M82" s="665">
        <v>7.7999364809556813</v>
      </c>
    </row>
    <row r="83" spans="1:13" ht="14.4" customHeight="1" x14ac:dyDescent="0.3">
      <c r="A83" s="660" t="s">
        <v>566</v>
      </c>
      <c r="B83" s="661" t="s">
        <v>1851</v>
      </c>
      <c r="C83" s="661" t="s">
        <v>1559</v>
      </c>
      <c r="D83" s="661" t="s">
        <v>1560</v>
      </c>
      <c r="E83" s="661" t="s">
        <v>1561</v>
      </c>
      <c r="F83" s="664"/>
      <c r="G83" s="664"/>
      <c r="H83" s="677">
        <v>0</v>
      </c>
      <c r="I83" s="664">
        <v>1</v>
      </c>
      <c r="J83" s="664">
        <v>64.860000000000014</v>
      </c>
      <c r="K83" s="677">
        <v>1</v>
      </c>
      <c r="L83" s="664">
        <v>1</v>
      </c>
      <c r="M83" s="665">
        <v>64.860000000000014</v>
      </c>
    </row>
    <row r="84" spans="1:13" ht="14.4" customHeight="1" x14ac:dyDescent="0.3">
      <c r="A84" s="660" t="s">
        <v>566</v>
      </c>
      <c r="B84" s="661" t="s">
        <v>1851</v>
      </c>
      <c r="C84" s="661" t="s">
        <v>1538</v>
      </c>
      <c r="D84" s="661" t="s">
        <v>1539</v>
      </c>
      <c r="E84" s="661" t="s">
        <v>1882</v>
      </c>
      <c r="F84" s="664"/>
      <c r="G84" s="664"/>
      <c r="H84" s="677">
        <v>0</v>
      </c>
      <c r="I84" s="664">
        <v>1</v>
      </c>
      <c r="J84" s="664">
        <v>59.359999999999985</v>
      </c>
      <c r="K84" s="677">
        <v>1</v>
      </c>
      <c r="L84" s="664">
        <v>1</v>
      </c>
      <c r="M84" s="665">
        <v>59.359999999999985</v>
      </c>
    </row>
    <row r="85" spans="1:13" ht="14.4" customHeight="1" x14ac:dyDescent="0.3">
      <c r="A85" s="660" t="s">
        <v>566</v>
      </c>
      <c r="B85" s="661" t="s">
        <v>1854</v>
      </c>
      <c r="C85" s="661" t="s">
        <v>576</v>
      </c>
      <c r="D85" s="661" t="s">
        <v>1855</v>
      </c>
      <c r="E85" s="661" t="s">
        <v>578</v>
      </c>
      <c r="F85" s="664">
        <v>1.6</v>
      </c>
      <c r="G85" s="664">
        <v>886.38400000000024</v>
      </c>
      <c r="H85" s="677">
        <v>1</v>
      </c>
      <c r="I85" s="664"/>
      <c r="J85" s="664"/>
      <c r="K85" s="677">
        <v>0</v>
      </c>
      <c r="L85" s="664">
        <v>1.6</v>
      </c>
      <c r="M85" s="665">
        <v>886.38400000000024</v>
      </c>
    </row>
    <row r="86" spans="1:13" ht="14.4" customHeight="1" x14ac:dyDescent="0.3">
      <c r="A86" s="660" t="s">
        <v>566</v>
      </c>
      <c r="B86" s="661" t="s">
        <v>1854</v>
      </c>
      <c r="C86" s="661" t="s">
        <v>1238</v>
      </c>
      <c r="D86" s="661" t="s">
        <v>1220</v>
      </c>
      <c r="E86" s="661" t="s">
        <v>1239</v>
      </c>
      <c r="F86" s="664"/>
      <c r="G86" s="664"/>
      <c r="H86" s="677">
        <v>0</v>
      </c>
      <c r="I86" s="664">
        <v>158</v>
      </c>
      <c r="J86" s="664">
        <v>3827.5231681935179</v>
      </c>
      <c r="K86" s="677">
        <v>1</v>
      </c>
      <c r="L86" s="664">
        <v>158</v>
      </c>
      <c r="M86" s="665">
        <v>3827.5231681935179</v>
      </c>
    </row>
    <row r="87" spans="1:13" ht="14.4" customHeight="1" x14ac:dyDescent="0.3">
      <c r="A87" s="660" t="s">
        <v>566</v>
      </c>
      <c r="B87" s="661" t="s">
        <v>1856</v>
      </c>
      <c r="C87" s="661" t="s">
        <v>1245</v>
      </c>
      <c r="D87" s="661" t="s">
        <v>1859</v>
      </c>
      <c r="E87" s="661" t="s">
        <v>1860</v>
      </c>
      <c r="F87" s="664"/>
      <c r="G87" s="664"/>
      <c r="H87" s="677">
        <v>0</v>
      </c>
      <c r="I87" s="664">
        <v>19</v>
      </c>
      <c r="J87" s="664">
        <v>1474.4500578494974</v>
      </c>
      <c r="K87" s="677">
        <v>1</v>
      </c>
      <c r="L87" s="664">
        <v>19</v>
      </c>
      <c r="M87" s="665">
        <v>1474.4500578494974</v>
      </c>
    </row>
    <row r="88" spans="1:13" ht="14.4" customHeight="1" x14ac:dyDescent="0.3">
      <c r="A88" s="660" t="s">
        <v>566</v>
      </c>
      <c r="B88" s="661" t="s">
        <v>1861</v>
      </c>
      <c r="C88" s="661" t="s">
        <v>1241</v>
      </c>
      <c r="D88" s="661" t="s">
        <v>1242</v>
      </c>
      <c r="E88" s="661" t="s">
        <v>1862</v>
      </c>
      <c r="F88" s="664"/>
      <c r="G88" s="664"/>
      <c r="H88" s="677">
        <v>0</v>
      </c>
      <c r="I88" s="664">
        <v>7.1999999999999993</v>
      </c>
      <c r="J88" s="664">
        <v>1080.0502533849431</v>
      </c>
      <c r="K88" s="677">
        <v>1</v>
      </c>
      <c r="L88" s="664">
        <v>7.1999999999999993</v>
      </c>
      <c r="M88" s="665">
        <v>1080.0502533849431</v>
      </c>
    </row>
    <row r="89" spans="1:13" ht="14.4" customHeight="1" x14ac:dyDescent="0.3">
      <c r="A89" s="660" t="s">
        <v>566</v>
      </c>
      <c r="B89" s="661" t="s">
        <v>1883</v>
      </c>
      <c r="C89" s="661" t="s">
        <v>1642</v>
      </c>
      <c r="D89" s="661" t="s">
        <v>1643</v>
      </c>
      <c r="E89" s="661" t="s">
        <v>1257</v>
      </c>
      <c r="F89" s="664"/>
      <c r="G89" s="664"/>
      <c r="H89" s="677">
        <v>0</v>
      </c>
      <c r="I89" s="664">
        <v>32</v>
      </c>
      <c r="J89" s="664">
        <v>4554.5553846153844</v>
      </c>
      <c r="K89" s="677">
        <v>1</v>
      </c>
      <c r="L89" s="664">
        <v>32</v>
      </c>
      <c r="M89" s="665">
        <v>4554.5553846153844</v>
      </c>
    </row>
    <row r="90" spans="1:13" ht="14.4" customHeight="1" x14ac:dyDescent="0.3">
      <c r="A90" s="660" t="s">
        <v>566</v>
      </c>
      <c r="B90" s="661" t="s">
        <v>1883</v>
      </c>
      <c r="C90" s="661" t="s">
        <v>1609</v>
      </c>
      <c r="D90" s="661" t="s">
        <v>1610</v>
      </c>
      <c r="E90" s="661" t="s">
        <v>1884</v>
      </c>
      <c r="F90" s="664"/>
      <c r="G90" s="664"/>
      <c r="H90" s="677">
        <v>0</v>
      </c>
      <c r="I90" s="664">
        <v>3</v>
      </c>
      <c r="J90" s="664">
        <v>445.90854763975642</v>
      </c>
      <c r="K90" s="677">
        <v>1</v>
      </c>
      <c r="L90" s="664">
        <v>3</v>
      </c>
      <c r="M90" s="665">
        <v>445.90854763975642</v>
      </c>
    </row>
    <row r="91" spans="1:13" ht="14.4" customHeight="1" x14ac:dyDescent="0.3">
      <c r="A91" s="660" t="s">
        <v>566</v>
      </c>
      <c r="B91" s="661" t="s">
        <v>1885</v>
      </c>
      <c r="C91" s="661" t="s">
        <v>1630</v>
      </c>
      <c r="D91" s="661" t="s">
        <v>1631</v>
      </c>
      <c r="E91" s="661" t="s">
        <v>1632</v>
      </c>
      <c r="F91" s="664"/>
      <c r="G91" s="664"/>
      <c r="H91" s="677">
        <v>0</v>
      </c>
      <c r="I91" s="664">
        <v>1</v>
      </c>
      <c r="J91" s="664">
        <v>60.02999999999998</v>
      </c>
      <c r="K91" s="677">
        <v>1</v>
      </c>
      <c r="L91" s="664">
        <v>1</v>
      </c>
      <c r="M91" s="665">
        <v>60.02999999999998</v>
      </c>
    </row>
    <row r="92" spans="1:13" ht="14.4" customHeight="1" x14ac:dyDescent="0.3">
      <c r="A92" s="660" t="s">
        <v>566</v>
      </c>
      <c r="B92" s="661" t="s">
        <v>1886</v>
      </c>
      <c r="C92" s="661" t="s">
        <v>1627</v>
      </c>
      <c r="D92" s="661" t="s">
        <v>1628</v>
      </c>
      <c r="E92" s="661" t="s">
        <v>1668</v>
      </c>
      <c r="F92" s="664"/>
      <c r="G92" s="664"/>
      <c r="H92" s="677">
        <v>0</v>
      </c>
      <c r="I92" s="664">
        <v>12</v>
      </c>
      <c r="J92" s="664">
        <v>559.99200000000008</v>
      </c>
      <c r="K92" s="677">
        <v>1</v>
      </c>
      <c r="L92" s="664">
        <v>12</v>
      </c>
      <c r="M92" s="665">
        <v>559.99200000000008</v>
      </c>
    </row>
    <row r="93" spans="1:13" ht="14.4" customHeight="1" x14ac:dyDescent="0.3">
      <c r="A93" s="660" t="s">
        <v>566</v>
      </c>
      <c r="B93" s="661" t="s">
        <v>1863</v>
      </c>
      <c r="C93" s="661" t="s">
        <v>1252</v>
      </c>
      <c r="D93" s="661" t="s">
        <v>1253</v>
      </c>
      <c r="E93" s="661" t="s">
        <v>1254</v>
      </c>
      <c r="F93" s="664">
        <v>0.6</v>
      </c>
      <c r="G93" s="664">
        <v>234.04199999999997</v>
      </c>
      <c r="H93" s="677">
        <v>0.604850339327341</v>
      </c>
      <c r="I93" s="664">
        <v>1</v>
      </c>
      <c r="J93" s="664">
        <v>152.9</v>
      </c>
      <c r="K93" s="677">
        <v>0.39514966067265894</v>
      </c>
      <c r="L93" s="664">
        <v>1.6</v>
      </c>
      <c r="M93" s="665">
        <v>386.94200000000001</v>
      </c>
    </row>
    <row r="94" spans="1:13" ht="14.4" customHeight="1" x14ac:dyDescent="0.3">
      <c r="A94" s="660" t="s">
        <v>566</v>
      </c>
      <c r="B94" s="661" t="s">
        <v>1863</v>
      </c>
      <c r="C94" s="661" t="s">
        <v>1230</v>
      </c>
      <c r="D94" s="661" t="s">
        <v>1231</v>
      </c>
      <c r="E94" s="661" t="s">
        <v>1232</v>
      </c>
      <c r="F94" s="664">
        <v>2</v>
      </c>
      <c r="G94" s="664">
        <v>780.99915375820251</v>
      </c>
      <c r="H94" s="677">
        <v>1</v>
      </c>
      <c r="I94" s="664"/>
      <c r="J94" s="664"/>
      <c r="K94" s="677">
        <v>0</v>
      </c>
      <c r="L94" s="664">
        <v>2</v>
      </c>
      <c r="M94" s="665">
        <v>780.99915375820251</v>
      </c>
    </row>
    <row r="95" spans="1:13" ht="14.4" customHeight="1" x14ac:dyDescent="0.3">
      <c r="A95" s="660" t="s">
        <v>566</v>
      </c>
      <c r="B95" s="661" t="s">
        <v>1863</v>
      </c>
      <c r="C95" s="661" t="s">
        <v>1207</v>
      </c>
      <c r="D95" s="661" t="s">
        <v>1865</v>
      </c>
      <c r="E95" s="661" t="s">
        <v>1866</v>
      </c>
      <c r="F95" s="664">
        <v>8</v>
      </c>
      <c r="G95" s="664">
        <v>571.67943564695793</v>
      </c>
      <c r="H95" s="677">
        <v>0.30450638909795086</v>
      </c>
      <c r="I95" s="664">
        <v>18</v>
      </c>
      <c r="J95" s="664">
        <v>1305.7177425878319</v>
      </c>
      <c r="K95" s="677">
        <v>0.69549361090204909</v>
      </c>
      <c r="L95" s="664">
        <v>26</v>
      </c>
      <c r="M95" s="665">
        <v>1877.3971782347899</v>
      </c>
    </row>
    <row r="96" spans="1:13" ht="14.4" customHeight="1" x14ac:dyDescent="0.3">
      <c r="A96" s="660" t="s">
        <v>566</v>
      </c>
      <c r="B96" s="661" t="s">
        <v>1887</v>
      </c>
      <c r="C96" s="661" t="s">
        <v>1596</v>
      </c>
      <c r="D96" s="661" t="s">
        <v>1888</v>
      </c>
      <c r="E96" s="661" t="s">
        <v>1889</v>
      </c>
      <c r="F96" s="664">
        <v>1.5</v>
      </c>
      <c r="G96" s="664">
        <v>647.55899999999997</v>
      </c>
      <c r="H96" s="677">
        <v>1</v>
      </c>
      <c r="I96" s="664"/>
      <c r="J96" s="664"/>
      <c r="K96" s="677">
        <v>0</v>
      </c>
      <c r="L96" s="664">
        <v>1.5</v>
      </c>
      <c r="M96" s="665">
        <v>647.55899999999997</v>
      </c>
    </row>
    <row r="97" spans="1:13" ht="14.4" customHeight="1" x14ac:dyDescent="0.3">
      <c r="A97" s="660" t="s">
        <v>566</v>
      </c>
      <c r="B97" s="661" t="s">
        <v>1890</v>
      </c>
      <c r="C97" s="661" t="s">
        <v>1639</v>
      </c>
      <c r="D97" s="661" t="s">
        <v>1640</v>
      </c>
      <c r="E97" s="661" t="s">
        <v>1641</v>
      </c>
      <c r="F97" s="664"/>
      <c r="G97" s="664"/>
      <c r="H97" s="677">
        <v>0</v>
      </c>
      <c r="I97" s="664">
        <v>1.2</v>
      </c>
      <c r="J97" s="664">
        <v>3036</v>
      </c>
      <c r="K97" s="677">
        <v>1</v>
      </c>
      <c r="L97" s="664">
        <v>1.2</v>
      </c>
      <c r="M97" s="665">
        <v>3036</v>
      </c>
    </row>
    <row r="98" spans="1:13" ht="14.4" customHeight="1" x14ac:dyDescent="0.3">
      <c r="A98" s="660" t="s">
        <v>566</v>
      </c>
      <c r="B98" s="661" t="s">
        <v>1891</v>
      </c>
      <c r="C98" s="661" t="s">
        <v>1656</v>
      </c>
      <c r="D98" s="661" t="s">
        <v>1657</v>
      </c>
      <c r="E98" s="661" t="s">
        <v>1658</v>
      </c>
      <c r="F98" s="664">
        <v>1</v>
      </c>
      <c r="G98" s="664">
        <v>159.5</v>
      </c>
      <c r="H98" s="677">
        <v>1</v>
      </c>
      <c r="I98" s="664"/>
      <c r="J98" s="664"/>
      <c r="K98" s="677">
        <v>0</v>
      </c>
      <c r="L98" s="664">
        <v>1</v>
      </c>
      <c r="M98" s="665">
        <v>159.5</v>
      </c>
    </row>
    <row r="99" spans="1:13" ht="14.4" customHeight="1" x14ac:dyDescent="0.3">
      <c r="A99" s="660" t="s">
        <v>566</v>
      </c>
      <c r="B99" s="661" t="s">
        <v>1891</v>
      </c>
      <c r="C99" s="661" t="s">
        <v>1646</v>
      </c>
      <c r="D99" s="661" t="s">
        <v>1892</v>
      </c>
      <c r="E99" s="661" t="s">
        <v>1668</v>
      </c>
      <c r="F99" s="664">
        <v>8</v>
      </c>
      <c r="G99" s="664">
        <v>241.76</v>
      </c>
      <c r="H99" s="677">
        <v>0.44444444444444442</v>
      </c>
      <c r="I99" s="664">
        <v>10</v>
      </c>
      <c r="J99" s="664">
        <v>302.2</v>
      </c>
      <c r="K99" s="677">
        <v>0.55555555555555547</v>
      </c>
      <c r="L99" s="664">
        <v>18</v>
      </c>
      <c r="M99" s="665">
        <v>543.96</v>
      </c>
    </row>
    <row r="100" spans="1:13" ht="14.4" customHeight="1" x14ac:dyDescent="0.3">
      <c r="A100" s="660" t="s">
        <v>566</v>
      </c>
      <c r="B100" s="661" t="s">
        <v>1891</v>
      </c>
      <c r="C100" s="661" t="s">
        <v>1653</v>
      </c>
      <c r="D100" s="661" t="s">
        <v>1654</v>
      </c>
      <c r="E100" s="661" t="s">
        <v>1893</v>
      </c>
      <c r="F100" s="664"/>
      <c r="G100" s="664"/>
      <c r="H100" s="677">
        <v>0</v>
      </c>
      <c r="I100" s="664">
        <v>1</v>
      </c>
      <c r="J100" s="664">
        <v>1834.9100000000008</v>
      </c>
      <c r="K100" s="677">
        <v>1</v>
      </c>
      <c r="L100" s="664">
        <v>1</v>
      </c>
      <c r="M100" s="665">
        <v>1834.9100000000008</v>
      </c>
    </row>
    <row r="101" spans="1:13" ht="14.4" customHeight="1" x14ac:dyDescent="0.3">
      <c r="A101" s="660" t="s">
        <v>566</v>
      </c>
      <c r="B101" s="661" t="s">
        <v>1894</v>
      </c>
      <c r="C101" s="661" t="s">
        <v>1556</v>
      </c>
      <c r="D101" s="661" t="s">
        <v>1557</v>
      </c>
      <c r="E101" s="661" t="s">
        <v>1895</v>
      </c>
      <c r="F101" s="664"/>
      <c r="G101" s="664"/>
      <c r="H101" s="677">
        <v>0</v>
      </c>
      <c r="I101" s="664">
        <v>4</v>
      </c>
      <c r="J101" s="664">
        <v>1347.1133474145213</v>
      </c>
      <c r="K101" s="677">
        <v>1</v>
      </c>
      <c r="L101" s="664">
        <v>4</v>
      </c>
      <c r="M101" s="665">
        <v>1347.1133474145213</v>
      </c>
    </row>
    <row r="102" spans="1:13" ht="14.4" customHeight="1" x14ac:dyDescent="0.3">
      <c r="A102" s="660" t="s">
        <v>566</v>
      </c>
      <c r="B102" s="661" t="s">
        <v>1896</v>
      </c>
      <c r="C102" s="661" t="s">
        <v>1262</v>
      </c>
      <c r="D102" s="661" t="s">
        <v>1897</v>
      </c>
      <c r="E102" s="661" t="s">
        <v>1898</v>
      </c>
      <c r="F102" s="664">
        <v>80</v>
      </c>
      <c r="G102" s="664">
        <v>19951.257688645372</v>
      </c>
      <c r="H102" s="677">
        <v>1</v>
      </c>
      <c r="I102" s="664"/>
      <c r="J102" s="664"/>
      <c r="K102" s="677">
        <v>0</v>
      </c>
      <c r="L102" s="664">
        <v>80</v>
      </c>
      <c r="M102" s="665">
        <v>19951.257688645372</v>
      </c>
    </row>
    <row r="103" spans="1:13" ht="14.4" customHeight="1" x14ac:dyDescent="0.3">
      <c r="A103" s="660" t="s">
        <v>566</v>
      </c>
      <c r="B103" s="661" t="s">
        <v>1868</v>
      </c>
      <c r="C103" s="661" t="s">
        <v>1265</v>
      </c>
      <c r="D103" s="661" t="s">
        <v>1266</v>
      </c>
      <c r="E103" s="661" t="s">
        <v>1267</v>
      </c>
      <c r="F103" s="664">
        <v>1</v>
      </c>
      <c r="G103" s="664">
        <v>900.00070203790347</v>
      </c>
      <c r="H103" s="677">
        <v>1</v>
      </c>
      <c r="I103" s="664"/>
      <c r="J103" s="664"/>
      <c r="K103" s="677">
        <v>0</v>
      </c>
      <c r="L103" s="664">
        <v>1</v>
      </c>
      <c r="M103" s="665">
        <v>900.00070203790347</v>
      </c>
    </row>
    <row r="104" spans="1:13" ht="14.4" customHeight="1" x14ac:dyDescent="0.3">
      <c r="A104" s="660" t="s">
        <v>566</v>
      </c>
      <c r="B104" s="661" t="s">
        <v>1868</v>
      </c>
      <c r="C104" s="661" t="s">
        <v>1546</v>
      </c>
      <c r="D104" s="661" t="s">
        <v>1144</v>
      </c>
      <c r="E104" s="661" t="s">
        <v>1547</v>
      </c>
      <c r="F104" s="664"/>
      <c r="G104" s="664"/>
      <c r="H104" s="677">
        <v>0</v>
      </c>
      <c r="I104" s="664">
        <v>21</v>
      </c>
      <c r="J104" s="664">
        <v>17956.777122589912</v>
      </c>
      <c r="K104" s="677">
        <v>1</v>
      </c>
      <c r="L104" s="664">
        <v>21</v>
      </c>
      <c r="M104" s="665">
        <v>17956.777122589912</v>
      </c>
    </row>
    <row r="105" spans="1:13" ht="14.4" customHeight="1" x14ac:dyDescent="0.3">
      <c r="A105" s="660" t="s">
        <v>566</v>
      </c>
      <c r="B105" s="661" t="s">
        <v>1872</v>
      </c>
      <c r="C105" s="661" t="s">
        <v>1026</v>
      </c>
      <c r="D105" s="661" t="s">
        <v>1027</v>
      </c>
      <c r="E105" s="661" t="s">
        <v>1028</v>
      </c>
      <c r="F105" s="664"/>
      <c r="G105" s="664"/>
      <c r="H105" s="677">
        <v>0</v>
      </c>
      <c r="I105" s="664">
        <v>14</v>
      </c>
      <c r="J105" s="664">
        <v>1935.4999922073696</v>
      </c>
      <c r="K105" s="677">
        <v>1</v>
      </c>
      <c r="L105" s="664">
        <v>14</v>
      </c>
      <c r="M105" s="665">
        <v>1935.4999922073696</v>
      </c>
    </row>
    <row r="106" spans="1:13" ht="14.4" customHeight="1" x14ac:dyDescent="0.3">
      <c r="A106" s="660" t="s">
        <v>566</v>
      </c>
      <c r="B106" s="661" t="s">
        <v>1872</v>
      </c>
      <c r="C106" s="661" t="s">
        <v>1549</v>
      </c>
      <c r="D106" s="661" t="s">
        <v>1027</v>
      </c>
      <c r="E106" s="661" t="s">
        <v>1550</v>
      </c>
      <c r="F106" s="664"/>
      <c r="G106" s="664"/>
      <c r="H106" s="677">
        <v>0</v>
      </c>
      <c r="I106" s="664">
        <v>68</v>
      </c>
      <c r="J106" s="664">
        <v>9798.939429396205</v>
      </c>
      <c r="K106" s="677">
        <v>1</v>
      </c>
      <c r="L106" s="664">
        <v>68</v>
      </c>
      <c r="M106" s="665">
        <v>9798.939429396205</v>
      </c>
    </row>
    <row r="107" spans="1:13" ht="14.4" customHeight="1" x14ac:dyDescent="0.3">
      <c r="A107" s="660" t="s">
        <v>566</v>
      </c>
      <c r="B107" s="661" t="s">
        <v>1876</v>
      </c>
      <c r="C107" s="661" t="s">
        <v>1067</v>
      </c>
      <c r="D107" s="661" t="s">
        <v>1068</v>
      </c>
      <c r="E107" s="661" t="s">
        <v>1069</v>
      </c>
      <c r="F107" s="664"/>
      <c r="G107" s="664"/>
      <c r="H107" s="677">
        <v>0</v>
      </c>
      <c r="I107" s="664">
        <v>8</v>
      </c>
      <c r="J107" s="664">
        <v>650.1582871673827</v>
      </c>
      <c r="K107" s="677">
        <v>1</v>
      </c>
      <c r="L107" s="664">
        <v>8</v>
      </c>
      <c r="M107" s="665">
        <v>650.1582871673827</v>
      </c>
    </row>
    <row r="108" spans="1:13" ht="14.4" customHeight="1" x14ac:dyDescent="0.3">
      <c r="A108" s="660" t="s">
        <v>566</v>
      </c>
      <c r="B108" s="661" t="s">
        <v>1878</v>
      </c>
      <c r="C108" s="661" t="s">
        <v>1006</v>
      </c>
      <c r="D108" s="661" t="s">
        <v>1007</v>
      </c>
      <c r="E108" s="661" t="s">
        <v>1879</v>
      </c>
      <c r="F108" s="664"/>
      <c r="G108" s="664"/>
      <c r="H108" s="677">
        <v>0</v>
      </c>
      <c r="I108" s="664">
        <v>1</v>
      </c>
      <c r="J108" s="664">
        <v>198.89009276265651</v>
      </c>
      <c r="K108" s="677">
        <v>1</v>
      </c>
      <c r="L108" s="664">
        <v>1</v>
      </c>
      <c r="M108" s="665">
        <v>198.89009276265651</v>
      </c>
    </row>
    <row r="109" spans="1:13" ht="14.4" customHeight="1" x14ac:dyDescent="0.3">
      <c r="A109" s="660" t="s">
        <v>566</v>
      </c>
      <c r="B109" s="661" t="s">
        <v>1880</v>
      </c>
      <c r="C109" s="661" t="s">
        <v>1189</v>
      </c>
      <c r="D109" s="661" t="s">
        <v>1190</v>
      </c>
      <c r="E109" s="661" t="s">
        <v>1191</v>
      </c>
      <c r="F109" s="664"/>
      <c r="G109" s="664"/>
      <c r="H109" s="677">
        <v>0</v>
      </c>
      <c r="I109" s="664">
        <v>1</v>
      </c>
      <c r="J109" s="664">
        <v>202.85999771310955</v>
      </c>
      <c r="K109" s="677">
        <v>1</v>
      </c>
      <c r="L109" s="664">
        <v>1</v>
      </c>
      <c r="M109" s="665">
        <v>202.85999771310955</v>
      </c>
    </row>
    <row r="110" spans="1:13" ht="14.4" customHeight="1" x14ac:dyDescent="0.3">
      <c r="A110" s="660" t="s">
        <v>566</v>
      </c>
      <c r="B110" s="661" t="s">
        <v>1880</v>
      </c>
      <c r="C110" s="661" t="s">
        <v>1563</v>
      </c>
      <c r="D110" s="661" t="s">
        <v>1564</v>
      </c>
      <c r="E110" s="661" t="s">
        <v>1565</v>
      </c>
      <c r="F110" s="664">
        <v>5</v>
      </c>
      <c r="G110" s="664">
        <v>5667.6</v>
      </c>
      <c r="H110" s="677">
        <v>1</v>
      </c>
      <c r="I110" s="664"/>
      <c r="J110" s="664"/>
      <c r="K110" s="677">
        <v>0</v>
      </c>
      <c r="L110" s="664">
        <v>5</v>
      </c>
      <c r="M110" s="665">
        <v>5667.6</v>
      </c>
    </row>
    <row r="111" spans="1:13" ht="14.4" customHeight="1" x14ac:dyDescent="0.3">
      <c r="A111" s="660" t="s">
        <v>566</v>
      </c>
      <c r="B111" s="661" t="s">
        <v>1880</v>
      </c>
      <c r="C111" s="661" t="s">
        <v>1588</v>
      </c>
      <c r="D111" s="661" t="s">
        <v>1589</v>
      </c>
      <c r="E111" s="661" t="s">
        <v>1590</v>
      </c>
      <c r="F111" s="664"/>
      <c r="G111" s="664"/>
      <c r="H111" s="677">
        <v>0</v>
      </c>
      <c r="I111" s="664">
        <v>15</v>
      </c>
      <c r="J111" s="664">
        <v>6364.710001305607</v>
      </c>
      <c r="K111" s="677">
        <v>1</v>
      </c>
      <c r="L111" s="664">
        <v>15</v>
      </c>
      <c r="M111" s="665">
        <v>6364.710001305607</v>
      </c>
    </row>
    <row r="112" spans="1:13" ht="14.4" customHeight="1" x14ac:dyDescent="0.3">
      <c r="A112" s="660" t="s">
        <v>566</v>
      </c>
      <c r="B112" s="661" t="s">
        <v>1880</v>
      </c>
      <c r="C112" s="661" t="s">
        <v>1586</v>
      </c>
      <c r="D112" s="661" t="s">
        <v>1587</v>
      </c>
      <c r="E112" s="661" t="s">
        <v>1198</v>
      </c>
      <c r="F112" s="664"/>
      <c r="G112" s="664"/>
      <c r="H112" s="677">
        <v>0</v>
      </c>
      <c r="I112" s="664">
        <v>4</v>
      </c>
      <c r="J112" s="664">
        <v>134.27982325467283</v>
      </c>
      <c r="K112" s="677">
        <v>1</v>
      </c>
      <c r="L112" s="664">
        <v>4</v>
      </c>
      <c r="M112" s="665">
        <v>134.27982325467283</v>
      </c>
    </row>
    <row r="113" spans="1:13" ht="14.4" customHeight="1" x14ac:dyDescent="0.3">
      <c r="A113" s="660" t="s">
        <v>566</v>
      </c>
      <c r="B113" s="661" t="s">
        <v>1880</v>
      </c>
      <c r="C113" s="661" t="s">
        <v>1583</v>
      </c>
      <c r="D113" s="661" t="s">
        <v>1584</v>
      </c>
      <c r="E113" s="661" t="s">
        <v>1198</v>
      </c>
      <c r="F113" s="664"/>
      <c r="G113" s="664"/>
      <c r="H113" s="677">
        <v>0</v>
      </c>
      <c r="I113" s="664">
        <v>4</v>
      </c>
      <c r="J113" s="664">
        <v>134.28</v>
      </c>
      <c r="K113" s="677">
        <v>1</v>
      </c>
      <c r="L113" s="664">
        <v>4</v>
      </c>
      <c r="M113" s="665">
        <v>134.28</v>
      </c>
    </row>
    <row r="114" spans="1:13" ht="14.4" customHeight="1" x14ac:dyDescent="0.3">
      <c r="A114" s="660" t="s">
        <v>566</v>
      </c>
      <c r="B114" s="661" t="s">
        <v>1880</v>
      </c>
      <c r="C114" s="661" t="s">
        <v>1192</v>
      </c>
      <c r="D114" s="661" t="s">
        <v>1193</v>
      </c>
      <c r="E114" s="661" t="s">
        <v>1194</v>
      </c>
      <c r="F114" s="664"/>
      <c r="G114" s="664"/>
      <c r="H114" s="677">
        <v>0</v>
      </c>
      <c r="I114" s="664">
        <v>1</v>
      </c>
      <c r="J114" s="664">
        <v>116.25</v>
      </c>
      <c r="K114" s="677">
        <v>1</v>
      </c>
      <c r="L114" s="664">
        <v>1</v>
      </c>
      <c r="M114" s="665">
        <v>116.25</v>
      </c>
    </row>
    <row r="115" spans="1:13" ht="14.4" customHeight="1" x14ac:dyDescent="0.3">
      <c r="A115" s="660" t="s">
        <v>566</v>
      </c>
      <c r="B115" s="661" t="s">
        <v>1880</v>
      </c>
      <c r="C115" s="661" t="s">
        <v>1592</v>
      </c>
      <c r="D115" s="661" t="s">
        <v>1899</v>
      </c>
      <c r="E115" s="661" t="s">
        <v>1194</v>
      </c>
      <c r="F115" s="664"/>
      <c r="G115" s="664"/>
      <c r="H115" s="677">
        <v>0</v>
      </c>
      <c r="I115" s="664">
        <v>1</v>
      </c>
      <c r="J115" s="664">
        <v>116.25</v>
      </c>
      <c r="K115" s="677">
        <v>1</v>
      </c>
      <c r="L115" s="664">
        <v>1</v>
      </c>
      <c r="M115" s="665">
        <v>116.25</v>
      </c>
    </row>
    <row r="116" spans="1:13" ht="14.4" customHeight="1" x14ac:dyDescent="0.3">
      <c r="A116" s="660" t="s">
        <v>569</v>
      </c>
      <c r="B116" s="661" t="s">
        <v>1829</v>
      </c>
      <c r="C116" s="661" t="s">
        <v>1097</v>
      </c>
      <c r="D116" s="661" t="s">
        <v>1011</v>
      </c>
      <c r="E116" s="661" t="s">
        <v>1098</v>
      </c>
      <c r="F116" s="664"/>
      <c r="G116" s="664"/>
      <c r="H116" s="677">
        <v>0</v>
      </c>
      <c r="I116" s="664">
        <v>1</v>
      </c>
      <c r="J116" s="664">
        <v>129.57895254279651</v>
      </c>
      <c r="K116" s="677">
        <v>1</v>
      </c>
      <c r="L116" s="664">
        <v>1</v>
      </c>
      <c r="M116" s="665">
        <v>129.57895254279651</v>
      </c>
    </row>
    <row r="117" spans="1:13" ht="14.4" customHeight="1" x14ac:dyDescent="0.3">
      <c r="A117" s="660" t="s">
        <v>569</v>
      </c>
      <c r="B117" s="661" t="s">
        <v>1900</v>
      </c>
      <c r="C117" s="661" t="s">
        <v>1747</v>
      </c>
      <c r="D117" s="661" t="s">
        <v>1748</v>
      </c>
      <c r="E117" s="661" t="s">
        <v>1749</v>
      </c>
      <c r="F117" s="664"/>
      <c r="G117" s="664"/>
      <c r="H117" s="677">
        <v>0</v>
      </c>
      <c r="I117" s="664">
        <v>6</v>
      </c>
      <c r="J117" s="664">
        <v>14740</v>
      </c>
      <c r="K117" s="677">
        <v>1</v>
      </c>
      <c r="L117" s="664">
        <v>6</v>
      </c>
      <c r="M117" s="665">
        <v>14740</v>
      </c>
    </row>
    <row r="118" spans="1:13" ht="14.4" customHeight="1" x14ac:dyDescent="0.3">
      <c r="A118" s="660" t="s">
        <v>569</v>
      </c>
      <c r="B118" s="661" t="s">
        <v>1896</v>
      </c>
      <c r="C118" s="661" t="s">
        <v>1744</v>
      </c>
      <c r="D118" s="661" t="s">
        <v>1745</v>
      </c>
      <c r="E118" s="661" t="s">
        <v>1746</v>
      </c>
      <c r="F118" s="664"/>
      <c r="G118" s="664"/>
      <c r="H118" s="677">
        <v>0</v>
      </c>
      <c r="I118" s="664">
        <v>26</v>
      </c>
      <c r="J118" s="664">
        <v>18229.14</v>
      </c>
      <c r="K118" s="677">
        <v>1</v>
      </c>
      <c r="L118" s="664">
        <v>26</v>
      </c>
      <c r="M118" s="665">
        <v>18229.14</v>
      </c>
    </row>
    <row r="119" spans="1:13" ht="14.4" customHeight="1" x14ac:dyDescent="0.3">
      <c r="A119" s="660" t="s">
        <v>569</v>
      </c>
      <c r="B119" s="661" t="s">
        <v>1896</v>
      </c>
      <c r="C119" s="661" t="s">
        <v>1262</v>
      </c>
      <c r="D119" s="661" t="s">
        <v>1897</v>
      </c>
      <c r="E119" s="661" t="s">
        <v>1898</v>
      </c>
      <c r="F119" s="664">
        <v>12</v>
      </c>
      <c r="G119" s="664">
        <v>2992.683537729074</v>
      </c>
      <c r="H119" s="677">
        <v>1</v>
      </c>
      <c r="I119" s="664"/>
      <c r="J119" s="664"/>
      <c r="K119" s="677">
        <v>0</v>
      </c>
      <c r="L119" s="664">
        <v>12</v>
      </c>
      <c r="M119" s="665">
        <v>2992.683537729074</v>
      </c>
    </row>
    <row r="120" spans="1:13" ht="14.4" customHeight="1" x14ac:dyDescent="0.3">
      <c r="A120" s="660" t="s">
        <v>569</v>
      </c>
      <c r="B120" s="661" t="s">
        <v>1872</v>
      </c>
      <c r="C120" s="661" t="s">
        <v>1026</v>
      </c>
      <c r="D120" s="661" t="s">
        <v>1027</v>
      </c>
      <c r="E120" s="661" t="s">
        <v>1028</v>
      </c>
      <c r="F120" s="664"/>
      <c r="G120" s="664"/>
      <c r="H120" s="677">
        <v>0</v>
      </c>
      <c r="I120" s="664">
        <v>10</v>
      </c>
      <c r="J120" s="664">
        <v>1394.5199984414737</v>
      </c>
      <c r="K120" s="677">
        <v>1</v>
      </c>
      <c r="L120" s="664">
        <v>10</v>
      </c>
      <c r="M120" s="665">
        <v>1394.5199984414737</v>
      </c>
    </row>
    <row r="121" spans="1:13" ht="14.4" customHeight="1" thickBot="1" x14ac:dyDescent="0.35">
      <c r="A121" s="666" t="s">
        <v>569</v>
      </c>
      <c r="B121" s="667" t="s">
        <v>1872</v>
      </c>
      <c r="C121" s="667" t="s">
        <v>1549</v>
      </c>
      <c r="D121" s="667" t="s">
        <v>1027</v>
      </c>
      <c r="E121" s="667" t="s">
        <v>1550</v>
      </c>
      <c r="F121" s="670"/>
      <c r="G121" s="670"/>
      <c r="H121" s="678">
        <v>0</v>
      </c>
      <c r="I121" s="670">
        <v>23</v>
      </c>
      <c r="J121" s="670">
        <v>3313.319613062883</v>
      </c>
      <c r="K121" s="678">
        <v>1</v>
      </c>
      <c r="L121" s="670">
        <v>23</v>
      </c>
      <c r="M121" s="671">
        <v>3313.319613062883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55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10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466" customWidth="1"/>
    <col min="2" max="2" width="5.44140625" style="337" bestFit="1" customWidth="1"/>
    <col min="3" max="3" width="6.109375" style="337" bestFit="1" customWidth="1"/>
    <col min="4" max="4" width="7.44140625" style="337" bestFit="1" customWidth="1"/>
    <col min="5" max="5" width="6.21875" style="337" bestFit="1" customWidth="1"/>
    <col min="6" max="6" width="6.33203125" style="340" bestFit="1" customWidth="1"/>
    <col min="7" max="7" width="6.109375" style="340" bestFit="1" customWidth="1"/>
    <col min="8" max="8" width="7.44140625" style="340" bestFit="1" customWidth="1"/>
    <col min="9" max="9" width="6.21875" style="340" bestFit="1" customWidth="1"/>
    <col min="10" max="10" width="5.44140625" style="337" bestFit="1" customWidth="1"/>
    <col min="11" max="11" width="6.109375" style="337" bestFit="1" customWidth="1"/>
    <col min="12" max="12" width="7.44140625" style="337" bestFit="1" customWidth="1"/>
    <col min="13" max="13" width="6.21875" style="337" bestFit="1" customWidth="1"/>
    <col min="14" max="14" width="5.33203125" style="340" bestFit="1" customWidth="1"/>
    <col min="15" max="15" width="6.109375" style="340" bestFit="1" customWidth="1"/>
    <col min="16" max="16" width="7.44140625" style="340" bestFit="1" customWidth="1"/>
    <col min="17" max="17" width="6.21875" style="340" bestFit="1" customWidth="1"/>
    <col min="18" max="16384" width="8.88671875" style="254"/>
  </cols>
  <sheetData>
    <row r="1" spans="1:17" ht="18.600000000000001" customHeight="1" thickBot="1" x14ac:dyDescent="0.4">
      <c r="A1" s="516" t="s">
        <v>299</v>
      </c>
      <c r="B1" s="516"/>
      <c r="C1" s="516"/>
      <c r="D1" s="516"/>
      <c r="E1" s="516"/>
      <c r="F1" s="479"/>
      <c r="G1" s="479"/>
      <c r="H1" s="479"/>
      <c r="I1" s="479"/>
      <c r="J1" s="509"/>
      <c r="K1" s="509"/>
      <c r="L1" s="509"/>
      <c r="M1" s="509"/>
      <c r="N1" s="509"/>
      <c r="O1" s="509"/>
      <c r="P1" s="509"/>
      <c r="Q1" s="509"/>
    </row>
    <row r="2" spans="1:17" ht="14.4" customHeight="1" thickBot="1" x14ac:dyDescent="0.35">
      <c r="A2" s="383" t="s">
        <v>334</v>
      </c>
      <c r="B2" s="344"/>
      <c r="C2" s="344"/>
      <c r="D2" s="344"/>
      <c r="E2" s="344"/>
    </row>
    <row r="3" spans="1:17" ht="14.4" customHeight="1" thickBot="1" x14ac:dyDescent="0.35">
      <c r="A3" s="455" t="s">
        <v>3</v>
      </c>
      <c r="B3" s="459">
        <f>SUM(B6:B1048576)</f>
        <v>939</v>
      </c>
      <c r="C3" s="460">
        <f>SUM(C6:C1048576)</f>
        <v>331</v>
      </c>
      <c r="D3" s="460">
        <f>SUM(D6:D1048576)</f>
        <v>125</v>
      </c>
      <c r="E3" s="461">
        <f>SUM(E6:E1048576)</f>
        <v>0</v>
      </c>
      <c r="F3" s="458">
        <f>IF(SUM($B3:$E3)=0,"",B3/SUM($B3:$E3))</f>
        <v>0.67311827956989245</v>
      </c>
      <c r="G3" s="456">
        <f t="shared" ref="G3:I3" si="0">IF(SUM($B3:$E3)=0,"",C3/SUM($B3:$E3))</f>
        <v>0.23727598566308244</v>
      </c>
      <c r="H3" s="456">
        <f t="shared" si="0"/>
        <v>8.9605734767025089E-2</v>
      </c>
      <c r="I3" s="457">
        <f t="shared" si="0"/>
        <v>0</v>
      </c>
      <c r="J3" s="460">
        <f>SUM(J6:J1048576)</f>
        <v>91</v>
      </c>
      <c r="K3" s="460">
        <f>SUM(K6:K1048576)</f>
        <v>100</v>
      </c>
      <c r="L3" s="460">
        <f>SUM(L6:L1048576)</f>
        <v>125</v>
      </c>
      <c r="M3" s="461">
        <f>SUM(M6:M1048576)</f>
        <v>0</v>
      </c>
      <c r="N3" s="458">
        <f>IF(SUM($J3:$M3)=0,"",J3/SUM($J3:$M3))</f>
        <v>0.28797468354430378</v>
      </c>
      <c r="O3" s="456">
        <f t="shared" ref="O3:Q3" si="1">IF(SUM($J3:$M3)=0,"",K3/SUM($J3:$M3))</f>
        <v>0.31645569620253167</v>
      </c>
      <c r="P3" s="456">
        <f t="shared" si="1"/>
        <v>0.39556962025316456</v>
      </c>
      <c r="Q3" s="457">
        <f t="shared" si="1"/>
        <v>0</v>
      </c>
    </row>
    <row r="4" spans="1:17" ht="14.4" customHeight="1" thickBot="1" x14ac:dyDescent="0.35">
      <c r="A4" s="454"/>
      <c r="B4" s="529" t="s">
        <v>301</v>
      </c>
      <c r="C4" s="530"/>
      <c r="D4" s="530"/>
      <c r="E4" s="531"/>
      <c r="F4" s="526" t="s">
        <v>306</v>
      </c>
      <c r="G4" s="527"/>
      <c r="H4" s="527"/>
      <c r="I4" s="528"/>
      <c r="J4" s="529" t="s">
        <v>307</v>
      </c>
      <c r="K4" s="530"/>
      <c r="L4" s="530"/>
      <c r="M4" s="531"/>
      <c r="N4" s="526" t="s">
        <v>308</v>
      </c>
      <c r="O4" s="527"/>
      <c r="P4" s="527"/>
      <c r="Q4" s="528"/>
    </row>
    <row r="5" spans="1:17" ht="14.4" customHeight="1" thickBot="1" x14ac:dyDescent="0.35">
      <c r="A5" s="693" t="s">
        <v>300</v>
      </c>
      <c r="B5" s="694" t="s">
        <v>302</v>
      </c>
      <c r="C5" s="694" t="s">
        <v>303</v>
      </c>
      <c r="D5" s="694" t="s">
        <v>304</v>
      </c>
      <c r="E5" s="695" t="s">
        <v>305</v>
      </c>
      <c r="F5" s="696" t="s">
        <v>302</v>
      </c>
      <c r="G5" s="697" t="s">
        <v>303</v>
      </c>
      <c r="H5" s="697" t="s">
        <v>304</v>
      </c>
      <c r="I5" s="698" t="s">
        <v>305</v>
      </c>
      <c r="J5" s="694" t="s">
        <v>302</v>
      </c>
      <c r="K5" s="694" t="s">
        <v>303</v>
      </c>
      <c r="L5" s="694" t="s">
        <v>304</v>
      </c>
      <c r="M5" s="695" t="s">
        <v>305</v>
      </c>
      <c r="N5" s="696" t="s">
        <v>302</v>
      </c>
      <c r="O5" s="697" t="s">
        <v>303</v>
      </c>
      <c r="P5" s="697" t="s">
        <v>304</v>
      </c>
      <c r="Q5" s="698" t="s">
        <v>305</v>
      </c>
    </row>
    <row r="6" spans="1:17" ht="14.4" customHeight="1" x14ac:dyDescent="0.3">
      <c r="A6" s="702" t="s">
        <v>1902</v>
      </c>
      <c r="B6" s="708"/>
      <c r="C6" s="658"/>
      <c r="D6" s="658"/>
      <c r="E6" s="659"/>
      <c r="F6" s="705"/>
      <c r="G6" s="676"/>
      <c r="H6" s="676"/>
      <c r="I6" s="711"/>
      <c r="J6" s="708"/>
      <c r="K6" s="658"/>
      <c r="L6" s="658"/>
      <c r="M6" s="659"/>
      <c r="N6" s="705"/>
      <c r="O6" s="676"/>
      <c r="P6" s="676"/>
      <c r="Q6" s="699"/>
    </row>
    <row r="7" spans="1:17" ht="14.4" customHeight="1" x14ac:dyDescent="0.3">
      <c r="A7" s="703" t="s">
        <v>1903</v>
      </c>
      <c r="B7" s="709">
        <v>301</v>
      </c>
      <c r="C7" s="664">
        <v>129</v>
      </c>
      <c r="D7" s="664">
        <v>62</v>
      </c>
      <c r="E7" s="665"/>
      <c r="F7" s="706">
        <v>0.61178861788617889</v>
      </c>
      <c r="G7" s="677">
        <v>0.26219512195121952</v>
      </c>
      <c r="H7" s="677">
        <v>0.12601626016260162</v>
      </c>
      <c r="I7" s="712">
        <v>0</v>
      </c>
      <c r="J7" s="709">
        <v>22</v>
      </c>
      <c r="K7" s="664">
        <v>39</v>
      </c>
      <c r="L7" s="664">
        <v>62</v>
      </c>
      <c r="M7" s="665"/>
      <c r="N7" s="706">
        <v>0.17886178861788618</v>
      </c>
      <c r="O7" s="677">
        <v>0.31707317073170732</v>
      </c>
      <c r="P7" s="677">
        <v>0.50406504065040647</v>
      </c>
      <c r="Q7" s="700">
        <v>0</v>
      </c>
    </row>
    <row r="8" spans="1:17" ht="14.4" customHeight="1" x14ac:dyDescent="0.3">
      <c r="A8" s="703" t="s">
        <v>1904</v>
      </c>
      <c r="B8" s="709">
        <v>8</v>
      </c>
      <c r="C8" s="664"/>
      <c r="D8" s="664"/>
      <c r="E8" s="665"/>
      <c r="F8" s="706">
        <v>1</v>
      </c>
      <c r="G8" s="677">
        <v>0</v>
      </c>
      <c r="H8" s="677">
        <v>0</v>
      </c>
      <c r="I8" s="712">
        <v>0</v>
      </c>
      <c r="J8" s="709">
        <v>4</v>
      </c>
      <c r="K8" s="664"/>
      <c r="L8" s="664"/>
      <c r="M8" s="665"/>
      <c r="N8" s="706">
        <v>1</v>
      </c>
      <c r="O8" s="677">
        <v>0</v>
      </c>
      <c r="P8" s="677">
        <v>0</v>
      </c>
      <c r="Q8" s="700">
        <v>0</v>
      </c>
    </row>
    <row r="9" spans="1:17" ht="14.4" customHeight="1" x14ac:dyDescent="0.3">
      <c r="A9" s="703" t="s">
        <v>1905</v>
      </c>
      <c r="B9" s="709">
        <v>376</v>
      </c>
      <c r="C9" s="664">
        <v>198</v>
      </c>
      <c r="D9" s="664">
        <v>63</v>
      </c>
      <c r="E9" s="665"/>
      <c r="F9" s="706">
        <v>0.59026687598116168</v>
      </c>
      <c r="G9" s="677">
        <v>0.31083202511773939</v>
      </c>
      <c r="H9" s="677">
        <v>9.8901098901098897E-2</v>
      </c>
      <c r="I9" s="712">
        <v>0</v>
      </c>
      <c r="J9" s="709">
        <v>22</v>
      </c>
      <c r="K9" s="664">
        <v>57</v>
      </c>
      <c r="L9" s="664">
        <v>63</v>
      </c>
      <c r="M9" s="665"/>
      <c r="N9" s="706">
        <v>0.15492957746478872</v>
      </c>
      <c r="O9" s="677">
        <v>0.40140845070422537</v>
      </c>
      <c r="P9" s="677">
        <v>0.44366197183098594</v>
      </c>
      <c r="Q9" s="700">
        <v>0</v>
      </c>
    </row>
    <row r="10" spans="1:17" ht="14.4" customHeight="1" thickBot="1" x14ac:dyDescent="0.35">
      <c r="A10" s="704" t="s">
        <v>1906</v>
      </c>
      <c r="B10" s="710">
        <v>254</v>
      </c>
      <c r="C10" s="670">
        <v>4</v>
      </c>
      <c r="D10" s="670"/>
      <c r="E10" s="671"/>
      <c r="F10" s="707">
        <v>0.98449612403100772</v>
      </c>
      <c r="G10" s="678">
        <v>1.5503875968992248E-2</v>
      </c>
      <c r="H10" s="678">
        <v>0</v>
      </c>
      <c r="I10" s="713">
        <v>0</v>
      </c>
      <c r="J10" s="710">
        <v>43</v>
      </c>
      <c r="K10" s="670">
        <v>4</v>
      </c>
      <c r="L10" s="670"/>
      <c r="M10" s="671"/>
      <c r="N10" s="707">
        <v>0.91489361702127658</v>
      </c>
      <c r="O10" s="678">
        <v>8.5106382978723402E-2</v>
      </c>
      <c r="P10" s="678">
        <v>0</v>
      </c>
      <c r="Q10" s="70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5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20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54" customWidth="1"/>
    <col min="2" max="2" width="34.21875" style="254" customWidth="1"/>
    <col min="3" max="3" width="11.109375" style="254" bestFit="1" customWidth="1"/>
    <col min="4" max="4" width="7.33203125" style="254" bestFit="1" customWidth="1"/>
    <col min="5" max="5" width="11.109375" style="254" bestFit="1" customWidth="1"/>
    <col min="6" max="6" width="5.33203125" style="254" customWidth="1"/>
    <col min="7" max="7" width="7.33203125" style="254" bestFit="1" customWidth="1"/>
    <col min="8" max="8" width="5.33203125" style="254" customWidth="1"/>
    <col min="9" max="9" width="11.109375" style="254" customWidth="1"/>
    <col min="10" max="10" width="5.33203125" style="254" customWidth="1"/>
    <col min="11" max="11" width="7.33203125" style="254" customWidth="1"/>
    <col min="12" max="12" width="5.33203125" style="254" customWidth="1"/>
    <col min="13" max="13" width="0" style="254" hidden="1" customWidth="1"/>
    <col min="14" max="16384" width="8.88671875" style="254"/>
  </cols>
  <sheetData>
    <row r="1" spans="1:14" ht="18.600000000000001" customHeight="1" thickBot="1" x14ac:dyDescent="0.4">
      <c r="A1" s="516" t="s">
        <v>178</v>
      </c>
      <c r="B1" s="516"/>
      <c r="C1" s="516"/>
      <c r="D1" s="516"/>
      <c r="E1" s="516"/>
      <c r="F1" s="516"/>
      <c r="G1" s="516"/>
      <c r="H1" s="516"/>
      <c r="I1" s="479"/>
      <c r="J1" s="479"/>
      <c r="K1" s="479"/>
      <c r="L1" s="479"/>
    </row>
    <row r="2" spans="1:14" ht="14.4" customHeight="1" thickBot="1" x14ac:dyDescent="0.35">
      <c r="A2" s="383" t="s">
        <v>334</v>
      </c>
      <c r="B2" s="336"/>
      <c r="C2" s="336"/>
      <c r="D2" s="336"/>
      <c r="E2" s="336"/>
      <c r="F2" s="336"/>
      <c r="G2" s="336"/>
      <c r="H2" s="336"/>
    </row>
    <row r="3" spans="1:14" ht="14.4" customHeight="1" thickBot="1" x14ac:dyDescent="0.35">
      <c r="A3" s="269"/>
      <c r="B3" s="269"/>
      <c r="C3" s="533" t="s">
        <v>15</v>
      </c>
      <c r="D3" s="532"/>
      <c r="E3" s="532" t="s">
        <v>16</v>
      </c>
      <c r="F3" s="532"/>
      <c r="G3" s="532"/>
      <c r="H3" s="532"/>
      <c r="I3" s="532" t="s">
        <v>191</v>
      </c>
      <c r="J3" s="532"/>
      <c r="K3" s="532"/>
      <c r="L3" s="534"/>
    </row>
    <row r="4" spans="1:14" ht="14.4" customHeight="1" thickBot="1" x14ac:dyDescent="0.35">
      <c r="A4" s="106" t="s">
        <v>17</v>
      </c>
      <c r="B4" s="107" t="s">
        <v>18</v>
      </c>
      <c r="C4" s="108" t="s">
        <v>19</v>
      </c>
      <c r="D4" s="108" t="s">
        <v>20</v>
      </c>
      <c r="E4" s="108" t="s">
        <v>19</v>
      </c>
      <c r="F4" s="108" t="s">
        <v>2</v>
      </c>
      <c r="G4" s="108" t="s">
        <v>20</v>
      </c>
      <c r="H4" s="108" t="s">
        <v>2</v>
      </c>
      <c r="I4" s="108" t="s">
        <v>19</v>
      </c>
      <c r="J4" s="108" t="s">
        <v>2</v>
      </c>
      <c r="K4" s="108" t="s">
        <v>20</v>
      </c>
      <c r="L4" s="109" t="s">
        <v>2</v>
      </c>
    </row>
    <row r="5" spans="1:14" ht="14.4" customHeight="1" x14ac:dyDescent="0.3">
      <c r="A5" s="644">
        <v>50</v>
      </c>
      <c r="B5" s="645" t="s">
        <v>553</v>
      </c>
      <c r="C5" s="648">
        <v>151550.82000000004</v>
      </c>
      <c r="D5" s="648">
        <v>463</v>
      </c>
      <c r="E5" s="648">
        <v>68988.090000000011</v>
      </c>
      <c r="F5" s="714">
        <v>0.45521423110742648</v>
      </c>
      <c r="G5" s="648">
        <v>181</v>
      </c>
      <c r="H5" s="714">
        <v>0.39092872570194387</v>
      </c>
      <c r="I5" s="648">
        <v>82562.73000000001</v>
      </c>
      <c r="J5" s="714">
        <v>0.54478576889257335</v>
      </c>
      <c r="K5" s="648">
        <v>282</v>
      </c>
      <c r="L5" s="714">
        <v>0.60907127429805619</v>
      </c>
      <c r="M5" s="648" t="s">
        <v>74</v>
      </c>
      <c r="N5" s="277"/>
    </row>
    <row r="6" spans="1:14" ht="14.4" customHeight="1" x14ac:dyDescent="0.3">
      <c r="A6" s="644">
        <v>50</v>
      </c>
      <c r="B6" s="645" t="s">
        <v>1907</v>
      </c>
      <c r="C6" s="648">
        <v>128678.50000000003</v>
      </c>
      <c r="D6" s="648">
        <v>367.5</v>
      </c>
      <c r="E6" s="648">
        <v>47870.770000000011</v>
      </c>
      <c r="F6" s="714">
        <v>0.37201840245262419</v>
      </c>
      <c r="G6" s="648">
        <v>90.5</v>
      </c>
      <c r="H6" s="714">
        <v>0.24625850340136055</v>
      </c>
      <c r="I6" s="648">
        <v>80807.73000000001</v>
      </c>
      <c r="J6" s="714">
        <v>0.62798159754737581</v>
      </c>
      <c r="K6" s="648">
        <v>277</v>
      </c>
      <c r="L6" s="714">
        <v>0.75374149659863943</v>
      </c>
      <c r="M6" s="648" t="s">
        <v>1</v>
      </c>
      <c r="N6" s="277"/>
    </row>
    <row r="7" spans="1:14" ht="14.4" customHeight="1" x14ac:dyDescent="0.3">
      <c r="A7" s="644">
        <v>50</v>
      </c>
      <c r="B7" s="645" t="s">
        <v>1908</v>
      </c>
      <c r="C7" s="648">
        <v>0</v>
      </c>
      <c r="D7" s="648">
        <v>1.5</v>
      </c>
      <c r="E7" s="648">
        <v>0</v>
      </c>
      <c r="F7" s="714" t="s">
        <v>554</v>
      </c>
      <c r="G7" s="648">
        <v>0.5</v>
      </c>
      <c r="H7" s="714">
        <v>0.33333333333333331</v>
      </c>
      <c r="I7" s="648">
        <v>0</v>
      </c>
      <c r="J7" s="714" t="s">
        <v>554</v>
      </c>
      <c r="K7" s="648">
        <v>1</v>
      </c>
      <c r="L7" s="714">
        <v>0.66666666666666663</v>
      </c>
      <c r="M7" s="648" t="s">
        <v>1</v>
      </c>
      <c r="N7" s="277"/>
    </row>
    <row r="8" spans="1:14" ht="14.4" customHeight="1" x14ac:dyDescent="0.3">
      <c r="A8" s="644">
        <v>50</v>
      </c>
      <c r="B8" s="645" t="s">
        <v>1909</v>
      </c>
      <c r="C8" s="648">
        <v>22872.320000000003</v>
      </c>
      <c r="D8" s="648">
        <v>94</v>
      </c>
      <c r="E8" s="648">
        <v>21117.320000000003</v>
      </c>
      <c r="F8" s="714">
        <v>0.92326969891991717</v>
      </c>
      <c r="G8" s="648">
        <v>90</v>
      </c>
      <c r="H8" s="714">
        <v>0.95744680851063835</v>
      </c>
      <c r="I8" s="648">
        <v>1755</v>
      </c>
      <c r="J8" s="714">
        <v>7.6730301080082816E-2</v>
      </c>
      <c r="K8" s="648">
        <v>4</v>
      </c>
      <c r="L8" s="714">
        <v>4.2553191489361701E-2</v>
      </c>
      <c r="M8" s="648" t="s">
        <v>1</v>
      </c>
      <c r="N8" s="277"/>
    </row>
    <row r="9" spans="1:14" ht="14.4" customHeight="1" x14ac:dyDescent="0.3">
      <c r="A9" s="644" t="s">
        <v>552</v>
      </c>
      <c r="B9" s="645" t="s">
        <v>3</v>
      </c>
      <c r="C9" s="648">
        <v>151550.82000000004</v>
      </c>
      <c r="D9" s="648">
        <v>463</v>
      </c>
      <c r="E9" s="648">
        <v>68988.090000000011</v>
      </c>
      <c r="F9" s="714">
        <v>0.45521423110742648</v>
      </c>
      <c r="G9" s="648">
        <v>181</v>
      </c>
      <c r="H9" s="714">
        <v>0.39092872570194387</v>
      </c>
      <c r="I9" s="648">
        <v>82562.73000000001</v>
      </c>
      <c r="J9" s="714">
        <v>0.54478576889257335</v>
      </c>
      <c r="K9" s="648">
        <v>282</v>
      </c>
      <c r="L9" s="714">
        <v>0.60907127429805619</v>
      </c>
      <c r="M9" s="648" t="s">
        <v>557</v>
      </c>
      <c r="N9" s="277"/>
    </row>
    <row r="11" spans="1:14" ht="14.4" customHeight="1" x14ac:dyDescent="0.3">
      <c r="A11" s="644">
        <v>50</v>
      </c>
      <c r="B11" s="645" t="s">
        <v>553</v>
      </c>
      <c r="C11" s="648" t="s">
        <v>554</v>
      </c>
      <c r="D11" s="648" t="s">
        <v>554</v>
      </c>
      <c r="E11" s="648" t="s">
        <v>554</v>
      </c>
      <c r="F11" s="714" t="s">
        <v>554</v>
      </c>
      <c r="G11" s="648" t="s">
        <v>554</v>
      </c>
      <c r="H11" s="714" t="s">
        <v>554</v>
      </c>
      <c r="I11" s="648" t="s">
        <v>554</v>
      </c>
      <c r="J11" s="714" t="s">
        <v>554</v>
      </c>
      <c r="K11" s="648" t="s">
        <v>554</v>
      </c>
      <c r="L11" s="714" t="s">
        <v>554</v>
      </c>
      <c r="M11" s="648" t="s">
        <v>74</v>
      </c>
      <c r="N11" s="277"/>
    </row>
    <row r="12" spans="1:14" ht="14.4" customHeight="1" x14ac:dyDescent="0.3">
      <c r="A12" s="644">
        <v>89301501</v>
      </c>
      <c r="B12" s="645" t="s">
        <v>1907</v>
      </c>
      <c r="C12" s="648">
        <v>26286.620000000003</v>
      </c>
      <c r="D12" s="648">
        <v>161</v>
      </c>
      <c r="E12" s="648">
        <v>2362.8000000000002</v>
      </c>
      <c r="F12" s="714">
        <v>8.9886033274723026E-2</v>
      </c>
      <c r="G12" s="648">
        <v>20</v>
      </c>
      <c r="H12" s="714">
        <v>0.12422360248447205</v>
      </c>
      <c r="I12" s="648">
        <v>23923.820000000003</v>
      </c>
      <c r="J12" s="714">
        <v>0.910113966725277</v>
      </c>
      <c r="K12" s="648">
        <v>141</v>
      </c>
      <c r="L12" s="714">
        <v>0.87577639751552794</v>
      </c>
      <c r="M12" s="648" t="s">
        <v>1</v>
      </c>
      <c r="N12" s="277"/>
    </row>
    <row r="13" spans="1:14" ht="14.4" customHeight="1" x14ac:dyDescent="0.3">
      <c r="A13" s="644" t="s">
        <v>1910</v>
      </c>
      <c r="B13" s="645" t="s">
        <v>1911</v>
      </c>
      <c r="C13" s="648">
        <v>26286.620000000003</v>
      </c>
      <c r="D13" s="648">
        <v>161</v>
      </c>
      <c r="E13" s="648">
        <v>2362.8000000000002</v>
      </c>
      <c r="F13" s="714">
        <v>8.9886033274723026E-2</v>
      </c>
      <c r="G13" s="648">
        <v>20</v>
      </c>
      <c r="H13" s="714">
        <v>0.12422360248447205</v>
      </c>
      <c r="I13" s="648">
        <v>23923.820000000003</v>
      </c>
      <c r="J13" s="714">
        <v>0.910113966725277</v>
      </c>
      <c r="K13" s="648">
        <v>141</v>
      </c>
      <c r="L13" s="714">
        <v>0.87577639751552794</v>
      </c>
      <c r="M13" s="648" t="s">
        <v>561</v>
      </c>
      <c r="N13" s="277"/>
    </row>
    <row r="14" spans="1:14" ht="14.4" customHeight="1" x14ac:dyDescent="0.3">
      <c r="A14" s="644" t="s">
        <v>554</v>
      </c>
      <c r="B14" s="645" t="s">
        <v>554</v>
      </c>
      <c r="C14" s="648" t="s">
        <v>554</v>
      </c>
      <c r="D14" s="648" t="s">
        <v>554</v>
      </c>
      <c r="E14" s="648" t="s">
        <v>554</v>
      </c>
      <c r="F14" s="714" t="s">
        <v>554</v>
      </c>
      <c r="G14" s="648" t="s">
        <v>554</v>
      </c>
      <c r="H14" s="714" t="s">
        <v>554</v>
      </c>
      <c r="I14" s="648" t="s">
        <v>554</v>
      </c>
      <c r="J14" s="714" t="s">
        <v>554</v>
      </c>
      <c r="K14" s="648" t="s">
        <v>554</v>
      </c>
      <c r="L14" s="714" t="s">
        <v>554</v>
      </c>
      <c r="M14" s="648" t="s">
        <v>562</v>
      </c>
      <c r="N14" s="277"/>
    </row>
    <row r="15" spans="1:14" ht="14.4" customHeight="1" x14ac:dyDescent="0.3">
      <c r="A15" s="644">
        <v>89301502</v>
      </c>
      <c r="B15" s="645" t="s">
        <v>1907</v>
      </c>
      <c r="C15" s="648">
        <v>102391.88000000003</v>
      </c>
      <c r="D15" s="648">
        <v>206.5</v>
      </c>
      <c r="E15" s="648">
        <v>45507.97</v>
      </c>
      <c r="F15" s="714">
        <v>0.44444901294907357</v>
      </c>
      <c r="G15" s="648">
        <v>70.5</v>
      </c>
      <c r="H15" s="714">
        <v>0.34140435835351091</v>
      </c>
      <c r="I15" s="648">
        <v>56883.910000000033</v>
      </c>
      <c r="J15" s="714">
        <v>0.55555098705092643</v>
      </c>
      <c r="K15" s="648">
        <v>136</v>
      </c>
      <c r="L15" s="714">
        <v>0.65859564164648909</v>
      </c>
      <c r="M15" s="648" t="s">
        <v>1</v>
      </c>
      <c r="N15" s="277"/>
    </row>
    <row r="16" spans="1:14" ht="14.4" customHeight="1" x14ac:dyDescent="0.3">
      <c r="A16" s="644">
        <v>89301502</v>
      </c>
      <c r="B16" s="645" t="s">
        <v>1908</v>
      </c>
      <c r="C16" s="648">
        <v>0</v>
      </c>
      <c r="D16" s="648">
        <v>1.5</v>
      </c>
      <c r="E16" s="648">
        <v>0</v>
      </c>
      <c r="F16" s="714" t="s">
        <v>554</v>
      </c>
      <c r="G16" s="648">
        <v>0.5</v>
      </c>
      <c r="H16" s="714">
        <v>0.33333333333333331</v>
      </c>
      <c r="I16" s="648">
        <v>0</v>
      </c>
      <c r="J16" s="714" t="s">
        <v>554</v>
      </c>
      <c r="K16" s="648">
        <v>1</v>
      </c>
      <c r="L16" s="714">
        <v>0.66666666666666663</v>
      </c>
      <c r="M16" s="648" t="s">
        <v>1</v>
      </c>
      <c r="N16" s="277"/>
    </row>
    <row r="17" spans="1:14" ht="14.4" customHeight="1" x14ac:dyDescent="0.3">
      <c r="A17" s="644">
        <v>89301502</v>
      </c>
      <c r="B17" s="645" t="s">
        <v>1909</v>
      </c>
      <c r="C17" s="648">
        <v>22872.320000000003</v>
      </c>
      <c r="D17" s="648">
        <v>94</v>
      </c>
      <c r="E17" s="648">
        <v>21117.320000000003</v>
      </c>
      <c r="F17" s="714">
        <v>0.92326969891991717</v>
      </c>
      <c r="G17" s="648">
        <v>90</v>
      </c>
      <c r="H17" s="714">
        <v>0.95744680851063835</v>
      </c>
      <c r="I17" s="648">
        <v>1755</v>
      </c>
      <c r="J17" s="714">
        <v>7.6730301080082816E-2</v>
      </c>
      <c r="K17" s="648">
        <v>4</v>
      </c>
      <c r="L17" s="714">
        <v>4.2553191489361701E-2</v>
      </c>
      <c r="M17" s="648" t="s">
        <v>1</v>
      </c>
      <c r="N17" s="277"/>
    </row>
    <row r="18" spans="1:14" ht="14.4" customHeight="1" x14ac:dyDescent="0.3">
      <c r="A18" s="644" t="s">
        <v>1912</v>
      </c>
      <c r="B18" s="645" t="s">
        <v>1913</v>
      </c>
      <c r="C18" s="648">
        <v>125264.20000000004</v>
      </c>
      <c r="D18" s="648">
        <v>302</v>
      </c>
      <c r="E18" s="648">
        <v>66625.290000000008</v>
      </c>
      <c r="F18" s="714">
        <v>0.53187814235831132</v>
      </c>
      <c r="G18" s="648">
        <v>161</v>
      </c>
      <c r="H18" s="714">
        <v>0.5331125827814569</v>
      </c>
      <c r="I18" s="648">
        <v>58638.910000000033</v>
      </c>
      <c r="J18" s="714">
        <v>0.46812185764168862</v>
      </c>
      <c r="K18" s="648">
        <v>141</v>
      </c>
      <c r="L18" s="714">
        <v>0.46688741721854304</v>
      </c>
      <c r="M18" s="648" t="s">
        <v>561</v>
      </c>
      <c r="N18" s="277"/>
    </row>
    <row r="19" spans="1:14" ht="14.4" customHeight="1" x14ac:dyDescent="0.3">
      <c r="A19" s="644" t="s">
        <v>554</v>
      </c>
      <c r="B19" s="645" t="s">
        <v>554</v>
      </c>
      <c r="C19" s="648" t="s">
        <v>554</v>
      </c>
      <c r="D19" s="648" t="s">
        <v>554</v>
      </c>
      <c r="E19" s="648" t="s">
        <v>554</v>
      </c>
      <c r="F19" s="714" t="s">
        <v>554</v>
      </c>
      <c r="G19" s="648" t="s">
        <v>554</v>
      </c>
      <c r="H19" s="714" t="s">
        <v>554</v>
      </c>
      <c r="I19" s="648" t="s">
        <v>554</v>
      </c>
      <c r="J19" s="714" t="s">
        <v>554</v>
      </c>
      <c r="K19" s="648" t="s">
        <v>554</v>
      </c>
      <c r="L19" s="714" t="s">
        <v>554</v>
      </c>
      <c r="M19" s="648" t="s">
        <v>562</v>
      </c>
      <c r="N19" s="277"/>
    </row>
    <row r="20" spans="1:14" ht="14.4" customHeight="1" x14ac:dyDescent="0.3">
      <c r="A20" s="644" t="s">
        <v>552</v>
      </c>
      <c r="B20" s="645" t="s">
        <v>556</v>
      </c>
      <c r="C20" s="648">
        <v>151550.82000000004</v>
      </c>
      <c r="D20" s="648">
        <v>463</v>
      </c>
      <c r="E20" s="648">
        <v>68988.090000000011</v>
      </c>
      <c r="F20" s="714">
        <v>0.45521423110742648</v>
      </c>
      <c r="G20" s="648">
        <v>181</v>
      </c>
      <c r="H20" s="714">
        <v>0.39092872570194387</v>
      </c>
      <c r="I20" s="648">
        <v>82562.73000000004</v>
      </c>
      <c r="J20" s="714">
        <v>0.54478576889257357</v>
      </c>
      <c r="K20" s="648">
        <v>282</v>
      </c>
      <c r="L20" s="714">
        <v>0.60907127429805619</v>
      </c>
      <c r="M20" s="648" t="s">
        <v>557</v>
      </c>
      <c r="N20" s="277"/>
    </row>
  </sheetData>
  <autoFilter ref="A4:M4"/>
  <mergeCells count="4">
    <mergeCell ref="E3:H3"/>
    <mergeCell ref="C3:D3"/>
    <mergeCell ref="I3:L3"/>
    <mergeCell ref="A1:L1"/>
  </mergeCells>
  <conditionalFormatting sqref="F4 F10 F21:F1048576">
    <cfRule type="cellIs" dxfId="53" priority="15" stopIfTrue="1" operator="lessThan">
      <formula>0.6</formula>
    </cfRule>
  </conditionalFormatting>
  <conditionalFormatting sqref="B5:B9">
    <cfRule type="expression" dxfId="52" priority="10">
      <formula>AND(LEFT(M5,6)&lt;&gt;"mezera",M5&lt;&gt;"")</formula>
    </cfRule>
  </conditionalFormatting>
  <conditionalFormatting sqref="A5:A9">
    <cfRule type="expression" dxfId="51" priority="8">
      <formula>AND(M5&lt;&gt;"",M5&lt;&gt;"mezeraKL")</formula>
    </cfRule>
  </conditionalFormatting>
  <conditionalFormatting sqref="F5:F9">
    <cfRule type="cellIs" dxfId="50" priority="7" operator="lessThan">
      <formula>0.6</formula>
    </cfRule>
  </conditionalFormatting>
  <conditionalFormatting sqref="B5:L9">
    <cfRule type="expression" dxfId="49" priority="9">
      <formula>OR($M5="KL",$M5="SumaKL")</formula>
    </cfRule>
    <cfRule type="expression" dxfId="48" priority="11">
      <formula>$M5="SumaNS"</formula>
    </cfRule>
  </conditionalFormatting>
  <conditionalFormatting sqref="A5:L9">
    <cfRule type="expression" dxfId="47" priority="12">
      <formula>$M5&lt;&gt;""</formula>
    </cfRule>
  </conditionalFormatting>
  <conditionalFormatting sqref="B11:B20">
    <cfRule type="expression" dxfId="46" priority="4">
      <formula>AND(LEFT(M11,6)&lt;&gt;"mezera",M11&lt;&gt;"")</formula>
    </cfRule>
  </conditionalFormatting>
  <conditionalFormatting sqref="A11:A20">
    <cfRule type="expression" dxfId="45" priority="2">
      <formula>AND(M11&lt;&gt;"",M11&lt;&gt;"mezeraKL")</formula>
    </cfRule>
  </conditionalFormatting>
  <conditionalFormatting sqref="F11:F20">
    <cfRule type="cellIs" dxfId="44" priority="1" operator="lessThan">
      <formula>0.6</formula>
    </cfRule>
  </conditionalFormatting>
  <conditionalFormatting sqref="B11:L20">
    <cfRule type="expression" dxfId="43" priority="3">
      <formula>OR($M11="KL",$M11="SumaKL")</formula>
    </cfRule>
    <cfRule type="expression" dxfId="42" priority="5">
      <formula>$M11="SumaNS"</formula>
    </cfRule>
  </conditionalFormatting>
  <conditionalFormatting sqref="A11:L20">
    <cfRule type="expression" dxfId="41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54" customWidth="1"/>
    <col min="2" max="2" width="11.109375" style="337" bestFit="1" customWidth="1"/>
    <col min="3" max="3" width="11.109375" style="254" hidden="1" customWidth="1"/>
    <col min="4" max="4" width="7.33203125" style="337" bestFit="1" customWidth="1"/>
    <col min="5" max="5" width="7.33203125" style="254" hidden="1" customWidth="1"/>
    <col min="6" max="6" width="11.109375" style="337" bestFit="1" customWidth="1"/>
    <col min="7" max="7" width="5.33203125" style="340" customWidth="1"/>
    <col min="8" max="8" width="7.33203125" style="337" bestFit="1" customWidth="1"/>
    <col min="9" max="9" width="5.33203125" style="340" customWidth="1"/>
    <col min="10" max="10" width="11.109375" style="337" customWidth="1"/>
    <col min="11" max="11" width="5.33203125" style="340" customWidth="1"/>
    <col min="12" max="12" width="7.33203125" style="337" customWidth="1"/>
    <col min="13" max="13" width="5.33203125" style="340" customWidth="1"/>
    <col min="14" max="14" width="0" style="254" hidden="1" customWidth="1"/>
    <col min="15" max="16384" width="8.88671875" style="254"/>
  </cols>
  <sheetData>
    <row r="1" spans="1:13" ht="18.600000000000001" customHeight="1" thickBot="1" x14ac:dyDescent="0.4">
      <c r="A1" s="516" t="s">
        <v>192</v>
      </c>
      <c r="B1" s="516"/>
      <c r="C1" s="516"/>
      <c r="D1" s="516"/>
      <c r="E1" s="516"/>
      <c r="F1" s="516"/>
      <c r="G1" s="516"/>
      <c r="H1" s="516"/>
      <c r="I1" s="516"/>
      <c r="J1" s="479"/>
      <c r="K1" s="479"/>
      <c r="L1" s="479"/>
      <c r="M1" s="479"/>
    </row>
    <row r="2" spans="1:13" ht="14.4" customHeight="1" thickBot="1" x14ac:dyDescent="0.35">
      <c r="A2" s="383" t="s">
        <v>334</v>
      </c>
      <c r="B2" s="344"/>
      <c r="C2" s="336"/>
      <c r="D2" s="344"/>
      <c r="E2" s="336"/>
      <c r="F2" s="344"/>
      <c r="G2" s="345"/>
      <c r="H2" s="344"/>
      <c r="I2" s="345"/>
    </row>
    <row r="3" spans="1:13" ht="14.4" customHeight="1" thickBot="1" x14ac:dyDescent="0.35">
      <c r="A3" s="269"/>
      <c r="B3" s="533" t="s">
        <v>15</v>
      </c>
      <c r="C3" s="535"/>
      <c r="D3" s="532"/>
      <c r="E3" s="268"/>
      <c r="F3" s="532" t="s">
        <v>16</v>
      </c>
      <c r="G3" s="532"/>
      <c r="H3" s="532"/>
      <c r="I3" s="532"/>
      <c r="J3" s="532" t="s">
        <v>191</v>
      </c>
      <c r="K3" s="532"/>
      <c r="L3" s="532"/>
      <c r="M3" s="534"/>
    </row>
    <row r="4" spans="1:13" ht="14.4" customHeight="1" thickBot="1" x14ac:dyDescent="0.35">
      <c r="A4" s="693" t="s">
        <v>168</v>
      </c>
      <c r="B4" s="694" t="s">
        <v>19</v>
      </c>
      <c r="C4" s="718"/>
      <c r="D4" s="694" t="s">
        <v>20</v>
      </c>
      <c r="E4" s="718"/>
      <c r="F4" s="694" t="s">
        <v>19</v>
      </c>
      <c r="G4" s="697" t="s">
        <v>2</v>
      </c>
      <c r="H4" s="694" t="s">
        <v>20</v>
      </c>
      <c r="I4" s="697" t="s">
        <v>2</v>
      </c>
      <c r="J4" s="694" t="s">
        <v>19</v>
      </c>
      <c r="K4" s="697" t="s">
        <v>2</v>
      </c>
      <c r="L4" s="694" t="s">
        <v>20</v>
      </c>
      <c r="M4" s="698" t="s">
        <v>2</v>
      </c>
    </row>
    <row r="5" spans="1:13" ht="14.4" customHeight="1" x14ac:dyDescent="0.3">
      <c r="A5" s="715" t="s">
        <v>1914</v>
      </c>
      <c r="B5" s="708">
        <v>70.23</v>
      </c>
      <c r="C5" s="655">
        <v>1</v>
      </c>
      <c r="D5" s="719">
        <v>2</v>
      </c>
      <c r="E5" s="722" t="s">
        <v>1914</v>
      </c>
      <c r="F5" s="708"/>
      <c r="G5" s="676">
        <v>0</v>
      </c>
      <c r="H5" s="658"/>
      <c r="I5" s="699">
        <v>0</v>
      </c>
      <c r="J5" s="725">
        <v>70.23</v>
      </c>
      <c r="K5" s="676">
        <v>1</v>
      </c>
      <c r="L5" s="658">
        <v>2</v>
      </c>
      <c r="M5" s="699">
        <v>1</v>
      </c>
    </row>
    <row r="6" spans="1:13" ht="14.4" customHeight="1" x14ac:dyDescent="0.3">
      <c r="A6" s="716" t="s">
        <v>1915</v>
      </c>
      <c r="B6" s="709">
        <v>20777.169999999998</v>
      </c>
      <c r="C6" s="661">
        <v>1</v>
      </c>
      <c r="D6" s="720">
        <v>84</v>
      </c>
      <c r="E6" s="723" t="s">
        <v>1915</v>
      </c>
      <c r="F6" s="709">
        <v>7752.51</v>
      </c>
      <c r="G6" s="677">
        <v>0.3731263689905796</v>
      </c>
      <c r="H6" s="664">
        <v>34</v>
      </c>
      <c r="I6" s="700">
        <v>0.40476190476190477</v>
      </c>
      <c r="J6" s="726">
        <v>13024.66</v>
      </c>
      <c r="K6" s="677">
        <v>0.62687363100942051</v>
      </c>
      <c r="L6" s="664">
        <v>50</v>
      </c>
      <c r="M6" s="700">
        <v>0.59523809523809523</v>
      </c>
    </row>
    <row r="7" spans="1:13" ht="14.4" customHeight="1" x14ac:dyDescent="0.3">
      <c r="A7" s="716" t="s">
        <v>1916</v>
      </c>
      <c r="B7" s="709">
        <v>3402.9</v>
      </c>
      <c r="C7" s="661">
        <v>1</v>
      </c>
      <c r="D7" s="720">
        <v>22</v>
      </c>
      <c r="E7" s="723" t="s">
        <v>1916</v>
      </c>
      <c r="F7" s="709">
        <v>235.57000000000002</v>
      </c>
      <c r="G7" s="677">
        <v>6.922624820006465E-2</v>
      </c>
      <c r="H7" s="664">
        <v>2</v>
      </c>
      <c r="I7" s="700">
        <v>9.0909090909090912E-2</v>
      </c>
      <c r="J7" s="726">
        <v>3167.33</v>
      </c>
      <c r="K7" s="677">
        <v>0.93077375179993527</v>
      </c>
      <c r="L7" s="664">
        <v>20</v>
      </c>
      <c r="M7" s="700">
        <v>0.90909090909090906</v>
      </c>
    </row>
    <row r="8" spans="1:13" ht="14.4" customHeight="1" x14ac:dyDescent="0.3">
      <c r="A8" s="716" t="s">
        <v>1917</v>
      </c>
      <c r="B8" s="709">
        <v>7020.8299999999972</v>
      </c>
      <c r="C8" s="661">
        <v>1</v>
      </c>
      <c r="D8" s="720">
        <v>44</v>
      </c>
      <c r="E8" s="723" t="s">
        <v>1917</v>
      </c>
      <c r="F8" s="709">
        <v>0</v>
      </c>
      <c r="G8" s="677">
        <v>0</v>
      </c>
      <c r="H8" s="664">
        <v>1</v>
      </c>
      <c r="I8" s="700">
        <v>2.2727272727272728E-2</v>
      </c>
      <c r="J8" s="726">
        <v>7020.8299999999972</v>
      </c>
      <c r="K8" s="677">
        <v>1</v>
      </c>
      <c r="L8" s="664">
        <v>43</v>
      </c>
      <c r="M8" s="700">
        <v>0.97727272727272729</v>
      </c>
    </row>
    <row r="9" spans="1:13" ht="14.4" customHeight="1" x14ac:dyDescent="0.3">
      <c r="A9" s="716" t="s">
        <v>1918</v>
      </c>
      <c r="B9" s="709">
        <v>3478.5599999999995</v>
      </c>
      <c r="C9" s="661">
        <v>1</v>
      </c>
      <c r="D9" s="720">
        <v>28</v>
      </c>
      <c r="E9" s="723" t="s">
        <v>1918</v>
      </c>
      <c r="F9" s="709">
        <v>589.82999999999993</v>
      </c>
      <c r="G9" s="677">
        <v>0.16956154270732718</v>
      </c>
      <c r="H9" s="664">
        <v>6</v>
      </c>
      <c r="I9" s="700">
        <v>0.21428571428571427</v>
      </c>
      <c r="J9" s="726">
        <v>2888.7299999999996</v>
      </c>
      <c r="K9" s="677">
        <v>0.83043845729267285</v>
      </c>
      <c r="L9" s="664">
        <v>22</v>
      </c>
      <c r="M9" s="700">
        <v>0.7857142857142857</v>
      </c>
    </row>
    <row r="10" spans="1:13" ht="14.4" customHeight="1" x14ac:dyDescent="0.3">
      <c r="A10" s="716" t="s">
        <v>1919</v>
      </c>
      <c r="B10" s="709">
        <v>0</v>
      </c>
      <c r="C10" s="661"/>
      <c r="D10" s="720">
        <v>1</v>
      </c>
      <c r="E10" s="723" t="s">
        <v>1919</v>
      </c>
      <c r="F10" s="709">
        <v>0</v>
      </c>
      <c r="G10" s="677"/>
      <c r="H10" s="664">
        <v>1</v>
      </c>
      <c r="I10" s="700">
        <v>1</v>
      </c>
      <c r="J10" s="726"/>
      <c r="K10" s="677"/>
      <c r="L10" s="664"/>
      <c r="M10" s="700">
        <v>0</v>
      </c>
    </row>
    <row r="11" spans="1:13" ht="14.4" customHeight="1" x14ac:dyDescent="0.3">
      <c r="A11" s="716" t="s">
        <v>1920</v>
      </c>
      <c r="B11" s="709">
        <v>77580.580000000016</v>
      </c>
      <c r="C11" s="661">
        <v>1</v>
      </c>
      <c r="D11" s="720">
        <v>132</v>
      </c>
      <c r="E11" s="723" t="s">
        <v>1920</v>
      </c>
      <c r="F11" s="709">
        <v>38217.510000000009</v>
      </c>
      <c r="G11" s="677">
        <v>0.49261696677183903</v>
      </c>
      <c r="H11" s="664">
        <v>50</v>
      </c>
      <c r="I11" s="700">
        <v>0.37878787878787878</v>
      </c>
      <c r="J11" s="726">
        <v>39363.070000000014</v>
      </c>
      <c r="K11" s="677">
        <v>0.50738303322816103</v>
      </c>
      <c r="L11" s="664">
        <v>82</v>
      </c>
      <c r="M11" s="700">
        <v>0.62121212121212122</v>
      </c>
    </row>
    <row r="12" spans="1:13" ht="14.4" customHeight="1" x14ac:dyDescent="0.3">
      <c r="A12" s="716" t="s">
        <v>1921</v>
      </c>
      <c r="B12" s="709">
        <v>5018.21</v>
      </c>
      <c r="C12" s="661">
        <v>1</v>
      </c>
      <c r="D12" s="720">
        <v>23</v>
      </c>
      <c r="E12" s="723" t="s">
        <v>1921</v>
      </c>
      <c r="F12" s="709">
        <v>3174.55</v>
      </c>
      <c r="G12" s="677">
        <v>0.63260604877037829</v>
      </c>
      <c r="H12" s="664">
        <v>16</v>
      </c>
      <c r="I12" s="700">
        <v>0.69565217391304346</v>
      </c>
      <c r="J12" s="726">
        <v>1843.6599999999999</v>
      </c>
      <c r="K12" s="677">
        <v>0.36739395122962171</v>
      </c>
      <c r="L12" s="664">
        <v>7</v>
      </c>
      <c r="M12" s="700">
        <v>0.30434782608695654</v>
      </c>
    </row>
    <row r="13" spans="1:13" ht="14.4" customHeight="1" x14ac:dyDescent="0.3">
      <c r="A13" s="716" t="s">
        <v>1922</v>
      </c>
      <c r="B13" s="709">
        <v>1771.99</v>
      </c>
      <c r="C13" s="661">
        <v>1</v>
      </c>
      <c r="D13" s="720">
        <v>17</v>
      </c>
      <c r="E13" s="723" t="s">
        <v>1922</v>
      </c>
      <c r="F13" s="709">
        <v>51.21</v>
      </c>
      <c r="G13" s="677">
        <v>2.8899711623654761E-2</v>
      </c>
      <c r="H13" s="664">
        <v>2</v>
      </c>
      <c r="I13" s="700">
        <v>0.11764705882352941</v>
      </c>
      <c r="J13" s="726">
        <v>1720.78</v>
      </c>
      <c r="K13" s="677">
        <v>0.97110028837634521</v>
      </c>
      <c r="L13" s="664">
        <v>15</v>
      </c>
      <c r="M13" s="700">
        <v>0.88235294117647056</v>
      </c>
    </row>
    <row r="14" spans="1:13" ht="14.4" customHeight="1" x14ac:dyDescent="0.3">
      <c r="A14" s="716" t="s">
        <v>1923</v>
      </c>
      <c r="B14" s="709">
        <v>107.25</v>
      </c>
      <c r="C14" s="661">
        <v>1</v>
      </c>
      <c r="D14" s="720">
        <v>1</v>
      </c>
      <c r="E14" s="723" t="s">
        <v>1923</v>
      </c>
      <c r="F14" s="709">
        <v>107.25</v>
      </c>
      <c r="G14" s="677">
        <v>1</v>
      </c>
      <c r="H14" s="664">
        <v>1</v>
      </c>
      <c r="I14" s="700">
        <v>1</v>
      </c>
      <c r="J14" s="726"/>
      <c r="K14" s="677">
        <v>0</v>
      </c>
      <c r="L14" s="664"/>
      <c r="M14" s="700">
        <v>0</v>
      </c>
    </row>
    <row r="15" spans="1:13" ht="14.4" customHeight="1" x14ac:dyDescent="0.3">
      <c r="A15" s="716" t="s">
        <v>1924</v>
      </c>
      <c r="B15" s="709">
        <v>5327.69</v>
      </c>
      <c r="C15" s="661">
        <v>1</v>
      </c>
      <c r="D15" s="720">
        <v>22</v>
      </c>
      <c r="E15" s="723" t="s">
        <v>1924</v>
      </c>
      <c r="F15" s="709">
        <v>914.79</v>
      </c>
      <c r="G15" s="677">
        <v>0.17170481015224234</v>
      </c>
      <c r="H15" s="664">
        <v>7</v>
      </c>
      <c r="I15" s="700">
        <v>0.31818181818181818</v>
      </c>
      <c r="J15" s="726">
        <v>4412.8999999999996</v>
      </c>
      <c r="K15" s="677">
        <v>0.82829518984775763</v>
      </c>
      <c r="L15" s="664">
        <v>15</v>
      </c>
      <c r="M15" s="700">
        <v>0.68181818181818177</v>
      </c>
    </row>
    <row r="16" spans="1:13" ht="14.4" customHeight="1" thickBot="1" x14ac:dyDescent="0.35">
      <c r="A16" s="717" t="s">
        <v>1925</v>
      </c>
      <c r="B16" s="710">
        <v>26995.410000000003</v>
      </c>
      <c r="C16" s="667">
        <v>1</v>
      </c>
      <c r="D16" s="721">
        <v>87</v>
      </c>
      <c r="E16" s="724" t="s">
        <v>1925</v>
      </c>
      <c r="F16" s="710">
        <v>17944.870000000003</v>
      </c>
      <c r="G16" s="678">
        <v>0.66473782024425632</v>
      </c>
      <c r="H16" s="670">
        <v>61</v>
      </c>
      <c r="I16" s="701">
        <v>0.70114942528735635</v>
      </c>
      <c r="J16" s="727">
        <v>9050.5400000000009</v>
      </c>
      <c r="K16" s="678">
        <v>0.33526217975574363</v>
      </c>
      <c r="L16" s="670">
        <v>26</v>
      </c>
      <c r="M16" s="701">
        <v>0.2988505747126437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40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30"/>
  <sheetViews>
    <sheetView showGridLines="0" showRowColHeaders="0" topLeftCell="C1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54" hidden="1" customWidth="1" outlineLevel="1"/>
    <col min="2" max="2" width="28.33203125" style="254" hidden="1" customWidth="1" outlineLevel="1"/>
    <col min="3" max="3" width="9" style="254" customWidth="1" collapsed="1"/>
    <col min="4" max="4" width="18.77734375" style="348" customWidth="1"/>
    <col min="5" max="5" width="13.5546875" style="338" customWidth="1"/>
    <col min="6" max="6" width="6" style="254" bestFit="1" customWidth="1"/>
    <col min="7" max="7" width="8.77734375" style="254" customWidth="1"/>
    <col min="8" max="8" width="5" style="254" bestFit="1" customWidth="1"/>
    <col min="9" max="9" width="8.5546875" style="254" hidden="1" customWidth="1" outlineLevel="1"/>
    <col min="10" max="10" width="25.77734375" style="254" customWidth="1" collapsed="1"/>
    <col min="11" max="11" width="8.77734375" style="254" customWidth="1"/>
    <col min="12" max="12" width="7.77734375" style="339" customWidth="1"/>
    <col min="13" max="13" width="11.109375" style="339" customWidth="1"/>
    <col min="14" max="14" width="7.77734375" style="254" customWidth="1"/>
    <col min="15" max="15" width="7.77734375" style="349" customWidth="1"/>
    <col min="16" max="16" width="11.109375" style="339" customWidth="1"/>
    <col min="17" max="17" width="5.44140625" style="340" bestFit="1" customWidth="1"/>
    <col min="18" max="18" width="7.77734375" style="254" customWidth="1"/>
    <col min="19" max="19" width="5.44140625" style="340" bestFit="1" customWidth="1"/>
    <col min="20" max="20" width="7.77734375" style="349" customWidth="1"/>
    <col min="21" max="21" width="5.44140625" style="340" bestFit="1" customWidth="1"/>
    <col min="22" max="16384" width="8.88671875" style="254"/>
  </cols>
  <sheetData>
    <row r="1" spans="1:21" ht="18.600000000000001" customHeight="1" thickBot="1" x14ac:dyDescent="0.4">
      <c r="A1" s="507" t="s">
        <v>2565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</row>
    <row r="2" spans="1:21" ht="14.4" customHeight="1" thickBot="1" x14ac:dyDescent="0.35">
      <c r="A2" s="383" t="s">
        <v>334</v>
      </c>
      <c r="B2" s="346"/>
      <c r="C2" s="336"/>
      <c r="D2" s="336"/>
      <c r="E2" s="347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</row>
    <row r="3" spans="1:21" ht="14.4" customHeight="1" thickBot="1" x14ac:dyDescent="0.35">
      <c r="A3" s="539"/>
      <c r="B3" s="540"/>
      <c r="C3" s="540"/>
      <c r="D3" s="540"/>
      <c r="E3" s="540"/>
      <c r="F3" s="540"/>
      <c r="G3" s="540"/>
      <c r="H3" s="540"/>
      <c r="I3" s="540"/>
      <c r="J3" s="540"/>
      <c r="K3" s="541" t="s">
        <v>160</v>
      </c>
      <c r="L3" s="542"/>
      <c r="M3" s="70">
        <f>SUBTOTAL(9,M7:M1048576)</f>
        <v>151550.82000000004</v>
      </c>
      <c r="N3" s="70">
        <f>SUBTOTAL(9,N7:N1048576)</f>
        <v>1119</v>
      </c>
      <c r="O3" s="70">
        <f>SUBTOTAL(9,O7:O1048576)</f>
        <v>463</v>
      </c>
      <c r="P3" s="70">
        <f>SUBTOTAL(9,P7:P1048576)</f>
        <v>68988.090000000011</v>
      </c>
      <c r="Q3" s="71">
        <f>IF(M3=0,0,P3/M3)</f>
        <v>0.45521423110742648</v>
      </c>
      <c r="R3" s="70">
        <f>SUBTOTAL(9,R7:R1048576)</f>
        <v>492</v>
      </c>
      <c r="S3" s="71">
        <f>IF(N3=0,0,R3/N3)</f>
        <v>0.43967828418230565</v>
      </c>
      <c r="T3" s="70">
        <f>SUBTOTAL(9,T7:T1048576)</f>
        <v>181</v>
      </c>
      <c r="U3" s="72">
        <f>IF(O3=0,0,T3/O3)</f>
        <v>0.39092872570194387</v>
      </c>
    </row>
    <row r="4" spans="1:21" ht="14.4" customHeight="1" x14ac:dyDescent="0.3">
      <c r="A4" s="73"/>
      <c r="B4" s="74"/>
      <c r="C4" s="74"/>
      <c r="D4" s="75"/>
      <c r="E4" s="269"/>
      <c r="F4" s="74"/>
      <c r="G4" s="74"/>
      <c r="H4" s="74"/>
      <c r="I4" s="74"/>
      <c r="J4" s="74"/>
      <c r="K4" s="74"/>
      <c r="L4" s="74"/>
      <c r="M4" s="543" t="s">
        <v>15</v>
      </c>
      <c r="N4" s="544"/>
      <c r="O4" s="544"/>
      <c r="P4" s="545" t="s">
        <v>21</v>
      </c>
      <c r="Q4" s="544"/>
      <c r="R4" s="544"/>
      <c r="S4" s="544"/>
      <c r="T4" s="544"/>
      <c r="U4" s="546"/>
    </row>
    <row r="5" spans="1:21" ht="14.4" customHeight="1" thickBot="1" x14ac:dyDescent="0.35">
      <c r="A5" s="76"/>
      <c r="B5" s="77"/>
      <c r="C5" s="74"/>
      <c r="D5" s="75"/>
      <c r="E5" s="269"/>
      <c r="F5" s="74"/>
      <c r="G5" s="74"/>
      <c r="H5" s="74"/>
      <c r="I5" s="74"/>
      <c r="J5" s="74"/>
      <c r="K5" s="74"/>
      <c r="L5" s="74"/>
      <c r="M5" s="110" t="s">
        <v>22</v>
      </c>
      <c r="N5" s="111" t="s">
        <v>13</v>
      </c>
      <c r="O5" s="111" t="s">
        <v>20</v>
      </c>
      <c r="P5" s="536" t="s">
        <v>22</v>
      </c>
      <c r="Q5" s="537"/>
      <c r="R5" s="536" t="s">
        <v>13</v>
      </c>
      <c r="S5" s="537"/>
      <c r="T5" s="536" t="s">
        <v>20</v>
      </c>
      <c r="U5" s="538"/>
    </row>
    <row r="6" spans="1:21" s="338" customFormat="1" ht="14.4" customHeight="1" thickBot="1" x14ac:dyDescent="0.35">
      <c r="A6" s="728" t="s">
        <v>23</v>
      </c>
      <c r="B6" s="729" t="s">
        <v>5</v>
      </c>
      <c r="C6" s="728" t="s">
        <v>24</v>
      </c>
      <c r="D6" s="729" t="s">
        <v>6</v>
      </c>
      <c r="E6" s="729" t="s">
        <v>194</v>
      </c>
      <c r="F6" s="729" t="s">
        <v>25</v>
      </c>
      <c r="G6" s="729" t="s">
        <v>26</v>
      </c>
      <c r="H6" s="729" t="s">
        <v>8</v>
      </c>
      <c r="I6" s="729" t="s">
        <v>10</v>
      </c>
      <c r="J6" s="729" t="s">
        <v>11</v>
      </c>
      <c r="K6" s="729" t="s">
        <v>12</v>
      </c>
      <c r="L6" s="729" t="s">
        <v>27</v>
      </c>
      <c r="M6" s="730" t="s">
        <v>14</v>
      </c>
      <c r="N6" s="731" t="s">
        <v>28</v>
      </c>
      <c r="O6" s="731" t="s">
        <v>28</v>
      </c>
      <c r="P6" s="731" t="s">
        <v>14</v>
      </c>
      <c r="Q6" s="731" t="s">
        <v>2</v>
      </c>
      <c r="R6" s="731" t="s">
        <v>28</v>
      </c>
      <c r="S6" s="731" t="s">
        <v>2</v>
      </c>
      <c r="T6" s="731" t="s">
        <v>28</v>
      </c>
      <c r="U6" s="732" t="s">
        <v>2</v>
      </c>
    </row>
    <row r="7" spans="1:21" ht="14.4" customHeight="1" x14ac:dyDescent="0.3">
      <c r="A7" s="733">
        <v>50</v>
      </c>
      <c r="B7" s="734" t="s">
        <v>553</v>
      </c>
      <c r="C7" s="734">
        <v>89301501</v>
      </c>
      <c r="D7" s="735" t="s">
        <v>2563</v>
      </c>
      <c r="E7" s="736" t="s">
        <v>1914</v>
      </c>
      <c r="F7" s="734" t="s">
        <v>1907</v>
      </c>
      <c r="G7" s="734" t="s">
        <v>1926</v>
      </c>
      <c r="H7" s="734" t="s">
        <v>995</v>
      </c>
      <c r="I7" s="734" t="s">
        <v>1052</v>
      </c>
      <c r="J7" s="734" t="s">
        <v>1053</v>
      </c>
      <c r="K7" s="734" t="s">
        <v>1054</v>
      </c>
      <c r="L7" s="737">
        <v>70.23</v>
      </c>
      <c r="M7" s="737">
        <v>70.23</v>
      </c>
      <c r="N7" s="734">
        <v>1</v>
      </c>
      <c r="O7" s="738">
        <v>0.5</v>
      </c>
      <c r="P7" s="737"/>
      <c r="Q7" s="739">
        <v>0</v>
      </c>
      <c r="R7" s="734"/>
      <c r="S7" s="739">
        <v>0</v>
      </c>
      <c r="T7" s="738"/>
      <c r="U7" s="235">
        <v>0</v>
      </c>
    </row>
    <row r="8" spans="1:21" ht="14.4" customHeight="1" x14ac:dyDescent="0.3">
      <c r="A8" s="660">
        <v>50</v>
      </c>
      <c r="B8" s="661" t="s">
        <v>553</v>
      </c>
      <c r="C8" s="661">
        <v>89301501</v>
      </c>
      <c r="D8" s="740" t="s">
        <v>2563</v>
      </c>
      <c r="E8" s="741" t="s">
        <v>1914</v>
      </c>
      <c r="F8" s="661" t="s">
        <v>1907</v>
      </c>
      <c r="G8" s="661" t="s">
        <v>1927</v>
      </c>
      <c r="H8" s="661" t="s">
        <v>554</v>
      </c>
      <c r="I8" s="661" t="s">
        <v>1928</v>
      </c>
      <c r="J8" s="661" t="s">
        <v>1165</v>
      </c>
      <c r="K8" s="661" t="s">
        <v>1929</v>
      </c>
      <c r="L8" s="662">
        <v>0</v>
      </c>
      <c r="M8" s="662">
        <v>0</v>
      </c>
      <c r="N8" s="661">
        <v>1</v>
      </c>
      <c r="O8" s="742">
        <v>0.5</v>
      </c>
      <c r="P8" s="662"/>
      <c r="Q8" s="677"/>
      <c r="R8" s="661"/>
      <c r="S8" s="677">
        <v>0</v>
      </c>
      <c r="T8" s="742"/>
      <c r="U8" s="700">
        <v>0</v>
      </c>
    </row>
    <row r="9" spans="1:21" ht="14.4" customHeight="1" x14ac:dyDescent="0.3">
      <c r="A9" s="660">
        <v>50</v>
      </c>
      <c r="B9" s="661" t="s">
        <v>553</v>
      </c>
      <c r="C9" s="661">
        <v>89301501</v>
      </c>
      <c r="D9" s="740" t="s">
        <v>2563</v>
      </c>
      <c r="E9" s="741" t="s">
        <v>1915</v>
      </c>
      <c r="F9" s="661" t="s">
        <v>1907</v>
      </c>
      <c r="G9" s="661" t="s">
        <v>1930</v>
      </c>
      <c r="H9" s="661" t="s">
        <v>995</v>
      </c>
      <c r="I9" s="661" t="s">
        <v>1010</v>
      </c>
      <c r="J9" s="661" t="s">
        <v>1011</v>
      </c>
      <c r="K9" s="661" t="s">
        <v>1830</v>
      </c>
      <c r="L9" s="662">
        <v>72</v>
      </c>
      <c r="M9" s="662">
        <v>72</v>
      </c>
      <c r="N9" s="661">
        <v>1</v>
      </c>
      <c r="O9" s="742">
        <v>0.5</v>
      </c>
      <c r="P9" s="662"/>
      <c r="Q9" s="677">
        <v>0</v>
      </c>
      <c r="R9" s="661"/>
      <c r="S9" s="677">
        <v>0</v>
      </c>
      <c r="T9" s="742"/>
      <c r="U9" s="700">
        <v>0</v>
      </c>
    </row>
    <row r="10" spans="1:21" ht="14.4" customHeight="1" x14ac:dyDescent="0.3">
      <c r="A10" s="660">
        <v>50</v>
      </c>
      <c r="B10" s="661" t="s">
        <v>553</v>
      </c>
      <c r="C10" s="661">
        <v>89301501</v>
      </c>
      <c r="D10" s="740" t="s">
        <v>2563</v>
      </c>
      <c r="E10" s="741" t="s">
        <v>1915</v>
      </c>
      <c r="F10" s="661" t="s">
        <v>1907</v>
      </c>
      <c r="G10" s="661" t="s">
        <v>1931</v>
      </c>
      <c r="H10" s="661" t="s">
        <v>995</v>
      </c>
      <c r="I10" s="661" t="s">
        <v>1085</v>
      </c>
      <c r="J10" s="661" t="s">
        <v>1844</v>
      </c>
      <c r="K10" s="661" t="s">
        <v>796</v>
      </c>
      <c r="L10" s="662">
        <v>124.91</v>
      </c>
      <c r="M10" s="662">
        <v>124.91</v>
      </c>
      <c r="N10" s="661">
        <v>1</v>
      </c>
      <c r="O10" s="742">
        <v>0.5</v>
      </c>
      <c r="P10" s="662"/>
      <c r="Q10" s="677">
        <v>0</v>
      </c>
      <c r="R10" s="661"/>
      <c r="S10" s="677">
        <v>0</v>
      </c>
      <c r="T10" s="742"/>
      <c r="U10" s="700">
        <v>0</v>
      </c>
    </row>
    <row r="11" spans="1:21" ht="14.4" customHeight="1" x14ac:dyDescent="0.3">
      <c r="A11" s="660">
        <v>50</v>
      </c>
      <c r="B11" s="661" t="s">
        <v>553</v>
      </c>
      <c r="C11" s="661">
        <v>89301501</v>
      </c>
      <c r="D11" s="740" t="s">
        <v>2563</v>
      </c>
      <c r="E11" s="741" t="s">
        <v>1915</v>
      </c>
      <c r="F11" s="661" t="s">
        <v>1907</v>
      </c>
      <c r="G11" s="661" t="s">
        <v>1931</v>
      </c>
      <c r="H11" s="661" t="s">
        <v>995</v>
      </c>
      <c r="I11" s="661" t="s">
        <v>1131</v>
      </c>
      <c r="J11" s="661" t="s">
        <v>1845</v>
      </c>
      <c r="K11" s="661" t="s">
        <v>1149</v>
      </c>
      <c r="L11" s="662">
        <v>193.1</v>
      </c>
      <c r="M11" s="662">
        <v>965.5</v>
      </c>
      <c r="N11" s="661">
        <v>5</v>
      </c>
      <c r="O11" s="742">
        <v>3.5</v>
      </c>
      <c r="P11" s="662">
        <v>193.1</v>
      </c>
      <c r="Q11" s="677">
        <v>0.19999999999999998</v>
      </c>
      <c r="R11" s="661">
        <v>1</v>
      </c>
      <c r="S11" s="677">
        <v>0.2</v>
      </c>
      <c r="T11" s="742">
        <v>1</v>
      </c>
      <c r="U11" s="700">
        <v>0.2857142857142857</v>
      </c>
    </row>
    <row r="12" spans="1:21" ht="14.4" customHeight="1" x14ac:dyDescent="0.3">
      <c r="A12" s="660">
        <v>50</v>
      </c>
      <c r="B12" s="661" t="s">
        <v>553</v>
      </c>
      <c r="C12" s="661">
        <v>89301501</v>
      </c>
      <c r="D12" s="740" t="s">
        <v>2563</v>
      </c>
      <c r="E12" s="741" t="s">
        <v>1915</v>
      </c>
      <c r="F12" s="661" t="s">
        <v>1907</v>
      </c>
      <c r="G12" s="661" t="s">
        <v>1932</v>
      </c>
      <c r="H12" s="661" t="s">
        <v>995</v>
      </c>
      <c r="I12" s="661" t="s">
        <v>1060</v>
      </c>
      <c r="J12" s="661" t="s">
        <v>1061</v>
      </c>
      <c r="K12" s="661" t="s">
        <v>974</v>
      </c>
      <c r="L12" s="662">
        <v>65.540000000000006</v>
      </c>
      <c r="M12" s="662">
        <v>65.540000000000006</v>
      </c>
      <c r="N12" s="661">
        <v>1</v>
      </c>
      <c r="O12" s="742">
        <v>0.5</v>
      </c>
      <c r="P12" s="662"/>
      <c r="Q12" s="677">
        <v>0</v>
      </c>
      <c r="R12" s="661"/>
      <c r="S12" s="677">
        <v>0</v>
      </c>
      <c r="T12" s="742"/>
      <c r="U12" s="700">
        <v>0</v>
      </c>
    </row>
    <row r="13" spans="1:21" ht="14.4" customHeight="1" x14ac:dyDescent="0.3">
      <c r="A13" s="660">
        <v>50</v>
      </c>
      <c r="B13" s="661" t="s">
        <v>553</v>
      </c>
      <c r="C13" s="661">
        <v>89301501</v>
      </c>
      <c r="D13" s="740" t="s">
        <v>2563</v>
      </c>
      <c r="E13" s="741" t="s">
        <v>1915</v>
      </c>
      <c r="F13" s="661" t="s">
        <v>1907</v>
      </c>
      <c r="G13" s="661" t="s">
        <v>1926</v>
      </c>
      <c r="H13" s="661" t="s">
        <v>995</v>
      </c>
      <c r="I13" s="661" t="s">
        <v>1048</v>
      </c>
      <c r="J13" s="661" t="s">
        <v>1049</v>
      </c>
      <c r="K13" s="661" t="s">
        <v>1050</v>
      </c>
      <c r="L13" s="662">
        <v>35.11</v>
      </c>
      <c r="M13" s="662">
        <v>140.44</v>
      </c>
      <c r="N13" s="661">
        <v>4</v>
      </c>
      <c r="O13" s="742">
        <v>2</v>
      </c>
      <c r="P13" s="662"/>
      <c r="Q13" s="677">
        <v>0</v>
      </c>
      <c r="R13" s="661"/>
      <c r="S13" s="677">
        <v>0</v>
      </c>
      <c r="T13" s="742"/>
      <c r="U13" s="700">
        <v>0</v>
      </c>
    </row>
    <row r="14" spans="1:21" ht="14.4" customHeight="1" x14ac:dyDescent="0.3">
      <c r="A14" s="660">
        <v>50</v>
      </c>
      <c r="B14" s="661" t="s">
        <v>553</v>
      </c>
      <c r="C14" s="661">
        <v>89301501</v>
      </c>
      <c r="D14" s="740" t="s">
        <v>2563</v>
      </c>
      <c r="E14" s="741" t="s">
        <v>1915</v>
      </c>
      <c r="F14" s="661" t="s">
        <v>1907</v>
      </c>
      <c r="G14" s="661" t="s">
        <v>1926</v>
      </c>
      <c r="H14" s="661" t="s">
        <v>995</v>
      </c>
      <c r="I14" s="661" t="s">
        <v>1052</v>
      </c>
      <c r="J14" s="661" t="s">
        <v>1053</v>
      </c>
      <c r="K14" s="661" t="s">
        <v>1054</v>
      </c>
      <c r="L14" s="662">
        <v>70.23</v>
      </c>
      <c r="M14" s="662">
        <v>70.23</v>
      </c>
      <c r="N14" s="661">
        <v>1</v>
      </c>
      <c r="O14" s="742">
        <v>0.5</v>
      </c>
      <c r="P14" s="662"/>
      <c r="Q14" s="677">
        <v>0</v>
      </c>
      <c r="R14" s="661"/>
      <c r="S14" s="677">
        <v>0</v>
      </c>
      <c r="T14" s="742"/>
      <c r="U14" s="700">
        <v>0</v>
      </c>
    </row>
    <row r="15" spans="1:21" ht="14.4" customHeight="1" x14ac:dyDescent="0.3">
      <c r="A15" s="660">
        <v>50</v>
      </c>
      <c r="B15" s="661" t="s">
        <v>553</v>
      </c>
      <c r="C15" s="661">
        <v>89301501</v>
      </c>
      <c r="D15" s="740" t="s">
        <v>2563</v>
      </c>
      <c r="E15" s="741" t="s">
        <v>1915</v>
      </c>
      <c r="F15" s="661" t="s">
        <v>1907</v>
      </c>
      <c r="G15" s="661" t="s">
        <v>1933</v>
      </c>
      <c r="H15" s="661" t="s">
        <v>554</v>
      </c>
      <c r="I15" s="661" t="s">
        <v>1223</v>
      </c>
      <c r="J15" s="661" t="s">
        <v>1224</v>
      </c>
      <c r="K15" s="661" t="s">
        <v>1864</v>
      </c>
      <c r="L15" s="662">
        <v>66.819999999999993</v>
      </c>
      <c r="M15" s="662">
        <v>66.819999999999993</v>
      </c>
      <c r="N15" s="661">
        <v>1</v>
      </c>
      <c r="O15" s="742">
        <v>0.5</v>
      </c>
      <c r="P15" s="662"/>
      <c r="Q15" s="677">
        <v>0</v>
      </c>
      <c r="R15" s="661"/>
      <c r="S15" s="677">
        <v>0</v>
      </c>
      <c r="T15" s="742"/>
      <c r="U15" s="700">
        <v>0</v>
      </c>
    </row>
    <row r="16" spans="1:21" ht="14.4" customHeight="1" x14ac:dyDescent="0.3">
      <c r="A16" s="660">
        <v>50</v>
      </c>
      <c r="B16" s="661" t="s">
        <v>553</v>
      </c>
      <c r="C16" s="661">
        <v>89301501</v>
      </c>
      <c r="D16" s="740" t="s">
        <v>2563</v>
      </c>
      <c r="E16" s="741" t="s">
        <v>1915</v>
      </c>
      <c r="F16" s="661" t="s">
        <v>1907</v>
      </c>
      <c r="G16" s="661" t="s">
        <v>1934</v>
      </c>
      <c r="H16" s="661" t="s">
        <v>554</v>
      </c>
      <c r="I16" s="661" t="s">
        <v>1935</v>
      </c>
      <c r="J16" s="661" t="s">
        <v>1654</v>
      </c>
      <c r="K16" s="661" t="s">
        <v>1936</v>
      </c>
      <c r="L16" s="662">
        <v>748.21</v>
      </c>
      <c r="M16" s="662">
        <v>1496.42</v>
      </c>
      <c r="N16" s="661">
        <v>2</v>
      </c>
      <c r="O16" s="742">
        <v>0.5</v>
      </c>
      <c r="P16" s="662"/>
      <c r="Q16" s="677">
        <v>0</v>
      </c>
      <c r="R16" s="661"/>
      <c r="S16" s="677">
        <v>0</v>
      </c>
      <c r="T16" s="742"/>
      <c r="U16" s="700">
        <v>0</v>
      </c>
    </row>
    <row r="17" spans="1:21" ht="14.4" customHeight="1" x14ac:dyDescent="0.3">
      <c r="A17" s="660">
        <v>50</v>
      </c>
      <c r="B17" s="661" t="s">
        <v>553</v>
      </c>
      <c r="C17" s="661">
        <v>89301501</v>
      </c>
      <c r="D17" s="740" t="s">
        <v>2563</v>
      </c>
      <c r="E17" s="741" t="s">
        <v>1915</v>
      </c>
      <c r="F17" s="661" t="s">
        <v>1907</v>
      </c>
      <c r="G17" s="661" t="s">
        <v>1937</v>
      </c>
      <c r="H17" s="661" t="s">
        <v>554</v>
      </c>
      <c r="I17" s="661" t="s">
        <v>1938</v>
      </c>
      <c r="J17" s="661" t="s">
        <v>1939</v>
      </c>
      <c r="K17" s="661" t="s">
        <v>1940</v>
      </c>
      <c r="L17" s="662">
        <v>0</v>
      </c>
      <c r="M17" s="662">
        <v>0</v>
      </c>
      <c r="N17" s="661">
        <v>3</v>
      </c>
      <c r="O17" s="742">
        <v>1.5</v>
      </c>
      <c r="P17" s="662">
        <v>0</v>
      </c>
      <c r="Q17" s="677"/>
      <c r="R17" s="661">
        <v>1</v>
      </c>
      <c r="S17" s="677">
        <v>0.33333333333333331</v>
      </c>
      <c r="T17" s="742">
        <v>0.5</v>
      </c>
      <c r="U17" s="700">
        <v>0.33333333333333331</v>
      </c>
    </row>
    <row r="18" spans="1:21" ht="14.4" customHeight="1" x14ac:dyDescent="0.3">
      <c r="A18" s="660">
        <v>50</v>
      </c>
      <c r="B18" s="661" t="s">
        <v>553</v>
      </c>
      <c r="C18" s="661">
        <v>89301501</v>
      </c>
      <c r="D18" s="740" t="s">
        <v>2563</v>
      </c>
      <c r="E18" s="741" t="s">
        <v>1915</v>
      </c>
      <c r="F18" s="661" t="s">
        <v>1907</v>
      </c>
      <c r="G18" s="661" t="s">
        <v>1937</v>
      </c>
      <c r="H18" s="661" t="s">
        <v>554</v>
      </c>
      <c r="I18" s="661" t="s">
        <v>768</v>
      </c>
      <c r="J18" s="661" t="s">
        <v>1939</v>
      </c>
      <c r="K18" s="661" t="s">
        <v>1941</v>
      </c>
      <c r="L18" s="662">
        <v>63.7</v>
      </c>
      <c r="M18" s="662">
        <v>63.7</v>
      </c>
      <c r="N18" s="661">
        <v>1</v>
      </c>
      <c r="O18" s="742">
        <v>0.5</v>
      </c>
      <c r="P18" s="662"/>
      <c r="Q18" s="677">
        <v>0</v>
      </c>
      <c r="R18" s="661"/>
      <c r="S18" s="677">
        <v>0</v>
      </c>
      <c r="T18" s="742"/>
      <c r="U18" s="700">
        <v>0</v>
      </c>
    </row>
    <row r="19" spans="1:21" ht="14.4" customHeight="1" x14ac:dyDescent="0.3">
      <c r="A19" s="660">
        <v>50</v>
      </c>
      <c r="B19" s="661" t="s">
        <v>553</v>
      </c>
      <c r="C19" s="661">
        <v>89301501</v>
      </c>
      <c r="D19" s="740" t="s">
        <v>2563</v>
      </c>
      <c r="E19" s="741" t="s">
        <v>1915</v>
      </c>
      <c r="F19" s="661" t="s">
        <v>1907</v>
      </c>
      <c r="G19" s="661" t="s">
        <v>1942</v>
      </c>
      <c r="H19" s="661" t="s">
        <v>554</v>
      </c>
      <c r="I19" s="661" t="s">
        <v>1943</v>
      </c>
      <c r="J19" s="661" t="s">
        <v>1944</v>
      </c>
      <c r="K19" s="661" t="s">
        <v>828</v>
      </c>
      <c r="L19" s="662">
        <v>53.78</v>
      </c>
      <c r="M19" s="662">
        <v>53.78</v>
      </c>
      <c r="N19" s="661">
        <v>1</v>
      </c>
      <c r="O19" s="742">
        <v>0.5</v>
      </c>
      <c r="P19" s="662"/>
      <c r="Q19" s="677">
        <v>0</v>
      </c>
      <c r="R19" s="661"/>
      <c r="S19" s="677">
        <v>0</v>
      </c>
      <c r="T19" s="742"/>
      <c r="U19" s="700">
        <v>0</v>
      </c>
    </row>
    <row r="20" spans="1:21" ht="14.4" customHeight="1" x14ac:dyDescent="0.3">
      <c r="A20" s="660">
        <v>50</v>
      </c>
      <c r="B20" s="661" t="s">
        <v>553</v>
      </c>
      <c r="C20" s="661">
        <v>89301501</v>
      </c>
      <c r="D20" s="740" t="s">
        <v>2563</v>
      </c>
      <c r="E20" s="741" t="s">
        <v>1915</v>
      </c>
      <c r="F20" s="661" t="s">
        <v>1907</v>
      </c>
      <c r="G20" s="661" t="s">
        <v>1945</v>
      </c>
      <c r="H20" s="661" t="s">
        <v>554</v>
      </c>
      <c r="I20" s="661" t="s">
        <v>798</v>
      </c>
      <c r="J20" s="661" t="s">
        <v>799</v>
      </c>
      <c r="K20" s="661" t="s">
        <v>800</v>
      </c>
      <c r="L20" s="662">
        <v>33</v>
      </c>
      <c r="M20" s="662">
        <v>33</v>
      </c>
      <c r="N20" s="661">
        <v>1</v>
      </c>
      <c r="O20" s="742">
        <v>0.5</v>
      </c>
      <c r="P20" s="662"/>
      <c r="Q20" s="677">
        <v>0</v>
      </c>
      <c r="R20" s="661"/>
      <c r="S20" s="677">
        <v>0</v>
      </c>
      <c r="T20" s="742"/>
      <c r="U20" s="700">
        <v>0</v>
      </c>
    </row>
    <row r="21" spans="1:21" ht="14.4" customHeight="1" x14ac:dyDescent="0.3">
      <c r="A21" s="660">
        <v>50</v>
      </c>
      <c r="B21" s="661" t="s">
        <v>553</v>
      </c>
      <c r="C21" s="661">
        <v>89301501</v>
      </c>
      <c r="D21" s="740" t="s">
        <v>2563</v>
      </c>
      <c r="E21" s="741" t="s">
        <v>1915</v>
      </c>
      <c r="F21" s="661" t="s">
        <v>1907</v>
      </c>
      <c r="G21" s="661" t="s">
        <v>1946</v>
      </c>
      <c r="H21" s="661" t="s">
        <v>554</v>
      </c>
      <c r="I21" s="661" t="s">
        <v>1947</v>
      </c>
      <c r="J21" s="661" t="s">
        <v>1948</v>
      </c>
      <c r="K21" s="661" t="s">
        <v>1830</v>
      </c>
      <c r="L21" s="662">
        <v>0</v>
      </c>
      <c r="M21" s="662">
        <v>0</v>
      </c>
      <c r="N21" s="661">
        <v>1</v>
      </c>
      <c r="O21" s="742">
        <v>0.5</v>
      </c>
      <c r="P21" s="662"/>
      <c r="Q21" s="677"/>
      <c r="R21" s="661"/>
      <c r="S21" s="677">
        <v>0</v>
      </c>
      <c r="T21" s="742"/>
      <c r="U21" s="700">
        <v>0</v>
      </c>
    </row>
    <row r="22" spans="1:21" ht="14.4" customHeight="1" x14ac:dyDescent="0.3">
      <c r="A22" s="660">
        <v>50</v>
      </c>
      <c r="B22" s="661" t="s">
        <v>553</v>
      </c>
      <c r="C22" s="661">
        <v>89301501</v>
      </c>
      <c r="D22" s="740" t="s">
        <v>2563</v>
      </c>
      <c r="E22" s="741" t="s">
        <v>1915</v>
      </c>
      <c r="F22" s="661" t="s">
        <v>1907</v>
      </c>
      <c r="G22" s="661" t="s">
        <v>1949</v>
      </c>
      <c r="H22" s="661" t="s">
        <v>554</v>
      </c>
      <c r="I22" s="661" t="s">
        <v>1950</v>
      </c>
      <c r="J22" s="661" t="s">
        <v>1951</v>
      </c>
      <c r="K22" s="661" t="s">
        <v>1952</v>
      </c>
      <c r="L22" s="662">
        <v>5.71</v>
      </c>
      <c r="M22" s="662">
        <v>5.71</v>
      </c>
      <c r="N22" s="661">
        <v>1</v>
      </c>
      <c r="O22" s="742">
        <v>0.5</v>
      </c>
      <c r="P22" s="662">
        <v>5.71</v>
      </c>
      <c r="Q22" s="677">
        <v>1</v>
      </c>
      <c r="R22" s="661">
        <v>1</v>
      </c>
      <c r="S22" s="677">
        <v>1</v>
      </c>
      <c r="T22" s="742">
        <v>0.5</v>
      </c>
      <c r="U22" s="700">
        <v>1</v>
      </c>
    </row>
    <row r="23" spans="1:21" ht="14.4" customHeight="1" x14ac:dyDescent="0.3">
      <c r="A23" s="660">
        <v>50</v>
      </c>
      <c r="B23" s="661" t="s">
        <v>553</v>
      </c>
      <c r="C23" s="661">
        <v>89301501</v>
      </c>
      <c r="D23" s="740" t="s">
        <v>2563</v>
      </c>
      <c r="E23" s="741" t="s">
        <v>1915</v>
      </c>
      <c r="F23" s="661" t="s">
        <v>1907</v>
      </c>
      <c r="G23" s="661" t="s">
        <v>1927</v>
      </c>
      <c r="H23" s="661" t="s">
        <v>995</v>
      </c>
      <c r="I23" s="661" t="s">
        <v>1164</v>
      </c>
      <c r="J23" s="661" t="s">
        <v>1165</v>
      </c>
      <c r="K23" s="661" t="s">
        <v>1166</v>
      </c>
      <c r="L23" s="662">
        <v>93.43</v>
      </c>
      <c r="M23" s="662">
        <v>280.29000000000002</v>
      </c>
      <c r="N23" s="661">
        <v>3</v>
      </c>
      <c r="O23" s="742">
        <v>1.5</v>
      </c>
      <c r="P23" s="662"/>
      <c r="Q23" s="677">
        <v>0</v>
      </c>
      <c r="R23" s="661"/>
      <c r="S23" s="677">
        <v>0</v>
      </c>
      <c r="T23" s="742"/>
      <c r="U23" s="700">
        <v>0</v>
      </c>
    </row>
    <row r="24" spans="1:21" ht="14.4" customHeight="1" x14ac:dyDescent="0.3">
      <c r="A24" s="660">
        <v>50</v>
      </c>
      <c r="B24" s="661" t="s">
        <v>553</v>
      </c>
      <c r="C24" s="661">
        <v>89301501</v>
      </c>
      <c r="D24" s="740" t="s">
        <v>2563</v>
      </c>
      <c r="E24" s="741" t="s">
        <v>1915</v>
      </c>
      <c r="F24" s="661" t="s">
        <v>1907</v>
      </c>
      <c r="G24" s="661" t="s">
        <v>1953</v>
      </c>
      <c r="H24" s="661" t="s">
        <v>554</v>
      </c>
      <c r="I24" s="661" t="s">
        <v>1954</v>
      </c>
      <c r="J24" s="661" t="s">
        <v>1955</v>
      </c>
      <c r="K24" s="661" t="s">
        <v>1956</v>
      </c>
      <c r="L24" s="662">
        <v>0</v>
      </c>
      <c r="M24" s="662">
        <v>0</v>
      </c>
      <c r="N24" s="661">
        <v>6</v>
      </c>
      <c r="O24" s="742">
        <v>3</v>
      </c>
      <c r="P24" s="662">
        <v>0</v>
      </c>
      <c r="Q24" s="677"/>
      <c r="R24" s="661">
        <v>1</v>
      </c>
      <c r="S24" s="677">
        <v>0.16666666666666666</v>
      </c>
      <c r="T24" s="742">
        <v>0.5</v>
      </c>
      <c r="U24" s="700">
        <v>0.16666666666666666</v>
      </c>
    </row>
    <row r="25" spans="1:21" ht="14.4" customHeight="1" x14ac:dyDescent="0.3">
      <c r="A25" s="660">
        <v>50</v>
      </c>
      <c r="B25" s="661" t="s">
        <v>553</v>
      </c>
      <c r="C25" s="661">
        <v>89301501</v>
      </c>
      <c r="D25" s="740" t="s">
        <v>2563</v>
      </c>
      <c r="E25" s="741" t="s">
        <v>1915</v>
      </c>
      <c r="F25" s="661" t="s">
        <v>1907</v>
      </c>
      <c r="G25" s="661" t="s">
        <v>1957</v>
      </c>
      <c r="H25" s="661" t="s">
        <v>554</v>
      </c>
      <c r="I25" s="661" t="s">
        <v>1958</v>
      </c>
      <c r="J25" s="661" t="s">
        <v>1959</v>
      </c>
      <c r="K25" s="661" t="s">
        <v>1960</v>
      </c>
      <c r="L25" s="662">
        <v>70.23</v>
      </c>
      <c r="M25" s="662">
        <v>70.23</v>
      </c>
      <c r="N25" s="661">
        <v>1</v>
      </c>
      <c r="O25" s="742">
        <v>0.5</v>
      </c>
      <c r="P25" s="662"/>
      <c r="Q25" s="677">
        <v>0</v>
      </c>
      <c r="R25" s="661"/>
      <c r="S25" s="677">
        <v>0</v>
      </c>
      <c r="T25" s="742"/>
      <c r="U25" s="700">
        <v>0</v>
      </c>
    </row>
    <row r="26" spans="1:21" ht="14.4" customHeight="1" x14ac:dyDescent="0.3">
      <c r="A26" s="660">
        <v>50</v>
      </c>
      <c r="B26" s="661" t="s">
        <v>553</v>
      </c>
      <c r="C26" s="661">
        <v>89301501</v>
      </c>
      <c r="D26" s="740" t="s">
        <v>2563</v>
      </c>
      <c r="E26" s="741" t="s">
        <v>1915</v>
      </c>
      <c r="F26" s="661" t="s">
        <v>1907</v>
      </c>
      <c r="G26" s="661" t="s">
        <v>1961</v>
      </c>
      <c r="H26" s="661" t="s">
        <v>995</v>
      </c>
      <c r="I26" s="661" t="s">
        <v>1139</v>
      </c>
      <c r="J26" s="661" t="s">
        <v>1140</v>
      </c>
      <c r="K26" s="661" t="s">
        <v>1141</v>
      </c>
      <c r="L26" s="662">
        <v>52.97</v>
      </c>
      <c r="M26" s="662">
        <v>158.91</v>
      </c>
      <c r="N26" s="661">
        <v>3</v>
      </c>
      <c r="O26" s="742">
        <v>1.5</v>
      </c>
      <c r="P26" s="662"/>
      <c r="Q26" s="677">
        <v>0</v>
      </c>
      <c r="R26" s="661"/>
      <c r="S26" s="677">
        <v>0</v>
      </c>
      <c r="T26" s="742"/>
      <c r="U26" s="700">
        <v>0</v>
      </c>
    </row>
    <row r="27" spans="1:21" ht="14.4" customHeight="1" x14ac:dyDescent="0.3">
      <c r="A27" s="660">
        <v>50</v>
      </c>
      <c r="B27" s="661" t="s">
        <v>553</v>
      </c>
      <c r="C27" s="661">
        <v>89301501</v>
      </c>
      <c r="D27" s="740" t="s">
        <v>2563</v>
      </c>
      <c r="E27" s="741" t="s">
        <v>1915</v>
      </c>
      <c r="F27" s="661" t="s">
        <v>1907</v>
      </c>
      <c r="G27" s="661" t="s">
        <v>1962</v>
      </c>
      <c r="H27" s="661" t="s">
        <v>995</v>
      </c>
      <c r="I27" s="661" t="s">
        <v>1963</v>
      </c>
      <c r="J27" s="661" t="s">
        <v>1094</v>
      </c>
      <c r="K27" s="661" t="s">
        <v>1050</v>
      </c>
      <c r="L27" s="662">
        <v>48.27</v>
      </c>
      <c r="M27" s="662">
        <v>96.54</v>
      </c>
      <c r="N27" s="661">
        <v>2</v>
      </c>
      <c r="O27" s="742">
        <v>1</v>
      </c>
      <c r="P27" s="662">
        <v>48.27</v>
      </c>
      <c r="Q27" s="677">
        <v>0.5</v>
      </c>
      <c r="R27" s="661">
        <v>1</v>
      </c>
      <c r="S27" s="677">
        <v>0.5</v>
      </c>
      <c r="T27" s="742">
        <v>0.5</v>
      </c>
      <c r="U27" s="700">
        <v>0.5</v>
      </c>
    </row>
    <row r="28" spans="1:21" ht="14.4" customHeight="1" x14ac:dyDescent="0.3">
      <c r="A28" s="660">
        <v>50</v>
      </c>
      <c r="B28" s="661" t="s">
        <v>553</v>
      </c>
      <c r="C28" s="661">
        <v>89301501</v>
      </c>
      <c r="D28" s="740" t="s">
        <v>2563</v>
      </c>
      <c r="E28" s="741" t="s">
        <v>1915</v>
      </c>
      <c r="F28" s="661" t="s">
        <v>1907</v>
      </c>
      <c r="G28" s="661" t="s">
        <v>1962</v>
      </c>
      <c r="H28" s="661" t="s">
        <v>995</v>
      </c>
      <c r="I28" s="661" t="s">
        <v>1964</v>
      </c>
      <c r="J28" s="661" t="s">
        <v>1965</v>
      </c>
      <c r="K28" s="661" t="s">
        <v>1875</v>
      </c>
      <c r="L28" s="662">
        <v>96.53</v>
      </c>
      <c r="M28" s="662">
        <v>96.53</v>
      </c>
      <c r="N28" s="661">
        <v>1</v>
      </c>
      <c r="O28" s="742">
        <v>0.5</v>
      </c>
      <c r="P28" s="662"/>
      <c r="Q28" s="677">
        <v>0</v>
      </c>
      <c r="R28" s="661"/>
      <c r="S28" s="677">
        <v>0</v>
      </c>
      <c r="T28" s="742"/>
      <c r="U28" s="700">
        <v>0</v>
      </c>
    </row>
    <row r="29" spans="1:21" ht="14.4" customHeight="1" x14ac:dyDescent="0.3">
      <c r="A29" s="660">
        <v>50</v>
      </c>
      <c r="B29" s="661" t="s">
        <v>553</v>
      </c>
      <c r="C29" s="661">
        <v>89301501</v>
      </c>
      <c r="D29" s="740" t="s">
        <v>2563</v>
      </c>
      <c r="E29" s="741" t="s">
        <v>1915</v>
      </c>
      <c r="F29" s="661" t="s">
        <v>1907</v>
      </c>
      <c r="G29" s="661" t="s">
        <v>1966</v>
      </c>
      <c r="H29" s="661" t="s">
        <v>995</v>
      </c>
      <c r="I29" s="661" t="s">
        <v>1967</v>
      </c>
      <c r="J29" s="661" t="s">
        <v>1968</v>
      </c>
      <c r="K29" s="661" t="s">
        <v>893</v>
      </c>
      <c r="L29" s="662">
        <v>194.54</v>
      </c>
      <c r="M29" s="662">
        <v>194.54</v>
      </c>
      <c r="N29" s="661">
        <v>1</v>
      </c>
      <c r="O29" s="742">
        <v>0.5</v>
      </c>
      <c r="P29" s="662"/>
      <c r="Q29" s="677">
        <v>0</v>
      </c>
      <c r="R29" s="661"/>
      <c r="S29" s="677">
        <v>0</v>
      </c>
      <c r="T29" s="742"/>
      <c r="U29" s="700">
        <v>0</v>
      </c>
    </row>
    <row r="30" spans="1:21" ht="14.4" customHeight="1" x14ac:dyDescent="0.3">
      <c r="A30" s="660">
        <v>50</v>
      </c>
      <c r="B30" s="661" t="s">
        <v>553</v>
      </c>
      <c r="C30" s="661">
        <v>89301501</v>
      </c>
      <c r="D30" s="740" t="s">
        <v>2563</v>
      </c>
      <c r="E30" s="741" t="s">
        <v>1915</v>
      </c>
      <c r="F30" s="661" t="s">
        <v>1907</v>
      </c>
      <c r="G30" s="661" t="s">
        <v>1969</v>
      </c>
      <c r="H30" s="661" t="s">
        <v>995</v>
      </c>
      <c r="I30" s="661" t="s">
        <v>1018</v>
      </c>
      <c r="J30" s="661" t="s">
        <v>1838</v>
      </c>
      <c r="K30" s="661" t="s">
        <v>1020</v>
      </c>
      <c r="L30" s="662">
        <v>96.53</v>
      </c>
      <c r="M30" s="662">
        <v>96.53</v>
      </c>
      <c r="N30" s="661">
        <v>1</v>
      </c>
      <c r="O30" s="742">
        <v>0.5</v>
      </c>
      <c r="P30" s="662"/>
      <c r="Q30" s="677">
        <v>0</v>
      </c>
      <c r="R30" s="661"/>
      <c r="S30" s="677">
        <v>0</v>
      </c>
      <c r="T30" s="742"/>
      <c r="U30" s="700">
        <v>0</v>
      </c>
    </row>
    <row r="31" spans="1:21" ht="14.4" customHeight="1" x14ac:dyDescent="0.3">
      <c r="A31" s="660">
        <v>50</v>
      </c>
      <c r="B31" s="661" t="s">
        <v>553</v>
      </c>
      <c r="C31" s="661">
        <v>89301501</v>
      </c>
      <c r="D31" s="740" t="s">
        <v>2563</v>
      </c>
      <c r="E31" s="741" t="s">
        <v>1915</v>
      </c>
      <c r="F31" s="661" t="s">
        <v>1907</v>
      </c>
      <c r="G31" s="661" t="s">
        <v>1969</v>
      </c>
      <c r="H31" s="661" t="s">
        <v>995</v>
      </c>
      <c r="I31" s="661" t="s">
        <v>1970</v>
      </c>
      <c r="J31" s="661" t="s">
        <v>1003</v>
      </c>
      <c r="K31" s="661" t="s">
        <v>1971</v>
      </c>
      <c r="L31" s="662">
        <v>24.14</v>
      </c>
      <c r="M31" s="662">
        <v>24.14</v>
      </c>
      <c r="N31" s="661">
        <v>1</v>
      </c>
      <c r="O31" s="742">
        <v>0.5</v>
      </c>
      <c r="P31" s="662"/>
      <c r="Q31" s="677">
        <v>0</v>
      </c>
      <c r="R31" s="661"/>
      <c r="S31" s="677">
        <v>0</v>
      </c>
      <c r="T31" s="742"/>
      <c r="U31" s="700">
        <v>0</v>
      </c>
    </row>
    <row r="32" spans="1:21" ht="14.4" customHeight="1" x14ac:dyDescent="0.3">
      <c r="A32" s="660">
        <v>50</v>
      </c>
      <c r="B32" s="661" t="s">
        <v>553</v>
      </c>
      <c r="C32" s="661">
        <v>89301501</v>
      </c>
      <c r="D32" s="740" t="s">
        <v>2563</v>
      </c>
      <c r="E32" s="741" t="s">
        <v>1915</v>
      </c>
      <c r="F32" s="661" t="s">
        <v>1907</v>
      </c>
      <c r="G32" s="661" t="s">
        <v>1969</v>
      </c>
      <c r="H32" s="661" t="s">
        <v>995</v>
      </c>
      <c r="I32" s="661" t="s">
        <v>1063</v>
      </c>
      <c r="J32" s="661" t="s">
        <v>1839</v>
      </c>
      <c r="K32" s="661" t="s">
        <v>836</v>
      </c>
      <c r="L32" s="662">
        <v>48.27</v>
      </c>
      <c r="M32" s="662">
        <v>96.54</v>
      </c>
      <c r="N32" s="661">
        <v>2</v>
      </c>
      <c r="O32" s="742">
        <v>1</v>
      </c>
      <c r="P32" s="662"/>
      <c r="Q32" s="677">
        <v>0</v>
      </c>
      <c r="R32" s="661"/>
      <c r="S32" s="677">
        <v>0</v>
      </c>
      <c r="T32" s="742"/>
      <c r="U32" s="700">
        <v>0</v>
      </c>
    </row>
    <row r="33" spans="1:21" ht="14.4" customHeight="1" x14ac:dyDescent="0.3">
      <c r="A33" s="660">
        <v>50</v>
      </c>
      <c r="B33" s="661" t="s">
        <v>553</v>
      </c>
      <c r="C33" s="661">
        <v>89301501</v>
      </c>
      <c r="D33" s="740" t="s">
        <v>2563</v>
      </c>
      <c r="E33" s="741" t="s">
        <v>1915</v>
      </c>
      <c r="F33" s="661" t="s">
        <v>1907</v>
      </c>
      <c r="G33" s="661" t="s">
        <v>1972</v>
      </c>
      <c r="H33" s="661" t="s">
        <v>995</v>
      </c>
      <c r="I33" s="661" t="s">
        <v>1973</v>
      </c>
      <c r="J33" s="661" t="s">
        <v>1974</v>
      </c>
      <c r="K33" s="661" t="s">
        <v>796</v>
      </c>
      <c r="L33" s="662">
        <v>193.1</v>
      </c>
      <c r="M33" s="662">
        <v>193.1</v>
      </c>
      <c r="N33" s="661">
        <v>1</v>
      </c>
      <c r="O33" s="742">
        <v>1</v>
      </c>
      <c r="P33" s="662"/>
      <c r="Q33" s="677">
        <v>0</v>
      </c>
      <c r="R33" s="661"/>
      <c r="S33" s="677">
        <v>0</v>
      </c>
      <c r="T33" s="742"/>
      <c r="U33" s="700">
        <v>0</v>
      </c>
    </row>
    <row r="34" spans="1:21" ht="14.4" customHeight="1" x14ac:dyDescent="0.3">
      <c r="A34" s="660">
        <v>50</v>
      </c>
      <c r="B34" s="661" t="s">
        <v>553</v>
      </c>
      <c r="C34" s="661">
        <v>89301501</v>
      </c>
      <c r="D34" s="740" t="s">
        <v>2563</v>
      </c>
      <c r="E34" s="741" t="s">
        <v>1915</v>
      </c>
      <c r="F34" s="661" t="s">
        <v>1907</v>
      </c>
      <c r="G34" s="661" t="s">
        <v>1975</v>
      </c>
      <c r="H34" s="661" t="s">
        <v>554</v>
      </c>
      <c r="I34" s="661" t="s">
        <v>1976</v>
      </c>
      <c r="J34" s="661" t="s">
        <v>823</v>
      </c>
      <c r="K34" s="661" t="s">
        <v>1977</v>
      </c>
      <c r="L34" s="662">
        <v>0</v>
      </c>
      <c r="M34" s="662">
        <v>0</v>
      </c>
      <c r="N34" s="661">
        <v>1</v>
      </c>
      <c r="O34" s="742">
        <v>0.5</v>
      </c>
      <c r="P34" s="662"/>
      <c r="Q34" s="677"/>
      <c r="R34" s="661"/>
      <c r="S34" s="677">
        <v>0</v>
      </c>
      <c r="T34" s="742"/>
      <c r="U34" s="700">
        <v>0</v>
      </c>
    </row>
    <row r="35" spans="1:21" ht="14.4" customHeight="1" x14ac:dyDescent="0.3">
      <c r="A35" s="660">
        <v>50</v>
      </c>
      <c r="B35" s="661" t="s">
        <v>553</v>
      </c>
      <c r="C35" s="661">
        <v>89301501</v>
      </c>
      <c r="D35" s="740" t="s">
        <v>2563</v>
      </c>
      <c r="E35" s="741" t="s">
        <v>1915</v>
      </c>
      <c r="F35" s="661" t="s">
        <v>1907</v>
      </c>
      <c r="G35" s="661" t="s">
        <v>1978</v>
      </c>
      <c r="H35" s="661" t="s">
        <v>554</v>
      </c>
      <c r="I35" s="661" t="s">
        <v>1979</v>
      </c>
      <c r="J35" s="661" t="s">
        <v>688</v>
      </c>
      <c r="K35" s="661" t="s">
        <v>1980</v>
      </c>
      <c r="L35" s="662">
        <v>30.47</v>
      </c>
      <c r="M35" s="662">
        <v>121.88</v>
      </c>
      <c r="N35" s="661">
        <v>4</v>
      </c>
      <c r="O35" s="742">
        <v>3</v>
      </c>
      <c r="P35" s="662">
        <v>30.47</v>
      </c>
      <c r="Q35" s="677">
        <v>0.25</v>
      </c>
      <c r="R35" s="661">
        <v>1</v>
      </c>
      <c r="S35" s="677">
        <v>0.25</v>
      </c>
      <c r="T35" s="742">
        <v>0.5</v>
      </c>
      <c r="U35" s="700">
        <v>0.16666666666666666</v>
      </c>
    </row>
    <row r="36" spans="1:21" ht="14.4" customHeight="1" x14ac:dyDescent="0.3">
      <c r="A36" s="660">
        <v>50</v>
      </c>
      <c r="B36" s="661" t="s">
        <v>553</v>
      </c>
      <c r="C36" s="661">
        <v>89301501</v>
      </c>
      <c r="D36" s="740" t="s">
        <v>2563</v>
      </c>
      <c r="E36" s="741" t="s">
        <v>1915</v>
      </c>
      <c r="F36" s="661" t="s">
        <v>1907</v>
      </c>
      <c r="G36" s="661" t="s">
        <v>1981</v>
      </c>
      <c r="H36" s="661" t="s">
        <v>554</v>
      </c>
      <c r="I36" s="661" t="s">
        <v>1215</v>
      </c>
      <c r="J36" s="661" t="s">
        <v>1216</v>
      </c>
      <c r="K36" s="661" t="s">
        <v>1982</v>
      </c>
      <c r="L36" s="662">
        <v>22.44</v>
      </c>
      <c r="M36" s="662">
        <v>44.88</v>
      </c>
      <c r="N36" s="661">
        <v>2</v>
      </c>
      <c r="O36" s="742">
        <v>1.5</v>
      </c>
      <c r="P36" s="662"/>
      <c r="Q36" s="677">
        <v>0</v>
      </c>
      <c r="R36" s="661"/>
      <c r="S36" s="677">
        <v>0</v>
      </c>
      <c r="T36" s="742"/>
      <c r="U36" s="700">
        <v>0</v>
      </c>
    </row>
    <row r="37" spans="1:21" ht="14.4" customHeight="1" x14ac:dyDescent="0.3">
      <c r="A37" s="660">
        <v>50</v>
      </c>
      <c r="B37" s="661" t="s">
        <v>553</v>
      </c>
      <c r="C37" s="661">
        <v>89301501</v>
      </c>
      <c r="D37" s="740" t="s">
        <v>2563</v>
      </c>
      <c r="E37" s="741" t="s">
        <v>1915</v>
      </c>
      <c r="F37" s="661" t="s">
        <v>1907</v>
      </c>
      <c r="G37" s="661" t="s">
        <v>1983</v>
      </c>
      <c r="H37" s="661" t="s">
        <v>554</v>
      </c>
      <c r="I37" s="661" t="s">
        <v>1984</v>
      </c>
      <c r="J37" s="661" t="s">
        <v>1985</v>
      </c>
      <c r="K37" s="661" t="s">
        <v>1986</v>
      </c>
      <c r="L37" s="662">
        <v>0</v>
      </c>
      <c r="M37" s="662">
        <v>0</v>
      </c>
      <c r="N37" s="661">
        <v>1</v>
      </c>
      <c r="O37" s="742">
        <v>0.5</v>
      </c>
      <c r="P37" s="662">
        <v>0</v>
      </c>
      <c r="Q37" s="677"/>
      <c r="R37" s="661">
        <v>1</v>
      </c>
      <c r="S37" s="677">
        <v>1</v>
      </c>
      <c r="T37" s="742">
        <v>0.5</v>
      </c>
      <c r="U37" s="700">
        <v>1</v>
      </c>
    </row>
    <row r="38" spans="1:21" ht="14.4" customHeight="1" x14ac:dyDescent="0.3">
      <c r="A38" s="660">
        <v>50</v>
      </c>
      <c r="B38" s="661" t="s">
        <v>553</v>
      </c>
      <c r="C38" s="661">
        <v>89301501</v>
      </c>
      <c r="D38" s="740" t="s">
        <v>2563</v>
      </c>
      <c r="E38" s="741" t="s">
        <v>1915</v>
      </c>
      <c r="F38" s="661" t="s">
        <v>1907</v>
      </c>
      <c r="G38" s="661" t="s">
        <v>1987</v>
      </c>
      <c r="H38" s="661" t="s">
        <v>554</v>
      </c>
      <c r="I38" s="661" t="s">
        <v>736</v>
      </c>
      <c r="J38" s="661" t="s">
        <v>737</v>
      </c>
      <c r="K38" s="661" t="s">
        <v>738</v>
      </c>
      <c r="L38" s="662">
        <v>43.94</v>
      </c>
      <c r="M38" s="662">
        <v>43.94</v>
      </c>
      <c r="N38" s="661">
        <v>1</v>
      </c>
      <c r="O38" s="742">
        <v>0.5</v>
      </c>
      <c r="P38" s="662"/>
      <c r="Q38" s="677">
        <v>0</v>
      </c>
      <c r="R38" s="661"/>
      <c r="S38" s="677">
        <v>0</v>
      </c>
      <c r="T38" s="742"/>
      <c r="U38" s="700">
        <v>0</v>
      </c>
    </row>
    <row r="39" spans="1:21" ht="14.4" customHeight="1" x14ac:dyDescent="0.3">
      <c r="A39" s="660">
        <v>50</v>
      </c>
      <c r="B39" s="661" t="s">
        <v>553</v>
      </c>
      <c r="C39" s="661">
        <v>89301501</v>
      </c>
      <c r="D39" s="740" t="s">
        <v>2563</v>
      </c>
      <c r="E39" s="741" t="s">
        <v>1915</v>
      </c>
      <c r="F39" s="661" t="s">
        <v>1907</v>
      </c>
      <c r="G39" s="661" t="s">
        <v>1988</v>
      </c>
      <c r="H39" s="661" t="s">
        <v>995</v>
      </c>
      <c r="I39" s="661" t="s">
        <v>1089</v>
      </c>
      <c r="J39" s="661" t="s">
        <v>1823</v>
      </c>
      <c r="K39" s="661" t="s">
        <v>1824</v>
      </c>
      <c r="L39" s="662">
        <v>184.74</v>
      </c>
      <c r="M39" s="662">
        <v>369.48</v>
      </c>
      <c r="N39" s="661">
        <v>2</v>
      </c>
      <c r="O39" s="742">
        <v>1</v>
      </c>
      <c r="P39" s="662"/>
      <c r="Q39" s="677">
        <v>0</v>
      </c>
      <c r="R39" s="661"/>
      <c r="S39" s="677">
        <v>0</v>
      </c>
      <c r="T39" s="742"/>
      <c r="U39" s="700">
        <v>0</v>
      </c>
    </row>
    <row r="40" spans="1:21" ht="14.4" customHeight="1" x14ac:dyDescent="0.3">
      <c r="A40" s="660">
        <v>50</v>
      </c>
      <c r="B40" s="661" t="s">
        <v>553</v>
      </c>
      <c r="C40" s="661">
        <v>89301501</v>
      </c>
      <c r="D40" s="740" t="s">
        <v>2563</v>
      </c>
      <c r="E40" s="741" t="s">
        <v>1915</v>
      </c>
      <c r="F40" s="661" t="s">
        <v>1907</v>
      </c>
      <c r="G40" s="661" t="s">
        <v>1989</v>
      </c>
      <c r="H40" s="661" t="s">
        <v>554</v>
      </c>
      <c r="I40" s="661" t="s">
        <v>1990</v>
      </c>
      <c r="J40" s="661" t="s">
        <v>1991</v>
      </c>
      <c r="K40" s="661" t="s">
        <v>893</v>
      </c>
      <c r="L40" s="662">
        <v>280.77</v>
      </c>
      <c r="M40" s="662">
        <v>280.77</v>
      </c>
      <c r="N40" s="661">
        <v>1</v>
      </c>
      <c r="O40" s="742">
        <v>1</v>
      </c>
      <c r="P40" s="662">
        <v>280.77</v>
      </c>
      <c r="Q40" s="677">
        <v>1</v>
      </c>
      <c r="R40" s="661">
        <v>1</v>
      </c>
      <c r="S40" s="677">
        <v>1</v>
      </c>
      <c r="T40" s="742">
        <v>1</v>
      </c>
      <c r="U40" s="700">
        <v>1</v>
      </c>
    </row>
    <row r="41" spans="1:21" ht="14.4" customHeight="1" x14ac:dyDescent="0.3">
      <c r="A41" s="660">
        <v>50</v>
      </c>
      <c r="B41" s="661" t="s">
        <v>553</v>
      </c>
      <c r="C41" s="661">
        <v>89301501</v>
      </c>
      <c r="D41" s="740" t="s">
        <v>2563</v>
      </c>
      <c r="E41" s="741" t="s">
        <v>1916</v>
      </c>
      <c r="F41" s="661" t="s">
        <v>1907</v>
      </c>
      <c r="G41" s="661" t="s">
        <v>1930</v>
      </c>
      <c r="H41" s="661" t="s">
        <v>995</v>
      </c>
      <c r="I41" s="661" t="s">
        <v>1010</v>
      </c>
      <c r="J41" s="661" t="s">
        <v>1011</v>
      </c>
      <c r="K41" s="661" t="s">
        <v>1830</v>
      </c>
      <c r="L41" s="662">
        <v>72</v>
      </c>
      <c r="M41" s="662">
        <v>216</v>
      </c>
      <c r="N41" s="661">
        <v>3</v>
      </c>
      <c r="O41" s="742">
        <v>1.5</v>
      </c>
      <c r="P41" s="662">
        <v>72</v>
      </c>
      <c r="Q41" s="677">
        <v>0.33333333333333331</v>
      </c>
      <c r="R41" s="661">
        <v>1</v>
      </c>
      <c r="S41" s="677">
        <v>0.33333333333333331</v>
      </c>
      <c r="T41" s="742">
        <v>0.5</v>
      </c>
      <c r="U41" s="700">
        <v>0.33333333333333331</v>
      </c>
    </row>
    <row r="42" spans="1:21" ht="14.4" customHeight="1" x14ac:dyDescent="0.3">
      <c r="A42" s="660">
        <v>50</v>
      </c>
      <c r="B42" s="661" t="s">
        <v>553</v>
      </c>
      <c r="C42" s="661">
        <v>89301501</v>
      </c>
      <c r="D42" s="740" t="s">
        <v>2563</v>
      </c>
      <c r="E42" s="741" t="s">
        <v>1916</v>
      </c>
      <c r="F42" s="661" t="s">
        <v>1907</v>
      </c>
      <c r="G42" s="661" t="s">
        <v>1931</v>
      </c>
      <c r="H42" s="661" t="s">
        <v>995</v>
      </c>
      <c r="I42" s="661" t="s">
        <v>1131</v>
      </c>
      <c r="J42" s="661" t="s">
        <v>1845</v>
      </c>
      <c r="K42" s="661" t="s">
        <v>1149</v>
      </c>
      <c r="L42" s="662">
        <v>193.1</v>
      </c>
      <c r="M42" s="662">
        <v>193.1</v>
      </c>
      <c r="N42" s="661">
        <v>1</v>
      </c>
      <c r="O42" s="742">
        <v>0.5</v>
      </c>
      <c r="P42" s="662"/>
      <c r="Q42" s="677">
        <v>0</v>
      </c>
      <c r="R42" s="661"/>
      <c r="S42" s="677">
        <v>0</v>
      </c>
      <c r="T42" s="742"/>
      <c r="U42" s="700">
        <v>0</v>
      </c>
    </row>
    <row r="43" spans="1:21" ht="14.4" customHeight="1" x14ac:dyDescent="0.3">
      <c r="A43" s="660">
        <v>50</v>
      </c>
      <c r="B43" s="661" t="s">
        <v>553</v>
      </c>
      <c r="C43" s="661">
        <v>89301501</v>
      </c>
      <c r="D43" s="740" t="s">
        <v>2563</v>
      </c>
      <c r="E43" s="741" t="s">
        <v>1916</v>
      </c>
      <c r="F43" s="661" t="s">
        <v>1907</v>
      </c>
      <c r="G43" s="661" t="s">
        <v>1931</v>
      </c>
      <c r="H43" s="661" t="s">
        <v>995</v>
      </c>
      <c r="I43" s="661" t="s">
        <v>1992</v>
      </c>
      <c r="J43" s="661" t="s">
        <v>1845</v>
      </c>
      <c r="K43" s="661" t="s">
        <v>1993</v>
      </c>
      <c r="L43" s="662">
        <v>643.69000000000005</v>
      </c>
      <c r="M43" s="662">
        <v>643.69000000000005</v>
      </c>
      <c r="N43" s="661">
        <v>1</v>
      </c>
      <c r="O43" s="742">
        <v>1</v>
      </c>
      <c r="P43" s="662"/>
      <c r="Q43" s="677">
        <v>0</v>
      </c>
      <c r="R43" s="661"/>
      <c r="S43" s="677">
        <v>0</v>
      </c>
      <c r="T43" s="742"/>
      <c r="U43" s="700">
        <v>0</v>
      </c>
    </row>
    <row r="44" spans="1:21" ht="14.4" customHeight="1" x14ac:dyDescent="0.3">
      <c r="A44" s="660">
        <v>50</v>
      </c>
      <c r="B44" s="661" t="s">
        <v>553</v>
      </c>
      <c r="C44" s="661">
        <v>89301501</v>
      </c>
      <c r="D44" s="740" t="s">
        <v>2563</v>
      </c>
      <c r="E44" s="741" t="s">
        <v>1916</v>
      </c>
      <c r="F44" s="661" t="s">
        <v>1907</v>
      </c>
      <c r="G44" s="661" t="s">
        <v>1926</v>
      </c>
      <c r="H44" s="661" t="s">
        <v>995</v>
      </c>
      <c r="I44" s="661" t="s">
        <v>1048</v>
      </c>
      <c r="J44" s="661" t="s">
        <v>1049</v>
      </c>
      <c r="K44" s="661" t="s">
        <v>1050</v>
      </c>
      <c r="L44" s="662">
        <v>35.11</v>
      </c>
      <c r="M44" s="662">
        <v>105.33</v>
      </c>
      <c r="N44" s="661">
        <v>3</v>
      </c>
      <c r="O44" s="742">
        <v>1.5</v>
      </c>
      <c r="P44" s="662"/>
      <c r="Q44" s="677">
        <v>0</v>
      </c>
      <c r="R44" s="661"/>
      <c r="S44" s="677">
        <v>0</v>
      </c>
      <c r="T44" s="742"/>
      <c r="U44" s="700">
        <v>0</v>
      </c>
    </row>
    <row r="45" spans="1:21" ht="14.4" customHeight="1" x14ac:dyDescent="0.3">
      <c r="A45" s="660">
        <v>50</v>
      </c>
      <c r="B45" s="661" t="s">
        <v>553</v>
      </c>
      <c r="C45" s="661">
        <v>89301501</v>
      </c>
      <c r="D45" s="740" t="s">
        <v>2563</v>
      </c>
      <c r="E45" s="741" t="s">
        <v>1916</v>
      </c>
      <c r="F45" s="661" t="s">
        <v>1907</v>
      </c>
      <c r="G45" s="661" t="s">
        <v>1926</v>
      </c>
      <c r="H45" s="661" t="s">
        <v>995</v>
      </c>
      <c r="I45" s="661" t="s">
        <v>1052</v>
      </c>
      <c r="J45" s="661" t="s">
        <v>1053</v>
      </c>
      <c r="K45" s="661" t="s">
        <v>1054</v>
      </c>
      <c r="L45" s="662">
        <v>70.23</v>
      </c>
      <c r="M45" s="662">
        <v>140.46</v>
      </c>
      <c r="N45" s="661">
        <v>2</v>
      </c>
      <c r="O45" s="742">
        <v>1</v>
      </c>
      <c r="P45" s="662"/>
      <c r="Q45" s="677">
        <v>0</v>
      </c>
      <c r="R45" s="661"/>
      <c r="S45" s="677">
        <v>0</v>
      </c>
      <c r="T45" s="742"/>
      <c r="U45" s="700">
        <v>0</v>
      </c>
    </row>
    <row r="46" spans="1:21" ht="14.4" customHeight="1" x14ac:dyDescent="0.3">
      <c r="A46" s="660">
        <v>50</v>
      </c>
      <c r="B46" s="661" t="s">
        <v>553</v>
      </c>
      <c r="C46" s="661">
        <v>89301501</v>
      </c>
      <c r="D46" s="740" t="s">
        <v>2563</v>
      </c>
      <c r="E46" s="741" t="s">
        <v>1916</v>
      </c>
      <c r="F46" s="661" t="s">
        <v>1907</v>
      </c>
      <c r="G46" s="661" t="s">
        <v>1942</v>
      </c>
      <c r="H46" s="661" t="s">
        <v>554</v>
      </c>
      <c r="I46" s="661" t="s">
        <v>1943</v>
      </c>
      <c r="J46" s="661" t="s">
        <v>1944</v>
      </c>
      <c r="K46" s="661" t="s">
        <v>828</v>
      </c>
      <c r="L46" s="662">
        <v>53.78</v>
      </c>
      <c r="M46" s="662">
        <v>53.78</v>
      </c>
      <c r="N46" s="661">
        <v>1</v>
      </c>
      <c r="O46" s="742">
        <v>0.5</v>
      </c>
      <c r="P46" s="662"/>
      <c r="Q46" s="677">
        <v>0</v>
      </c>
      <c r="R46" s="661"/>
      <c r="S46" s="677">
        <v>0</v>
      </c>
      <c r="T46" s="742"/>
      <c r="U46" s="700">
        <v>0</v>
      </c>
    </row>
    <row r="47" spans="1:21" ht="14.4" customHeight="1" x14ac:dyDescent="0.3">
      <c r="A47" s="660">
        <v>50</v>
      </c>
      <c r="B47" s="661" t="s">
        <v>553</v>
      </c>
      <c r="C47" s="661">
        <v>89301501</v>
      </c>
      <c r="D47" s="740" t="s">
        <v>2563</v>
      </c>
      <c r="E47" s="741" t="s">
        <v>1916</v>
      </c>
      <c r="F47" s="661" t="s">
        <v>1907</v>
      </c>
      <c r="G47" s="661" t="s">
        <v>1942</v>
      </c>
      <c r="H47" s="661" t="s">
        <v>554</v>
      </c>
      <c r="I47" s="661" t="s">
        <v>1994</v>
      </c>
      <c r="J47" s="661" t="s">
        <v>1995</v>
      </c>
      <c r="K47" s="661" t="s">
        <v>1996</v>
      </c>
      <c r="L47" s="662">
        <v>0</v>
      </c>
      <c r="M47" s="662">
        <v>0</v>
      </c>
      <c r="N47" s="661">
        <v>1</v>
      </c>
      <c r="O47" s="742">
        <v>0.5</v>
      </c>
      <c r="P47" s="662"/>
      <c r="Q47" s="677"/>
      <c r="R47" s="661"/>
      <c r="S47" s="677">
        <v>0</v>
      </c>
      <c r="T47" s="742"/>
      <c r="U47" s="700">
        <v>0</v>
      </c>
    </row>
    <row r="48" spans="1:21" ht="14.4" customHeight="1" x14ac:dyDescent="0.3">
      <c r="A48" s="660">
        <v>50</v>
      </c>
      <c r="B48" s="661" t="s">
        <v>553</v>
      </c>
      <c r="C48" s="661">
        <v>89301501</v>
      </c>
      <c r="D48" s="740" t="s">
        <v>2563</v>
      </c>
      <c r="E48" s="741" t="s">
        <v>1916</v>
      </c>
      <c r="F48" s="661" t="s">
        <v>1907</v>
      </c>
      <c r="G48" s="661" t="s">
        <v>1942</v>
      </c>
      <c r="H48" s="661" t="s">
        <v>554</v>
      </c>
      <c r="I48" s="661" t="s">
        <v>1997</v>
      </c>
      <c r="J48" s="661" t="s">
        <v>1995</v>
      </c>
      <c r="K48" s="661" t="s">
        <v>828</v>
      </c>
      <c r="L48" s="662">
        <v>40.340000000000003</v>
      </c>
      <c r="M48" s="662">
        <v>121.02000000000001</v>
      </c>
      <c r="N48" s="661">
        <v>3</v>
      </c>
      <c r="O48" s="742">
        <v>2</v>
      </c>
      <c r="P48" s="662"/>
      <c r="Q48" s="677">
        <v>0</v>
      </c>
      <c r="R48" s="661"/>
      <c r="S48" s="677">
        <v>0</v>
      </c>
      <c r="T48" s="742"/>
      <c r="U48" s="700">
        <v>0</v>
      </c>
    </row>
    <row r="49" spans="1:21" ht="14.4" customHeight="1" x14ac:dyDescent="0.3">
      <c r="A49" s="660">
        <v>50</v>
      </c>
      <c r="B49" s="661" t="s">
        <v>553</v>
      </c>
      <c r="C49" s="661">
        <v>89301501</v>
      </c>
      <c r="D49" s="740" t="s">
        <v>2563</v>
      </c>
      <c r="E49" s="741" t="s">
        <v>1916</v>
      </c>
      <c r="F49" s="661" t="s">
        <v>1907</v>
      </c>
      <c r="G49" s="661" t="s">
        <v>1927</v>
      </c>
      <c r="H49" s="661" t="s">
        <v>995</v>
      </c>
      <c r="I49" s="661" t="s">
        <v>1998</v>
      </c>
      <c r="J49" s="661" t="s">
        <v>1165</v>
      </c>
      <c r="K49" s="661" t="s">
        <v>1999</v>
      </c>
      <c r="L49" s="662">
        <v>186.87</v>
      </c>
      <c r="M49" s="662">
        <v>560.61</v>
      </c>
      <c r="N49" s="661">
        <v>3</v>
      </c>
      <c r="O49" s="742">
        <v>1.5</v>
      </c>
      <c r="P49" s="662"/>
      <c r="Q49" s="677">
        <v>0</v>
      </c>
      <c r="R49" s="661"/>
      <c r="S49" s="677">
        <v>0</v>
      </c>
      <c r="T49" s="742"/>
      <c r="U49" s="700">
        <v>0</v>
      </c>
    </row>
    <row r="50" spans="1:21" ht="14.4" customHeight="1" x14ac:dyDescent="0.3">
      <c r="A50" s="660">
        <v>50</v>
      </c>
      <c r="B50" s="661" t="s">
        <v>553</v>
      </c>
      <c r="C50" s="661">
        <v>89301501</v>
      </c>
      <c r="D50" s="740" t="s">
        <v>2563</v>
      </c>
      <c r="E50" s="741" t="s">
        <v>1916</v>
      </c>
      <c r="F50" s="661" t="s">
        <v>1907</v>
      </c>
      <c r="G50" s="661" t="s">
        <v>1953</v>
      </c>
      <c r="H50" s="661" t="s">
        <v>554</v>
      </c>
      <c r="I50" s="661" t="s">
        <v>1954</v>
      </c>
      <c r="J50" s="661" t="s">
        <v>1955</v>
      </c>
      <c r="K50" s="661" t="s">
        <v>1956</v>
      </c>
      <c r="L50" s="662">
        <v>0</v>
      </c>
      <c r="M50" s="662">
        <v>0</v>
      </c>
      <c r="N50" s="661">
        <v>1</v>
      </c>
      <c r="O50" s="742">
        <v>0.5</v>
      </c>
      <c r="P50" s="662"/>
      <c r="Q50" s="677"/>
      <c r="R50" s="661"/>
      <c r="S50" s="677">
        <v>0</v>
      </c>
      <c r="T50" s="742"/>
      <c r="U50" s="700">
        <v>0</v>
      </c>
    </row>
    <row r="51" spans="1:21" ht="14.4" customHeight="1" x14ac:dyDescent="0.3">
      <c r="A51" s="660">
        <v>50</v>
      </c>
      <c r="B51" s="661" t="s">
        <v>553</v>
      </c>
      <c r="C51" s="661">
        <v>89301501</v>
      </c>
      <c r="D51" s="740" t="s">
        <v>2563</v>
      </c>
      <c r="E51" s="741" t="s">
        <v>1916</v>
      </c>
      <c r="F51" s="661" t="s">
        <v>1907</v>
      </c>
      <c r="G51" s="661" t="s">
        <v>1953</v>
      </c>
      <c r="H51" s="661" t="s">
        <v>554</v>
      </c>
      <c r="I51" s="661" t="s">
        <v>2000</v>
      </c>
      <c r="J51" s="661" t="s">
        <v>827</v>
      </c>
      <c r="K51" s="661" t="s">
        <v>2001</v>
      </c>
      <c r="L51" s="662">
        <v>52.75</v>
      </c>
      <c r="M51" s="662">
        <v>105.5</v>
      </c>
      <c r="N51" s="661">
        <v>2</v>
      </c>
      <c r="O51" s="742">
        <v>1</v>
      </c>
      <c r="P51" s="662"/>
      <c r="Q51" s="677">
        <v>0</v>
      </c>
      <c r="R51" s="661"/>
      <c r="S51" s="677">
        <v>0</v>
      </c>
      <c r="T51" s="742"/>
      <c r="U51" s="700">
        <v>0</v>
      </c>
    </row>
    <row r="52" spans="1:21" ht="14.4" customHeight="1" x14ac:dyDescent="0.3">
      <c r="A52" s="660">
        <v>50</v>
      </c>
      <c r="B52" s="661" t="s">
        <v>553</v>
      </c>
      <c r="C52" s="661">
        <v>89301501</v>
      </c>
      <c r="D52" s="740" t="s">
        <v>2563</v>
      </c>
      <c r="E52" s="741" t="s">
        <v>1916</v>
      </c>
      <c r="F52" s="661" t="s">
        <v>1907</v>
      </c>
      <c r="G52" s="661" t="s">
        <v>1953</v>
      </c>
      <c r="H52" s="661" t="s">
        <v>554</v>
      </c>
      <c r="I52" s="661" t="s">
        <v>2002</v>
      </c>
      <c r="J52" s="661" t="s">
        <v>1955</v>
      </c>
      <c r="K52" s="661" t="s">
        <v>2003</v>
      </c>
      <c r="L52" s="662">
        <v>0</v>
      </c>
      <c r="M52" s="662">
        <v>0</v>
      </c>
      <c r="N52" s="661">
        <v>1</v>
      </c>
      <c r="O52" s="742">
        <v>0.5</v>
      </c>
      <c r="P52" s="662"/>
      <c r="Q52" s="677"/>
      <c r="R52" s="661"/>
      <c r="S52" s="677">
        <v>0</v>
      </c>
      <c r="T52" s="742"/>
      <c r="U52" s="700">
        <v>0</v>
      </c>
    </row>
    <row r="53" spans="1:21" ht="14.4" customHeight="1" x14ac:dyDescent="0.3">
      <c r="A53" s="660">
        <v>50</v>
      </c>
      <c r="B53" s="661" t="s">
        <v>553</v>
      </c>
      <c r="C53" s="661">
        <v>89301501</v>
      </c>
      <c r="D53" s="740" t="s">
        <v>2563</v>
      </c>
      <c r="E53" s="741" t="s">
        <v>1916</v>
      </c>
      <c r="F53" s="661" t="s">
        <v>1907</v>
      </c>
      <c r="G53" s="661" t="s">
        <v>1953</v>
      </c>
      <c r="H53" s="661" t="s">
        <v>554</v>
      </c>
      <c r="I53" s="661" t="s">
        <v>2004</v>
      </c>
      <c r="J53" s="661" t="s">
        <v>1955</v>
      </c>
      <c r="K53" s="661" t="s">
        <v>2005</v>
      </c>
      <c r="L53" s="662">
        <v>29.54</v>
      </c>
      <c r="M53" s="662">
        <v>29.54</v>
      </c>
      <c r="N53" s="661">
        <v>1</v>
      </c>
      <c r="O53" s="742">
        <v>0.5</v>
      </c>
      <c r="P53" s="662"/>
      <c r="Q53" s="677">
        <v>0</v>
      </c>
      <c r="R53" s="661"/>
      <c r="S53" s="677">
        <v>0</v>
      </c>
      <c r="T53" s="742"/>
      <c r="U53" s="700">
        <v>0</v>
      </c>
    </row>
    <row r="54" spans="1:21" ht="14.4" customHeight="1" x14ac:dyDescent="0.3">
      <c r="A54" s="660">
        <v>50</v>
      </c>
      <c r="B54" s="661" t="s">
        <v>553</v>
      </c>
      <c r="C54" s="661">
        <v>89301501</v>
      </c>
      <c r="D54" s="740" t="s">
        <v>2563</v>
      </c>
      <c r="E54" s="741" t="s">
        <v>1916</v>
      </c>
      <c r="F54" s="661" t="s">
        <v>1907</v>
      </c>
      <c r="G54" s="661" t="s">
        <v>1957</v>
      </c>
      <c r="H54" s="661" t="s">
        <v>554</v>
      </c>
      <c r="I54" s="661" t="s">
        <v>2006</v>
      </c>
      <c r="J54" s="661" t="s">
        <v>2007</v>
      </c>
      <c r="K54" s="661" t="s">
        <v>2008</v>
      </c>
      <c r="L54" s="662">
        <v>117.03</v>
      </c>
      <c r="M54" s="662">
        <v>117.03</v>
      </c>
      <c r="N54" s="661">
        <v>1</v>
      </c>
      <c r="O54" s="742">
        <v>0.5</v>
      </c>
      <c r="P54" s="662"/>
      <c r="Q54" s="677">
        <v>0</v>
      </c>
      <c r="R54" s="661"/>
      <c r="S54" s="677">
        <v>0</v>
      </c>
      <c r="T54" s="742"/>
      <c r="U54" s="700">
        <v>0</v>
      </c>
    </row>
    <row r="55" spans="1:21" ht="14.4" customHeight="1" x14ac:dyDescent="0.3">
      <c r="A55" s="660">
        <v>50</v>
      </c>
      <c r="B55" s="661" t="s">
        <v>553</v>
      </c>
      <c r="C55" s="661">
        <v>89301501</v>
      </c>
      <c r="D55" s="740" t="s">
        <v>2563</v>
      </c>
      <c r="E55" s="741" t="s">
        <v>1916</v>
      </c>
      <c r="F55" s="661" t="s">
        <v>1907</v>
      </c>
      <c r="G55" s="661" t="s">
        <v>1961</v>
      </c>
      <c r="H55" s="661" t="s">
        <v>995</v>
      </c>
      <c r="I55" s="661" t="s">
        <v>1139</v>
      </c>
      <c r="J55" s="661" t="s">
        <v>1140</v>
      </c>
      <c r="K55" s="661" t="s">
        <v>1141</v>
      </c>
      <c r="L55" s="662">
        <v>52.97</v>
      </c>
      <c r="M55" s="662">
        <v>52.97</v>
      </c>
      <c r="N55" s="661">
        <v>1</v>
      </c>
      <c r="O55" s="742">
        <v>0.5</v>
      </c>
      <c r="P55" s="662"/>
      <c r="Q55" s="677">
        <v>0</v>
      </c>
      <c r="R55" s="661"/>
      <c r="S55" s="677">
        <v>0</v>
      </c>
      <c r="T55" s="742"/>
      <c r="U55" s="700">
        <v>0</v>
      </c>
    </row>
    <row r="56" spans="1:21" ht="14.4" customHeight="1" x14ac:dyDescent="0.3">
      <c r="A56" s="660">
        <v>50</v>
      </c>
      <c r="B56" s="661" t="s">
        <v>553</v>
      </c>
      <c r="C56" s="661">
        <v>89301501</v>
      </c>
      <c r="D56" s="740" t="s">
        <v>2563</v>
      </c>
      <c r="E56" s="741" t="s">
        <v>1916</v>
      </c>
      <c r="F56" s="661" t="s">
        <v>1907</v>
      </c>
      <c r="G56" s="661" t="s">
        <v>1962</v>
      </c>
      <c r="H56" s="661" t="s">
        <v>995</v>
      </c>
      <c r="I56" s="661" t="s">
        <v>1963</v>
      </c>
      <c r="J56" s="661" t="s">
        <v>1094</v>
      </c>
      <c r="K56" s="661" t="s">
        <v>1050</v>
      </c>
      <c r="L56" s="662">
        <v>48.27</v>
      </c>
      <c r="M56" s="662">
        <v>48.27</v>
      </c>
      <c r="N56" s="661">
        <v>1</v>
      </c>
      <c r="O56" s="742">
        <v>1</v>
      </c>
      <c r="P56" s="662"/>
      <c r="Q56" s="677">
        <v>0</v>
      </c>
      <c r="R56" s="661"/>
      <c r="S56" s="677">
        <v>0</v>
      </c>
      <c r="T56" s="742"/>
      <c r="U56" s="700">
        <v>0</v>
      </c>
    </row>
    <row r="57" spans="1:21" ht="14.4" customHeight="1" x14ac:dyDescent="0.3">
      <c r="A57" s="660">
        <v>50</v>
      </c>
      <c r="B57" s="661" t="s">
        <v>553</v>
      </c>
      <c r="C57" s="661">
        <v>89301501</v>
      </c>
      <c r="D57" s="740" t="s">
        <v>2563</v>
      </c>
      <c r="E57" s="741" t="s">
        <v>1916</v>
      </c>
      <c r="F57" s="661" t="s">
        <v>1907</v>
      </c>
      <c r="G57" s="661" t="s">
        <v>2009</v>
      </c>
      <c r="H57" s="661" t="s">
        <v>995</v>
      </c>
      <c r="I57" s="661" t="s">
        <v>2010</v>
      </c>
      <c r="J57" s="661" t="s">
        <v>2011</v>
      </c>
      <c r="K57" s="661" t="s">
        <v>1303</v>
      </c>
      <c r="L57" s="662">
        <v>204.76</v>
      </c>
      <c r="M57" s="662">
        <v>204.76</v>
      </c>
      <c r="N57" s="661">
        <v>1</v>
      </c>
      <c r="O57" s="742">
        <v>0.5</v>
      </c>
      <c r="P57" s="662"/>
      <c r="Q57" s="677">
        <v>0</v>
      </c>
      <c r="R57" s="661"/>
      <c r="S57" s="677">
        <v>0</v>
      </c>
      <c r="T57" s="742"/>
      <c r="U57" s="700">
        <v>0</v>
      </c>
    </row>
    <row r="58" spans="1:21" ht="14.4" customHeight="1" x14ac:dyDescent="0.3">
      <c r="A58" s="660">
        <v>50</v>
      </c>
      <c r="B58" s="661" t="s">
        <v>553</v>
      </c>
      <c r="C58" s="661">
        <v>89301501</v>
      </c>
      <c r="D58" s="740" t="s">
        <v>2563</v>
      </c>
      <c r="E58" s="741" t="s">
        <v>1916</v>
      </c>
      <c r="F58" s="661" t="s">
        <v>1907</v>
      </c>
      <c r="G58" s="661" t="s">
        <v>1969</v>
      </c>
      <c r="H58" s="661" t="s">
        <v>995</v>
      </c>
      <c r="I58" s="661" t="s">
        <v>1018</v>
      </c>
      <c r="J58" s="661" t="s">
        <v>1838</v>
      </c>
      <c r="K58" s="661" t="s">
        <v>1020</v>
      </c>
      <c r="L58" s="662">
        <v>96.53</v>
      </c>
      <c r="M58" s="662">
        <v>193.06</v>
      </c>
      <c r="N58" s="661">
        <v>2</v>
      </c>
      <c r="O58" s="742">
        <v>1</v>
      </c>
      <c r="P58" s="662"/>
      <c r="Q58" s="677">
        <v>0</v>
      </c>
      <c r="R58" s="661"/>
      <c r="S58" s="677">
        <v>0</v>
      </c>
      <c r="T58" s="742"/>
      <c r="U58" s="700">
        <v>0</v>
      </c>
    </row>
    <row r="59" spans="1:21" ht="14.4" customHeight="1" x14ac:dyDescent="0.3">
      <c r="A59" s="660">
        <v>50</v>
      </c>
      <c r="B59" s="661" t="s">
        <v>553</v>
      </c>
      <c r="C59" s="661">
        <v>89301501</v>
      </c>
      <c r="D59" s="740" t="s">
        <v>2563</v>
      </c>
      <c r="E59" s="741" t="s">
        <v>1916</v>
      </c>
      <c r="F59" s="661" t="s">
        <v>1907</v>
      </c>
      <c r="G59" s="661" t="s">
        <v>1969</v>
      </c>
      <c r="H59" s="661" t="s">
        <v>995</v>
      </c>
      <c r="I59" s="661" t="s">
        <v>2012</v>
      </c>
      <c r="J59" s="661" t="s">
        <v>1003</v>
      </c>
      <c r="K59" s="661" t="s">
        <v>2013</v>
      </c>
      <c r="L59" s="662">
        <v>40.22</v>
      </c>
      <c r="M59" s="662">
        <v>40.22</v>
      </c>
      <c r="N59" s="661">
        <v>1</v>
      </c>
      <c r="O59" s="742">
        <v>0.5</v>
      </c>
      <c r="P59" s="662"/>
      <c r="Q59" s="677">
        <v>0</v>
      </c>
      <c r="R59" s="661"/>
      <c r="S59" s="677">
        <v>0</v>
      </c>
      <c r="T59" s="742"/>
      <c r="U59" s="700">
        <v>0</v>
      </c>
    </row>
    <row r="60" spans="1:21" ht="14.4" customHeight="1" x14ac:dyDescent="0.3">
      <c r="A60" s="660">
        <v>50</v>
      </c>
      <c r="B60" s="661" t="s">
        <v>553</v>
      </c>
      <c r="C60" s="661">
        <v>89301501</v>
      </c>
      <c r="D60" s="740" t="s">
        <v>2563</v>
      </c>
      <c r="E60" s="741" t="s">
        <v>1916</v>
      </c>
      <c r="F60" s="661" t="s">
        <v>1907</v>
      </c>
      <c r="G60" s="661" t="s">
        <v>1969</v>
      </c>
      <c r="H60" s="661" t="s">
        <v>995</v>
      </c>
      <c r="I60" s="661" t="s">
        <v>2014</v>
      </c>
      <c r="J60" s="661" t="s">
        <v>1839</v>
      </c>
      <c r="K60" s="661" t="s">
        <v>2015</v>
      </c>
      <c r="L60" s="662">
        <v>80.45</v>
      </c>
      <c r="M60" s="662">
        <v>160.9</v>
      </c>
      <c r="N60" s="661">
        <v>2</v>
      </c>
      <c r="O60" s="742">
        <v>1</v>
      </c>
      <c r="P60" s="662"/>
      <c r="Q60" s="677">
        <v>0</v>
      </c>
      <c r="R60" s="661"/>
      <c r="S60" s="677">
        <v>0</v>
      </c>
      <c r="T60" s="742"/>
      <c r="U60" s="700">
        <v>0</v>
      </c>
    </row>
    <row r="61" spans="1:21" ht="14.4" customHeight="1" x14ac:dyDescent="0.3">
      <c r="A61" s="660">
        <v>50</v>
      </c>
      <c r="B61" s="661" t="s">
        <v>553</v>
      </c>
      <c r="C61" s="661">
        <v>89301501</v>
      </c>
      <c r="D61" s="740" t="s">
        <v>2563</v>
      </c>
      <c r="E61" s="741" t="s">
        <v>1916</v>
      </c>
      <c r="F61" s="661" t="s">
        <v>1907</v>
      </c>
      <c r="G61" s="661" t="s">
        <v>2016</v>
      </c>
      <c r="H61" s="661" t="s">
        <v>554</v>
      </c>
      <c r="I61" s="661" t="s">
        <v>1219</v>
      </c>
      <c r="J61" s="661" t="s">
        <v>1220</v>
      </c>
      <c r="K61" s="661" t="s">
        <v>2017</v>
      </c>
      <c r="L61" s="662">
        <v>186.27</v>
      </c>
      <c r="M61" s="662">
        <v>186.27</v>
      </c>
      <c r="N61" s="661">
        <v>1</v>
      </c>
      <c r="O61" s="742">
        <v>1</v>
      </c>
      <c r="P61" s="662"/>
      <c r="Q61" s="677">
        <v>0</v>
      </c>
      <c r="R61" s="661"/>
      <c r="S61" s="677">
        <v>0</v>
      </c>
      <c r="T61" s="742"/>
      <c r="U61" s="700">
        <v>0</v>
      </c>
    </row>
    <row r="62" spans="1:21" ht="14.4" customHeight="1" x14ac:dyDescent="0.3">
      <c r="A62" s="660">
        <v>50</v>
      </c>
      <c r="B62" s="661" t="s">
        <v>553</v>
      </c>
      <c r="C62" s="661">
        <v>89301501</v>
      </c>
      <c r="D62" s="740" t="s">
        <v>2563</v>
      </c>
      <c r="E62" s="741" t="s">
        <v>1916</v>
      </c>
      <c r="F62" s="661" t="s">
        <v>1907</v>
      </c>
      <c r="G62" s="661" t="s">
        <v>1987</v>
      </c>
      <c r="H62" s="661" t="s">
        <v>554</v>
      </c>
      <c r="I62" s="661" t="s">
        <v>2018</v>
      </c>
      <c r="J62" s="661" t="s">
        <v>737</v>
      </c>
      <c r="K62" s="661" t="s">
        <v>2019</v>
      </c>
      <c r="L62" s="662">
        <v>0</v>
      </c>
      <c r="M62" s="662">
        <v>0</v>
      </c>
      <c r="N62" s="661">
        <v>1</v>
      </c>
      <c r="O62" s="742">
        <v>1</v>
      </c>
      <c r="P62" s="662"/>
      <c r="Q62" s="677"/>
      <c r="R62" s="661"/>
      <c r="S62" s="677">
        <v>0</v>
      </c>
      <c r="T62" s="742"/>
      <c r="U62" s="700">
        <v>0</v>
      </c>
    </row>
    <row r="63" spans="1:21" ht="14.4" customHeight="1" x14ac:dyDescent="0.3">
      <c r="A63" s="660">
        <v>50</v>
      </c>
      <c r="B63" s="661" t="s">
        <v>553</v>
      </c>
      <c r="C63" s="661">
        <v>89301501</v>
      </c>
      <c r="D63" s="740" t="s">
        <v>2563</v>
      </c>
      <c r="E63" s="741" t="s">
        <v>1916</v>
      </c>
      <c r="F63" s="661" t="s">
        <v>1907</v>
      </c>
      <c r="G63" s="661" t="s">
        <v>1988</v>
      </c>
      <c r="H63" s="661" t="s">
        <v>995</v>
      </c>
      <c r="I63" s="661" t="s">
        <v>2020</v>
      </c>
      <c r="J63" s="661" t="s">
        <v>2021</v>
      </c>
      <c r="K63" s="661" t="s">
        <v>2022</v>
      </c>
      <c r="L63" s="662">
        <v>120.61</v>
      </c>
      <c r="M63" s="662">
        <v>120.61</v>
      </c>
      <c r="N63" s="661">
        <v>1</v>
      </c>
      <c r="O63" s="742">
        <v>0.5</v>
      </c>
      <c r="P63" s="662">
        <v>120.61</v>
      </c>
      <c r="Q63" s="677">
        <v>1</v>
      </c>
      <c r="R63" s="661">
        <v>1</v>
      </c>
      <c r="S63" s="677">
        <v>1</v>
      </c>
      <c r="T63" s="742">
        <v>0.5</v>
      </c>
      <c r="U63" s="700">
        <v>1</v>
      </c>
    </row>
    <row r="64" spans="1:21" ht="14.4" customHeight="1" x14ac:dyDescent="0.3">
      <c r="A64" s="660">
        <v>50</v>
      </c>
      <c r="B64" s="661" t="s">
        <v>553</v>
      </c>
      <c r="C64" s="661">
        <v>89301501</v>
      </c>
      <c r="D64" s="740" t="s">
        <v>2563</v>
      </c>
      <c r="E64" s="741" t="s">
        <v>1917</v>
      </c>
      <c r="F64" s="661" t="s">
        <v>1907</v>
      </c>
      <c r="G64" s="661" t="s">
        <v>2023</v>
      </c>
      <c r="H64" s="661" t="s">
        <v>554</v>
      </c>
      <c r="I64" s="661" t="s">
        <v>2024</v>
      </c>
      <c r="J64" s="661" t="s">
        <v>2025</v>
      </c>
      <c r="K64" s="661" t="s">
        <v>2026</v>
      </c>
      <c r="L64" s="662">
        <v>32.28</v>
      </c>
      <c r="M64" s="662">
        <v>32.28</v>
      </c>
      <c r="N64" s="661">
        <v>1</v>
      </c>
      <c r="O64" s="742">
        <v>0.5</v>
      </c>
      <c r="P64" s="662"/>
      <c r="Q64" s="677">
        <v>0</v>
      </c>
      <c r="R64" s="661"/>
      <c r="S64" s="677">
        <v>0</v>
      </c>
      <c r="T64" s="742"/>
      <c r="U64" s="700">
        <v>0</v>
      </c>
    </row>
    <row r="65" spans="1:21" ht="14.4" customHeight="1" x14ac:dyDescent="0.3">
      <c r="A65" s="660">
        <v>50</v>
      </c>
      <c r="B65" s="661" t="s">
        <v>553</v>
      </c>
      <c r="C65" s="661">
        <v>89301501</v>
      </c>
      <c r="D65" s="740" t="s">
        <v>2563</v>
      </c>
      <c r="E65" s="741" t="s">
        <v>1917</v>
      </c>
      <c r="F65" s="661" t="s">
        <v>1907</v>
      </c>
      <c r="G65" s="661" t="s">
        <v>1930</v>
      </c>
      <c r="H65" s="661" t="s">
        <v>995</v>
      </c>
      <c r="I65" s="661" t="s">
        <v>1010</v>
      </c>
      <c r="J65" s="661" t="s">
        <v>1011</v>
      </c>
      <c r="K65" s="661" t="s">
        <v>1830</v>
      </c>
      <c r="L65" s="662">
        <v>72</v>
      </c>
      <c r="M65" s="662">
        <v>72</v>
      </c>
      <c r="N65" s="661">
        <v>1</v>
      </c>
      <c r="O65" s="742">
        <v>0.5</v>
      </c>
      <c r="P65" s="662"/>
      <c r="Q65" s="677">
        <v>0</v>
      </c>
      <c r="R65" s="661"/>
      <c r="S65" s="677">
        <v>0</v>
      </c>
      <c r="T65" s="742"/>
      <c r="U65" s="700">
        <v>0</v>
      </c>
    </row>
    <row r="66" spans="1:21" ht="14.4" customHeight="1" x14ac:dyDescent="0.3">
      <c r="A66" s="660">
        <v>50</v>
      </c>
      <c r="B66" s="661" t="s">
        <v>553</v>
      </c>
      <c r="C66" s="661">
        <v>89301501</v>
      </c>
      <c r="D66" s="740" t="s">
        <v>2563</v>
      </c>
      <c r="E66" s="741" t="s">
        <v>1917</v>
      </c>
      <c r="F66" s="661" t="s">
        <v>1907</v>
      </c>
      <c r="G66" s="661" t="s">
        <v>2027</v>
      </c>
      <c r="H66" s="661" t="s">
        <v>554</v>
      </c>
      <c r="I66" s="661" t="s">
        <v>2028</v>
      </c>
      <c r="J66" s="661" t="s">
        <v>2029</v>
      </c>
      <c r="K66" s="661" t="s">
        <v>1020</v>
      </c>
      <c r="L66" s="662">
        <v>77.680000000000007</v>
      </c>
      <c r="M66" s="662">
        <v>77.680000000000007</v>
      </c>
      <c r="N66" s="661">
        <v>1</v>
      </c>
      <c r="O66" s="742">
        <v>1</v>
      </c>
      <c r="P66" s="662"/>
      <c r="Q66" s="677">
        <v>0</v>
      </c>
      <c r="R66" s="661"/>
      <c r="S66" s="677">
        <v>0</v>
      </c>
      <c r="T66" s="742"/>
      <c r="U66" s="700">
        <v>0</v>
      </c>
    </row>
    <row r="67" spans="1:21" ht="14.4" customHeight="1" x14ac:dyDescent="0.3">
      <c r="A67" s="660">
        <v>50</v>
      </c>
      <c r="B67" s="661" t="s">
        <v>553</v>
      </c>
      <c r="C67" s="661">
        <v>89301501</v>
      </c>
      <c r="D67" s="740" t="s">
        <v>2563</v>
      </c>
      <c r="E67" s="741" t="s">
        <v>1917</v>
      </c>
      <c r="F67" s="661" t="s">
        <v>1907</v>
      </c>
      <c r="G67" s="661" t="s">
        <v>2030</v>
      </c>
      <c r="H67" s="661" t="s">
        <v>554</v>
      </c>
      <c r="I67" s="661" t="s">
        <v>2031</v>
      </c>
      <c r="J67" s="661" t="s">
        <v>1857</v>
      </c>
      <c r="K67" s="661" t="s">
        <v>2032</v>
      </c>
      <c r="L67" s="662">
        <v>0</v>
      </c>
      <c r="M67" s="662">
        <v>0</v>
      </c>
      <c r="N67" s="661">
        <v>1</v>
      </c>
      <c r="O67" s="742">
        <v>1</v>
      </c>
      <c r="P67" s="662"/>
      <c r="Q67" s="677"/>
      <c r="R67" s="661"/>
      <c r="S67" s="677">
        <v>0</v>
      </c>
      <c r="T67" s="742"/>
      <c r="U67" s="700">
        <v>0</v>
      </c>
    </row>
    <row r="68" spans="1:21" ht="14.4" customHeight="1" x14ac:dyDescent="0.3">
      <c r="A68" s="660">
        <v>50</v>
      </c>
      <c r="B68" s="661" t="s">
        <v>553</v>
      </c>
      <c r="C68" s="661">
        <v>89301501</v>
      </c>
      <c r="D68" s="740" t="s">
        <v>2563</v>
      </c>
      <c r="E68" s="741" t="s">
        <v>1917</v>
      </c>
      <c r="F68" s="661" t="s">
        <v>1907</v>
      </c>
      <c r="G68" s="661" t="s">
        <v>1931</v>
      </c>
      <c r="H68" s="661" t="s">
        <v>995</v>
      </c>
      <c r="I68" s="661" t="s">
        <v>2033</v>
      </c>
      <c r="J68" s="661" t="s">
        <v>2034</v>
      </c>
      <c r="K68" s="661" t="s">
        <v>2035</v>
      </c>
      <c r="L68" s="662">
        <v>298.95999999999998</v>
      </c>
      <c r="M68" s="662">
        <v>298.95999999999998</v>
      </c>
      <c r="N68" s="661">
        <v>1</v>
      </c>
      <c r="O68" s="742">
        <v>0.5</v>
      </c>
      <c r="P68" s="662"/>
      <c r="Q68" s="677">
        <v>0</v>
      </c>
      <c r="R68" s="661"/>
      <c r="S68" s="677">
        <v>0</v>
      </c>
      <c r="T68" s="742"/>
      <c r="U68" s="700">
        <v>0</v>
      </c>
    </row>
    <row r="69" spans="1:21" ht="14.4" customHeight="1" x14ac:dyDescent="0.3">
      <c r="A69" s="660">
        <v>50</v>
      </c>
      <c r="B69" s="661" t="s">
        <v>553</v>
      </c>
      <c r="C69" s="661">
        <v>89301501</v>
      </c>
      <c r="D69" s="740" t="s">
        <v>2563</v>
      </c>
      <c r="E69" s="741" t="s">
        <v>1917</v>
      </c>
      <c r="F69" s="661" t="s">
        <v>1907</v>
      </c>
      <c r="G69" s="661" t="s">
        <v>1931</v>
      </c>
      <c r="H69" s="661" t="s">
        <v>995</v>
      </c>
      <c r="I69" s="661" t="s">
        <v>1131</v>
      </c>
      <c r="J69" s="661" t="s">
        <v>1845</v>
      </c>
      <c r="K69" s="661" t="s">
        <v>1149</v>
      </c>
      <c r="L69" s="662">
        <v>193.1</v>
      </c>
      <c r="M69" s="662">
        <v>1158.5999999999999</v>
      </c>
      <c r="N69" s="661">
        <v>6</v>
      </c>
      <c r="O69" s="742">
        <v>3.5</v>
      </c>
      <c r="P69" s="662"/>
      <c r="Q69" s="677">
        <v>0</v>
      </c>
      <c r="R69" s="661"/>
      <c r="S69" s="677">
        <v>0</v>
      </c>
      <c r="T69" s="742"/>
      <c r="U69" s="700">
        <v>0</v>
      </c>
    </row>
    <row r="70" spans="1:21" ht="14.4" customHeight="1" x14ac:dyDescent="0.3">
      <c r="A70" s="660">
        <v>50</v>
      </c>
      <c r="B70" s="661" t="s">
        <v>553</v>
      </c>
      <c r="C70" s="661">
        <v>89301501</v>
      </c>
      <c r="D70" s="740" t="s">
        <v>2563</v>
      </c>
      <c r="E70" s="741" t="s">
        <v>1917</v>
      </c>
      <c r="F70" s="661" t="s">
        <v>1907</v>
      </c>
      <c r="G70" s="661" t="s">
        <v>1931</v>
      </c>
      <c r="H70" s="661" t="s">
        <v>995</v>
      </c>
      <c r="I70" s="661" t="s">
        <v>1992</v>
      </c>
      <c r="J70" s="661" t="s">
        <v>1845</v>
      </c>
      <c r="K70" s="661" t="s">
        <v>1993</v>
      </c>
      <c r="L70" s="662">
        <v>643.69000000000005</v>
      </c>
      <c r="M70" s="662">
        <v>643.69000000000005</v>
      </c>
      <c r="N70" s="661">
        <v>1</v>
      </c>
      <c r="O70" s="742">
        <v>0.5</v>
      </c>
      <c r="P70" s="662"/>
      <c r="Q70" s="677">
        <v>0</v>
      </c>
      <c r="R70" s="661"/>
      <c r="S70" s="677">
        <v>0</v>
      </c>
      <c r="T70" s="742"/>
      <c r="U70" s="700">
        <v>0</v>
      </c>
    </row>
    <row r="71" spans="1:21" ht="14.4" customHeight="1" x14ac:dyDescent="0.3">
      <c r="A71" s="660">
        <v>50</v>
      </c>
      <c r="B71" s="661" t="s">
        <v>553</v>
      </c>
      <c r="C71" s="661">
        <v>89301501</v>
      </c>
      <c r="D71" s="740" t="s">
        <v>2563</v>
      </c>
      <c r="E71" s="741" t="s">
        <v>1917</v>
      </c>
      <c r="F71" s="661" t="s">
        <v>1907</v>
      </c>
      <c r="G71" s="661" t="s">
        <v>1932</v>
      </c>
      <c r="H71" s="661" t="s">
        <v>995</v>
      </c>
      <c r="I71" s="661" t="s">
        <v>1060</v>
      </c>
      <c r="J71" s="661" t="s">
        <v>1061</v>
      </c>
      <c r="K71" s="661" t="s">
        <v>974</v>
      </c>
      <c r="L71" s="662">
        <v>65.540000000000006</v>
      </c>
      <c r="M71" s="662">
        <v>65.540000000000006</v>
      </c>
      <c r="N71" s="661">
        <v>1</v>
      </c>
      <c r="O71" s="742">
        <v>0.5</v>
      </c>
      <c r="P71" s="662"/>
      <c r="Q71" s="677">
        <v>0</v>
      </c>
      <c r="R71" s="661"/>
      <c r="S71" s="677">
        <v>0</v>
      </c>
      <c r="T71" s="742"/>
      <c r="U71" s="700">
        <v>0</v>
      </c>
    </row>
    <row r="72" spans="1:21" ht="14.4" customHeight="1" x14ac:dyDescent="0.3">
      <c r="A72" s="660">
        <v>50</v>
      </c>
      <c r="B72" s="661" t="s">
        <v>553</v>
      </c>
      <c r="C72" s="661">
        <v>89301501</v>
      </c>
      <c r="D72" s="740" t="s">
        <v>2563</v>
      </c>
      <c r="E72" s="741" t="s">
        <v>1917</v>
      </c>
      <c r="F72" s="661" t="s">
        <v>1907</v>
      </c>
      <c r="G72" s="661" t="s">
        <v>1926</v>
      </c>
      <c r="H72" s="661" t="s">
        <v>995</v>
      </c>
      <c r="I72" s="661" t="s">
        <v>1048</v>
      </c>
      <c r="J72" s="661" t="s">
        <v>1049</v>
      </c>
      <c r="K72" s="661" t="s">
        <v>1050</v>
      </c>
      <c r="L72" s="662">
        <v>35.11</v>
      </c>
      <c r="M72" s="662">
        <v>70.22</v>
      </c>
      <c r="N72" s="661">
        <v>2</v>
      </c>
      <c r="O72" s="742">
        <v>1</v>
      </c>
      <c r="P72" s="662"/>
      <c r="Q72" s="677">
        <v>0</v>
      </c>
      <c r="R72" s="661"/>
      <c r="S72" s="677">
        <v>0</v>
      </c>
      <c r="T72" s="742"/>
      <c r="U72" s="700">
        <v>0</v>
      </c>
    </row>
    <row r="73" spans="1:21" ht="14.4" customHeight="1" x14ac:dyDescent="0.3">
      <c r="A73" s="660">
        <v>50</v>
      </c>
      <c r="B73" s="661" t="s">
        <v>553</v>
      </c>
      <c r="C73" s="661">
        <v>89301501</v>
      </c>
      <c r="D73" s="740" t="s">
        <v>2563</v>
      </c>
      <c r="E73" s="741" t="s">
        <v>1917</v>
      </c>
      <c r="F73" s="661" t="s">
        <v>1907</v>
      </c>
      <c r="G73" s="661" t="s">
        <v>1926</v>
      </c>
      <c r="H73" s="661" t="s">
        <v>995</v>
      </c>
      <c r="I73" s="661" t="s">
        <v>1052</v>
      </c>
      <c r="J73" s="661" t="s">
        <v>1053</v>
      </c>
      <c r="K73" s="661" t="s">
        <v>1054</v>
      </c>
      <c r="L73" s="662">
        <v>70.23</v>
      </c>
      <c r="M73" s="662">
        <v>140.46</v>
      </c>
      <c r="N73" s="661">
        <v>2</v>
      </c>
      <c r="O73" s="742">
        <v>1</v>
      </c>
      <c r="P73" s="662"/>
      <c r="Q73" s="677">
        <v>0</v>
      </c>
      <c r="R73" s="661"/>
      <c r="S73" s="677">
        <v>0</v>
      </c>
      <c r="T73" s="742"/>
      <c r="U73" s="700">
        <v>0</v>
      </c>
    </row>
    <row r="74" spans="1:21" ht="14.4" customHeight="1" x14ac:dyDescent="0.3">
      <c r="A74" s="660">
        <v>50</v>
      </c>
      <c r="B74" s="661" t="s">
        <v>553</v>
      </c>
      <c r="C74" s="661">
        <v>89301501</v>
      </c>
      <c r="D74" s="740" t="s">
        <v>2563</v>
      </c>
      <c r="E74" s="741" t="s">
        <v>1917</v>
      </c>
      <c r="F74" s="661" t="s">
        <v>1907</v>
      </c>
      <c r="G74" s="661" t="s">
        <v>1926</v>
      </c>
      <c r="H74" s="661" t="s">
        <v>554</v>
      </c>
      <c r="I74" s="661" t="s">
        <v>2036</v>
      </c>
      <c r="J74" s="661" t="s">
        <v>2037</v>
      </c>
      <c r="K74" s="661" t="s">
        <v>1054</v>
      </c>
      <c r="L74" s="662">
        <v>70.23</v>
      </c>
      <c r="M74" s="662">
        <v>70.23</v>
      </c>
      <c r="N74" s="661">
        <v>1</v>
      </c>
      <c r="O74" s="742">
        <v>0.5</v>
      </c>
      <c r="P74" s="662"/>
      <c r="Q74" s="677">
        <v>0</v>
      </c>
      <c r="R74" s="661"/>
      <c r="S74" s="677">
        <v>0</v>
      </c>
      <c r="T74" s="742"/>
      <c r="U74" s="700">
        <v>0</v>
      </c>
    </row>
    <row r="75" spans="1:21" ht="14.4" customHeight="1" x14ac:dyDescent="0.3">
      <c r="A75" s="660">
        <v>50</v>
      </c>
      <c r="B75" s="661" t="s">
        <v>553</v>
      </c>
      <c r="C75" s="661">
        <v>89301501</v>
      </c>
      <c r="D75" s="740" t="s">
        <v>2563</v>
      </c>
      <c r="E75" s="741" t="s">
        <v>1917</v>
      </c>
      <c r="F75" s="661" t="s">
        <v>1907</v>
      </c>
      <c r="G75" s="661" t="s">
        <v>1926</v>
      </c>
      <c r="H75" s="661" t="s">
        <v>554</v>
      </c>
      <c r="I75" s="661" t="s">
        <v>2038</v>
      </c>
      <c r="J75" s="661" t="s">
        <v>2039</v>
      </c>
      <c r="K75" s="661" t="s">
        <v>1050</v>
      </c>
      <c r="L75" s="662">
        <v>35.11</v>
      </c>
      <c r="M75" s="662">
        <v>35.11</v>
      </c>
      <c r="N75" s="661">
        <v>1</v>
      </c>
      <c r="O75" s="742">
        <v>0.5</v>
      </c>
      <c r="P75" s="662"/>
      <c r="Q75" s="677">
        <v>0</v>
      </c>
      <c r="R75" s="661"/>
      <c r="S75" s="677">
        <v>0</v>
      </c>
      <c r="T75" s="742"/>
      <c r="U75" s="700">
        <v>0</v>
      </c>
    </row>
    <row r="76" spans="1:21" ht="14.4" customHeight="1" x14ac:dyDescent="0.3">
      <c r="A76" s="660">
        <v>50</v>
      </c>
      <c r="B76" s="661" t="s">
        <v>553</v>
      </c>
      <c r="C76" s="661">
        <v>89301501</v>
      </c>
      <c r="D76" s="740" t="s">
        <v>2563</v>
      </c>
      <c r="E76" s="741" t="s">
        <v>1917</v>
      </c>
      <c r="F76" s="661" t="s">
        <v>1907</v>
      </c>
      <c r="G76" s="661" t="s">
        <v>1937</v>
      </c>
      <c r="H76" s="661" t="s">
        <v>554</v>
      </c>
      <c r="I76" s="661" t="s">
        <v>1938</v>
      </c>
      <c r="J76" s="661" t="s">
        <v>1939</v>
      </c>
      <c r="K76" s="661" t="s">
        <v>1940</v>
      </c>
      <c r="L76" s="662">
        <v>0</v>
      </c>
      <c r="M76" s="662">
        <v>0</v>
      </c>
      <c r="N76" s="661">
        <v>2</v>
      </c>
      <c r="O76" s="742">
        <v>1</v>
      </c>
      <c r="P76" s="662"/>
      <c r="Q76" s="677"/>
      <c r="R76" s="661"/>
      <c r="S76" s="677">
        <v>0</v>
      </c>
      <c r="T76" s="742"/>
      <c r="U76" s="700">
        <v>0</v>
      </c>
    </row>
    <row r="77" spans="1:21" ht="14.4" customHeight="1" x14ac:dyDescent="0.3">
      <c r="A77" s="660">
        <v>50</v>
      </c>
      <c r="B77" s="661" t="s">
        <v>553</v>
      </c>
      <c r="C77" s="661">
        <v>89301501</v>
      </c>
      <c r="D77" s="740" t="s">
        <v>2563</v>
      </c>
      <c r="E77" s="741" t="s">
        <v>1917</v>
      </c>
      <c r="F77" s="661" t="s">
        <v>1907</v>
      </c>
      <c r="G77" s="661" t="s">
        <v>2040</v>
      </c>
      <c r="H77" s="661" t="s">
        <v>554</v>
      </c>
      <c r="I77" s="661" t="s">
        <v>624</v>
      </c>
      <c r="J77" s="661" t="s">
        <v>625</v>
      </c>
      <c r="K77" s="661" t="s">
        <v>2041</v>
      </c>
      <c r="L77" s="662">
        <v>46.25</v>
      </c>
      <c r="M77" s="662">
        <v>46.25</v>
      </c>
      <c r="N77" s="661">
        <v>1</v>
      </c>
      <c r="O77" s="742">
        <v>0.5</v>
      </c>
      <c r="P77" s="662"/>
      <c r="Q77" s="677">
        <v>0</v>
      </c>
      <c r="R77" s="661"/>
      <c r="S77" s="677">
        <v>0</v>
      </c>
      <c r="T77" s="742"/>
      <c r="U77" s="700">
        <v>0</v>
      </c>
    </row>
    <row r="78" spans="1:21" ht="14.4" customHeight="1" x14ac:dyDescent="0.3">
      <c r="A78" s="660">
        <v>50</v>
      </c>
      <c r="B78" s="661" t="s">
        <v>553</v>
      </c>
      <c r="C78" s="661">
        <v>89301501</v>
      </c>
      <c r="D78" s="740" t="s">
        <v>2563</v>
      </c>
      <c r="E78" s="741" t="s">
        <v>1917</v>
      </c>
      <c r="F78" s="661" t="s">
        <v>1907</v>
      </c>
      <c r="G78" s="661" t="s">
        <v>2042</v>
      </c>
      <c r="H78" s="661" t="s">
        <v>995</v>
      </c>
      <c r="I78" s="661" t="s">
        <v>1100</v>
      </c>
      <c r="J78" s="661" t="s">
        <v>1101</v>
      </c>
      <c r="K78" s="661" t="s">
        <v>1102</v>
      </c>
      <c r="L78" s="662">
        <v>30.83</v>
      </c>
      <c r="M78" s="662">
        <v>30.83</v>
      </c>
      <c r="N78" s="661">
        <v>1</v>
      </c>
      <c r="O78" s="742">
        <v>0.5</v>
      </c>
      <c r="P78" s="662"/>
      <c r="Q78" s="677">
        <v>0</v>
      </c>
      <c r="R78" s="661"/>
      <c r="S78" s="677">
        <v>0</v>
      </c>
      <c r="T78" s="742"/>
      <c r="U78" s="700">
        <v>0</v>
      </c>
    </row>
    <row r="79" spans="1:21" ht="14.4" customHeight="1" x14ac:dyDescent="0.3">
      <c r="A79" s="660">
        <v>50</v>
      </c>
      <c r="B79" s="661" t="s">
        <v>553</v>
      </c>
      <c r="C79" s="661">
        <v>89301501</v>
      </c>
      <c r="D79" s="740" t="s">
        <v>2563</v>
      </c>
      <c r="E79" s="741" t="s">
        <v>1917</v>
      </c>
      <c r="F79" s="661" t="s">
        <v>1907</v>
      </c>
      <c r="G79" s="661" t="s">
        <v>2042</v>
      </c>
      <c r="H79" s="661" t="s">
        <v>554</v>
      </c>
      <c r="I79" s="661" t="s">
        <v>2043</v>
      </c>
      <c r="J79" s="661" t="s">
        <v>2044</v>
      </c>
      <c r="K79" s="661" t="s">
        <v>1102</v>
      </c>
      <c r="L79" s="662">
        <v>30.83</v>
      </c>
      <c r="M79" s="662">
        <v>30.83</v>
      </c>
      <c r="N79" s="661">
        <v>1</v>
      </c>
      <c r="O79" s="742">
        <v>0.5</v>
      </c>
      <c r="P79" s="662"/>
      <c r="Q79" s="677">
        <v>0</v>
      </c>
      <c r="R79" s="661"/>
      <c r="S79" s="677">
        <v>0</v>
      </c>
      <c r="T79" s="742"/>
      <c r="U79" s="700">
        <v>0</v>
      </c>
    </row>
    <row r="80" spans="1:21" ht="14.4" customHeight="1" x14ac:dyDescent="0.3">
      <c r="A80" s="660">
        <v>50</v>
      </c>
      <c r="B80" s="661" t="s">
        <v>553</v>
      </c>
      <c r="C80" s="661">
        <v>89301501</v>
      </c>
      <c r="D80" s="740" t="s">
        <v>2563</v>
      </c>
      <c r="E80" s="741" t="s">
        <v>1917</v>
      </c>
      <c r="F80" s="661" t="s">
        <v>1907</v>
      </c>
      <c r="G80" s="661" t="s">
        <v>1942</v>
      </c>
      <c r="H80" s="661" t="s">
        <v>554</v>
      </c>
      <c r="I80" s="661" t="s">
        <v>1994</v>
      </c>
      <c r="J80" s="661" t="s">
        <v>1995</v>
      </c>
      <c r="K80" s="661" t="s">
        <v>1996</v>
      </c>
      <c r="L80" s="662">
        <v>0</v>
      </c>
      <c r="M80" s="662">
        <v>0</v>
      </c>
      <c r="N80" s="661">
        <v>1</v>
      </c>
      <c r="O80" s="742">
        <v>0.5</v>
      </c>
      <c r="P80" s="662"/>
      <c r="Q80" s="677"/>
      <c r="R80" s="661"/>
      <c r="S80" s="677">
        <v>0</v>
      </c>
      <c r="T80" s="742"/>
      <c r="U80" s="700">
        <v>0</v>
      </c>
    </row>
    <row r="81" spans="1:21" ht="14.4" customHeight="1" x14ac:dyDescent="0.3">
      <c r="A81" s="660">
        <v>50</v>
      </c>
      <c r="B81" s="661" t="s">
        <v>553</v>
      </c>
      <c r="C81" s="661">
        <v>89301501</v>
      </c>
      <c r="D81" s="740" t="s">
        <v>2563</v>
      </c>
      <c r="E81" s="741" t="s">
        <v>1917</v>
      </c>
      <c r="F81" s="661" t="s">
        <v>1907</v>
      </c>
      <c r="G81" s="661" t="s">
        <v>2045</v>
      </c>
      <c r="H81" s="661" t="s">
        <v>554</v>
      </c>
      <c r="I81" s="661" t="s">
        <v>2046</v>
      </c>
      <c r="J81" s="661" t="s">
        <v>2047</v>
      </c>
      <c r="K81" s="661" t="s">
        <v>2048</v>
      </c>
      <c r="L81" s="662">
        <v>152.84</v>
      </c>
      <c r="M81" s="662">
        <v>152.84</v>
      </c>
      <c r="N81" s="661">
        <v>1</v>
      </c>
      <c r="O81" s="742">
        <v>0.5</v>
      </c>
      <c r="P81" s="662"/>
      <c r="Q81" s="677">
        <v>0</v>
      </c>
      <c r="R81" s="661"/>
      <c r="S81" s="677">
        <v>0</v>
      </c>
      <c r="T81" s="742"/>
      <c r="U81" s="700">
        <v>0</v>
      </c>
    </row>
    <row r="82" spans="1:21" ht="14.4" customHeight="1" x14ac:dyDescent="0.3">
      <c r="A82" s="660">
        <v>50</v>
      </c>
      <c r="B82" s="661" t="s">
        <v>553</v>
      </c>
      <c r="C82" s="661">
        <v>89301501</v>
      </c>
      <c r="D82" s="740" t="s">
        <v>2563</v>
      </c>
      <c r="E82" s="741" t="s">
        <v>1917</v>
      </c>
      <c r="F82" s="661" t="s">
        <v>1907</v>
      </c>
      <c r="G82" s="661" t="s">
        <v>1927</v>
      </c>
      <c r="H82" s="661" t="s">
        <v>995</v>
      </c>
      <c r="I82" s="661" t="s">
        <v>1164</v>
      </c>
      <c r="J82" s="661" t="s">
        <v>1165</v>
      </c>
      <c r="K82" s="661" t="s">
        <v>1166</v>
      </c>
      <c r="L82" s="662">
        <v>93.43</v>
      </c>
      <c r="M82" s="662">
        <v>186.86</v>
      </c>
      <c r="N82" s="661">
        <v>2</v>
      </c>
      <c r="O82" s="742">
        <v>1</v>
      </c>
      <c r="P82" s="662"/>
      <c r="Q82" s="677">
        <v>0</v>
      </c>
      <c r="R82" s="661"/>
      <c r="S82" s="677">
        <v>0</v>
      </c>
      <c r="T82" s="742"/>
      <c r="U82" s="700">
        <v>0</v>
      </c>
    </row>
    <row r="83" spans="1:21" ht="14.4" customHeight="1" x14ac:dyDescent="0.3">
      <c r="A83" s="660">
        <v>50</v>
      </c>
      <c r="B83" s="661" t="s">
        <v>553</v>
      </c>
      <c r="C83" s="661">
        <v>89301501</v>
      </c>
      <c r="D83" s="740" t="s">
        <v>2563</v>
      </c>
      <c r="E83" s="741" t="s">
        <v>1917</v>
      </c>
      <c r="F83" s="661" t="s">
        <v>1907</v>
      </c>
      <c r="G83" s="661" t="s">
        <v>1927</v>
      </c>
      <c r="H83" s="661" t="s">
        <v>995</v>
      </c>
      <c r="I83" s="661" t="s">
        <v>1998</v>
      </c>
      <c r="J83" s="661" t="s">
        <v>1165</v>
      </c>
      <c r="K83" s="661" t="s">
        <v>1999</v>
      </c>
      <c r="L83" s="662">
        <v>186.87</v>
      </c>
      <c r="M83" s="662">
        <v>560.61</v>
      </c>
      <c r="N83" s="661">
        <v>3</v>
      </c>
      <c r="O83" s="742">
        <v>1.5</v>
      </c>
      <c r="P83" s="662"/>
      <c r="Q83" s="677">
        <v>0</v>
      </c>
      <c r="R83" s="661"/>
      <c r="S83" s="677">
        <v>0</v>
      </c>
      <c r="T83" s="742"/>
      <c r="U83" s="700">
        <v>0</v>
      </c>
    </row>
    <row r="84" spans="1:21" ht="14.4" customHeight="1" x14ac:dyDescent="0.3">
      <c r="A84" s="660">
        <v>50</v>
      </c>
      <c r="B84" s="661" t="s">
        <v>553</v>
      </c>
      <c r="C84" s="661">
        <v>89301501</v>
      </c>
      <c r="D84" s="740" t="s">
        <v>2563</v>
      </c>
      <c r="E84" s="741" t="s">
        <v>1917</v>
      </c>
      <c r="F84" s="661" t="s">
        <v>1907</v>
      </c>
      <c r="G84" s="661" t="s">
        <v>1953</v>
      </c>
      <c r="H84" s="661" t="s">
        <v>554</v>
      </c>
      <c r="I84" s="661" t="s">
        <v>1954</v>
      </c>
      <c r="J84" s="661" t="s">
        <v>1955</v>
      </c>
      <c r="K84" s="661" t="s">
        <v>1956</v>
      </c>
      <c r="L84" s="662">
        <v>0</v>
      </c>
      <c r="M84" s="662">
        <v>0</v>
      </c>
      <c r="N84" s="661">
        <v>3</v>
      </c>
      <c r="O84" s="742">
        <v>1.5</v>
      </c>
      <c r="P84" s="662"/>
      <c r="Q84" s="677"/>
      <c r="R84" s="661"/>
      <c r="S84" s="677">
        <v>0</v>
      </c>
      <c r="T84" s="742"/>
      <c r="U84" s="700">
        <v>0</v>
      </c>
    </row>
    <row r="85" spans="1:21" ht="14.4" customHeight="1" x14ac:dyDescent="0.3">
      <c r="A85" s="660">
        <v>50</v>
      </c>
      <c r="B85" s="661" t="s">
        <v>553</v>
      </c>
      <c r="C85" s="661">
        <v>89301501</v>
      </c>
      <c r="D85" s="740" t="s">
        <v>2563</v>
      </c>
      <c r="E85" s="741" t="s">
        <v>1917</v>
      </c>
      <c r="F85" s="661" t="s">
        <v>1907</v>
      </c>
      <c r="G85" s="661" t="s">
        <v>1953</v>
      </c>
      <c r="H85" s="661" t="s">
        <v>554</v>
      </c>
      <c r="I85" s="661" t="s">
        <v>826</v>
      </c>
      <c r="J85" s="661" t="s">
        <v>827</v>
      </c>
      <c r="K85" s="661" t="s">
        <v>828</v>
      </c>
      <c r="L85" s="662">
        <v>26.37</v>
      </c>
      <c r="M85" s="662">
        <v>52.74</v>
      </c>
      <c r="N85" s="661">
        <v>2</v>
      </c>
      <c r="O85" s="742">
        <v>1</v>
      </c>
      <c r="P85" s="662"/>
      <c r="Q85" s="677">
        <v>0</v>
      </c>
      <c r="R85" s="661"/>
      <c r="S85" s="677">
        <v>0</v>
      </c>
      <c r="T85" s="742"/>
      <c r="U85" s="700">
        <v>0</v>
      </c>
    </row>
    <row r="86" spans="1:21" ht="14.4" customHeight="1" x14ac:dyDescent="0.3">
      <c r="A86" s="660">
        <v>50</v>
      </c>
      <c r="B86" s="661" t="s">
        <v>553</v>
      </c>
      <c r="C86" s="661">
        <v>89301501</v>
      </c>
      <c r="D86" s="740" t="s">
        <v>2563</v>
      </c>
      <c r="E86" s="741" t="s">
        <v>1917</v>
      </c>
      <c r="F86" s="661" t="s">
        <v>1907</v>
      </c>
      <c r="G86" s="661" t="s">
        <v>1953</v>
      </c>
      <c r="H86" s="661" t="s">
        <v>554</v>
      </c>
      <c r="I86" s="661" t="s">
        <v>2004</v>
      </c>
      <c r="J86" s="661" t="s">
        <v>1955</v>
      </c>
      <c r="K86" s="661" t="s">
        <v>2005</v>
      </c>
      <c r="L86" s="662">
        <v>29.54</v>
      </c>
      <c r="M86" s="662">
        <v>118.16</v>
      </c>
      <c r="N86" s="661">
        <v>4</v>
      </c>
      <c r="O86" s="742">
        <v>2</v>
      </c>
      <c r="P86" s="662"/>
      <c r="Q86" s="677">
        <v>0</v>
      </c>
      <c r="R86" s="661"/>
      <c r="S86" s="677">
        <v>0</v>
      </c>
      <c r="T86" s="742"/>
      <c r="U86" s="700">
        <v>0</v>
      </c>
    </row>
    <row r="87" spans="1:21" ht="14.4" customHeight="1" x14ac:dyDescent="0.3">
      <c r="A87" s="660">
        <v>50</v>
      </c>
      <c r="B87" s="661" t="s">
        <v>553</v>
      </c>
      <c r="C87" s="661">
        <v>89301501</v>
      </c>
      <c r="D87" s="740" t="s">
        <v>2563</v>
      </c>
      <c r="E87" s="741" t="s">
        <v>1917</v>
      </c>
      <c r="F87" s="661" t="s">
        <v>1907</v>
      </c>
      <c r="G87" s="661" t="s">
        <v>2049</v>
      </c>
      <c r="H87" s="661" t="s">
        <v>995</v>
      </c>
      <c r="I87" s="661" t="s">
        <v>2050</v>
      </c>
      <c r="J87" s="661" t="s">
        <v>1560</v>
      </c>
      <c r="K87" s="661" t="s">
        <v>2051</v>
      </c>
      <c r="L87" s="662">
        <v>62.24</v>
      </c>
      <c r="M87" s="662">
        <v>62.24</v>
      </c>
      <c r="N87" s="661">
        <v>1</v>
      </c>
      <c r="O87" s="742">
        <v>0.5</v>
      </c>
      <c r="P87" s="662"/>
      <c r="Q87" s="677">
        <v>0</v>
      </c>
      <c r="R87" s="661"/>
      <c r="S87" s="677">
        <v>0</v>
      </c>
      <c r="T87" s="742"/>
      <c r="U87" s="700">
        <v>0</v>
      </c>
    </row>
    <row r="88" spans="1:21" ht="14.4" customHeight="1" x14ac:dyDescent="0.3">
      <c r="A88" s="660">
        <v>50</v>
      </c>
      <c r="B88" s="661" t="s">
        <v>553</v>
      </c>
      <c r="C88" s="661">
        <v>89301501</v>
      </c>
      <c r="D88" s="740" t="s">
        <v>2563</v>
      </c>
      <c r="E88" s="741" t="s">
        <v>1917</v>
      </c>
      <c r="F88" s="661" t="s">
        <v>1907</v>
      </c>
      <c r="G88" s="661" t="s">
        <v>2049</v>
      </c>
      <c r="H88" s="661" t="s">
        <v>995</v>
      </c>
      <c r="I88" s="661" t="s">
        <v>2052</v>
      </c>
      <c r="J88" s="661" t="s">
        <v>2053</v>
      </c>
      <c r="K88" s="661" t="s">
        <v>2054</v>
      </c>
      <c r="L88" s="662">
        <v>48.37</v>
      </c>
      <c r="M88" s="662">
        <v>48.37</v>
      </c>
      <c r="N88" s="661">
        <v>1</v>
      </c>
      <c r="O88" s="742">
        <v>0.5</v>
      </c>
      <c r="P88" s="662"/>
      <c r="Q88" s="677">
        <v>0</v>
      </c>
      <c r="R88" s="661"/>
      <c r="S88" s="677">
        <v>0</v>
      </c>
      <c r="T88" s="742"/>
      <c r="U88" s="700">
        <v>0</v>
      </c>
    </row>
    <row r="89" spans="1:21" ht="14.4" customHeight="1" x14ac:dyDescent="0.3">
      <c r="A89" s="660">
        <v>50</v>
      </c>
      <c r="B89" s="661" t="s">
        <v>553</v>
      </c>
      <c r="C89" s="661">
        <v>89301501</v>
      </c>
      <c r="D89" s="740" t="s">
        <v>2563</v>
      </c>
      <c r="E89" s="741" t="s">
        <v>1917</v>
      </c>
      <c r="F89" s="661" t="s">
        <v>1907</v>
      </c>
      <c r="G89" s="661" t="s">
        <v>2049</v>
      </c>
      <c r="H89" s="661" t="s">
        <v>995</v>
      </c>
      <c r="I89" s="661" t="s">
        <v>2055</v>
      </c>
      <c r="J89" s="661" t="s">
        <v>1852</v>
      </c>
      <c r="K89" s="661" t="s">
        <v>2056</v>
      </c>
      <c r="L89" s="662">
        <v>0</v>
      </c>
      <c r="M89" s="662">
        <v>0</v>
      </c>
      <c r="N89" s="661">
        <v>1</v>
      </c>
      <c r="O89" s="742">
        <v>0.5</v>
      </c>
      <c r="P89" s="662"/>
      <c r="Q89" s="677"/>
      <c r="R89" s="661"/>
      <c r="S89" s="677">
        <v>0</v>
      </c>
      <c r="T89" s="742"/>
      <c r="U89" s="700">
        <v>0</v>
      </c>
    </row>
    <row r="90" spans="1:21" ht="14.4" customHeight="1" x14ac:dyDescent="0.3">
      <c r="A90" s="660">
        <v>50</v>
      </c>
      <c r="B90" s="661" t="s">
        <v>553</v>
      </c>
      <c r="C90" s="661">
        <v>89301501</v>
      </c>
      <c r="D90" s="740" t="s">
        <v>2563</v>
      </c>
      <c r="E90" s="741" t="s">
        <v>1917</v>
      </c>
      <c r="F90" s="661" t="s">
        <v>1907</v>
      </c>
      <c r="G90" s="661" t="s">
        <v>2057</v>
      </c>
      <c r="H90" s="661" t="s">
        <v>554</v>
      </c>
      <c r="I90" s="661" t="s">
        <v>2058</v>
      </c>
      <c r="J90" s="661" t="s">
        <v>2059</v>
      </c>
      <c r="K90" s="661" t="s">
        <v>2060</v>
      </c>
      <c r="L90" s="662">
        <v>0</v>
      </c>
      <c r="M90" s="662">
        <v>0</v>
      </c>
      <c r="N90" s="661">
        <v>1</v>
      </c>
      <c r="O90" s="742">
        <v>0.5</v>
      </c>
      <c r="P90" s="662"/>
      <c r="Q90" s="677"/>
      <c r="R90" s="661"/>
      <c r="S90" s="677">
        <v>0</v>
      </c>
      <c r="T90" s="742"/>
      <c r="U90" s="700">
        <v>0</v>
      </c>
    </row>
    <row r="91" spans="1:21" ht="14.4" customHeight="1" x14ac:dyDescent="0.3">
      <c r="A91" s="660">
        <v>50</v>
      </c>
      <c r="B91" s="661" t="s">
        <v>553</v>
      </c>
      <c r="C91" s="661">
        <v>89301501</v>
      </c>
      <c r="D91" s="740" t="s">
        <v>2563</v>
      </c>
      <c r="E91" s="741" t="s">
        <v>1917</v>
      </c>
      <c r="F91" s="661" t="s">
        <v>1907</v>
      </c>
      <c r="G91" s="661" t="s">
        <v>2057</v>
      </c>
      <c r="H91" s="661" t="s">
        <v>995</v>
      </c>
      <c r="I91" s="661" t="s">
        <v>2061</v>
      </c>
      <c r="J91" s="661" t="s">
        <v>1168</v>
      </c>
      <c r="K91" s="661" t="s">
        <v>1169</v>
      </c>
      <c r="L91" s="662">
        <v>101.68</v>
      </c>
      <c r="M91" s="662">
        <v>305.04000000000002</v>
      </c>
      <c r="N91" s="661">
        <v>3</v>
      </c>
      <c r="O91" s="742">
        <v>1.5</v>
      </c>
      <c r="P91" s="662"/>
      <c r="Q91" s="677">
        <v>0</v>
      </c>
      <c r="R91" s="661"/>
      <c r="S91" s="677">
        <v>0</v>
      </c>
      <c r="T91" s="742"/>
      <c r="U91" s="700">
        <v>0</v>
      </c>
    </row>
    <row r="92" spans="1:21" ht="14.4" customHeight="1" x14ac:dyDescent="0.3">
      <c r="A92" s="660">
        <v>50</v>
      </c>
      <c r="B92" s="661" t="s">
        <v>553</v>
      </c>
      <c r="C92" s="661">
        <v>89301501</v>
      </c>
      <c r="D92" s="740" t="s">
        <v>2563</v>
      </c>
      <c r="E92" s="741" t="s">
        <v>1917</v>
      </c>
      <c r="F92" s="661" t="s">
        <v>1907</v>
      </c>
      <c r="G92" s="661" t="s">
        <v>2057</v>
      </c>
      <c r="H92" s="661" t="s">
        <v>995</v>
      </c>
      <c r="I92" s="661" t="s">
        <v>2062</v>
      </c>
      <c r="J92" s="661" t="s">
        <v>2063</v>
      </c>
      <c r="K92" s="661" t="s">
        <v>2064</v>
      </c>
      <c r="L92" s="662">
        <v>86.43</v>
      </c>
      <c r="M92" s="662">
        <v>86.43</v>
      </c>
      <c r="N92" s="661">
        <v>1</v>
      </c>
      <c r="O92" s="742">
        <v>0.5</v>
      </c>
      <c r="P92" s="662"/>
      <c r="Q92" s="677">
        <v>0</v>
      </c>
      <c r="R92" s="661"/>
      <c r="S92" s="677">
        <v>0</v>
      </c>
      <c r="T92" s="742"/>
      <c r="U92" s="700">
        <v>0</v>
      </c>
    </row>
    <row r="93" spans="1:21" ht="14.4" customHeight="1" x14ac:dyDescent="0.3">
      <c r="A93" s="660">
        <v>50</v>
      </c>
      <c r="B93" s="661" t="s">
        <v>553</v>
      </c>
      <c r="C93" s="661">
        <v>89301501</v>
      </c>
      <c r="D93" s="740" t="s">
        <v>2563</v>
      </c>
      <c r="E93" s="741" t="s">
        <v>1917</v>
      </c>
      <c r="F93" s="661" t="s">
        <v>1907</v>
      </c>
      <c r="G93" s="661" t="s">
        <v>1957</v>
      </c>
      <c r="H93" s="661" t="s">
        <v>554</v>
      </c>
      <c r="I93" s="661" t="s">
        <v>2065</v>
      </c>
      <c r="J93" s="661" t="s">
        <v>2066</v>
      </c>
      <c r="K93" s="661" t="s">
        <v>2067</v>
      </c>
      <c r="L93" s="662">
        <v>0</v>
      </c>
      <c r="M93" s="662">
        <v>0</v>
      </c>
      <c r="N93" s="661">
        <v>1</v>
      </c>
      <c r="O93" s="742">
        <v>0.5</v>
      </c>
      <c r="P93" s="662"/>
      <c r="Q93" s="677"/>
      <c r="R93" s="661"/>
      <c r="S93" s="677">
        <v>0</v>
      </c>
      <c r="T93" s="742"/>
      <c r="U93" s="700">
        <v>0</v>
      </c>
    </row>
    <row r="94" spans="1:21" ht="14.4" customHeight="1" x14ac:dyDescent="0.3">
      <c r="A94" s="660">
        <v>50</v>
      </c>
      <c r="B94" s="661" t="s">
        <v>553</v>
      </c>
      <c r="C94" s="661">
        <v>89301501</v>
      </c>
      <c r="D94" s="740" t="s">
        <v>2563</v>
      </c>
      <c r="E94" s="741" t="s">
        <v>1917</v>
      </c>
      <c r="F94" s="661" t="s">
        <v>1907</v>
      </c>
      <c r="G94" s="661" t="s">
        <v>1957</v>
      </c>
      <c r="H94" s="661" t="s">
        <v>554</v>
      </c>
      <c r="I94" s="661" t="s">
        <v>2006</v>
      </c>
      <c r="J94" s="661" t="s">
        <v>2007</v>
      </c>
      <c r="K94" s="661" t="s">
        <v>2008</v>
      </c>
      <c r="L94" s="662">
        <v>117.03</v>
      </c>
      <c r="M94" s="662">
        <v>117.03</v>
      </c>
      <c r="N94" s="661">
        <v>1</v>
      </c>
      <c r="O94" s="742">
        <v>0.5</v>
      </c>
      <c r="P94" s="662"/>
      <c r="Q94" s="677">
        <v>0</v>
      </c>
      <c r="R94" s="661"/>
      <c r="S94" s="677">
        <v>0</v>
      </c>
      <c r="T94" s="742"/>
      <c r="U94" s="700">
        <v>0</v>
      </c>
    </row>
    <row r="95" spans="1:21" ht="14.4" customHeight="1" x14ac:dyDescent="0.3">
      <c r="A95" s="660">
        <v>50</v>
      </c>
      <c r="B95" s="661" t="s">
        <v>553</v>
      </c>
      <c r="C95" s="661">
        <v>89301501</v>
      </c>
      <c r="D95" s="740" t="s">
        <v>2563</v>
      </c>
      <c r="E95" s="741" t="s">
        <v>1917</v>
      </c>
      <c r="F95" s="661" t="s">
        <v>1907</v>
      </c>
      <c r="G95" s="661" t="s">
        <v>1961</v>
      </c>
      <c r="H95" s="661" t="s">
        <v>995</v>
      </c>
      <c r="I95" s="661" t="s">
        <v>1139</v>
      </c>
      <c r="J95" s="661" t="s">
        <v>1140</v>
      </c>
      <c r="K95" s="661" t="s">
        <v>1141</v>
      </c>
      <c r="L95" s="662">
        <v>52.97</v>
      </c>
      <c r="M95" s="662">
        <v>158.91</v>
      </c>
      <c r="N95" s="661">
        <v>3</v>
      </c>
      <c r="O95" s="742">
        <v>2</v>
      </c>
      <c r="P95" s="662"/>
      <c r="Q95" s="677">
        <v>0</v>
      </c>
      <c r="R95" s="661"/>
      <c r="S95" s="677">
        <v>0</v>
      </c>
      <c r="T95" s="742"/>
      <c r="U95" s="700">
        <v>0</v>
      </c>
    </row>
    <row r="96" spans="1:21" ht="14.4" customHeight="1" x14ac:dyDescent="0.3">
      <c r="A96" s="660">
        <v>50</v>
      </c>
      <c r="B96" s="661" t="s">
        <v>553</v>
      </c>
      <c r="C96" s="661">
        <v>89301501</v>
      </c>
      <c r="D96" s="740" t="s">
        <v>2563</v>
      </c>
      <c r="E96" s="741" t="s">
        <v>1917</v>
      </c>
      <c r="F96" s="661" t="s">
        <v>1907</v>
      </c>
      <c r="G96" s="661" t="s">
        <v>1961</v>
      </c>
      <c r="H96" s="661" t="s">
        <v>995</v>
      </c>
      <c r="I96" s="661" t="s">
        <v>2068</v>
      </c>
      <c r="J96" s="661" t="s">
        <v>1140</v>
      </c>
      <c r="K96" s="661" t="s">
        <v>2069</v>
      </c>
      <c r="L96" s="662">
        <v>176.58</v>
      </c>
      <c r="M96" s="662">
        <v>529.74</v>
      </c>
      <c r="N96" s="661">
        <v>3</v>
      </c>
      <c r="O96" s="742">
        <v>1.5</v>
      </c>
      <c r="P96" s="662"/>
      <c r="Q96" s="677">
        <v>0</v>
      </c>
      <c r="R96" s="661"/>
      <c r="S96" s="677">
        <v>0</v>
      </c>
      <c r="T96" s="742"/>
      <c r="U96" s="700">
        <v>0</v>
      </c>
    </row>
    <row r="97" spans="1:21" ht="14.4" customHeight="1" x14ac:dyDescent="0.3">
      <c r="A97" s="660">
        <v>50</v>
      </c>
      <c r="B97" s="661" t="s">
        <v>553</v>
      </c>
      <c r="C97" s="661">
        <v>89301501</v>
      </c>
      <c r="D97" s="740" t="s">
        <v>2563</v>
      </c>
      <c r="E97" s="741" t="s">
        <v>1917</v>
      </c>
      <c r="F97" s="661" t="s">
        <v>1907</v>
      </c>
      <c r="G97" s="661" t="s">
        <v>1962</v>
      </c>
      <c r="H97" s="661" t="s">
        <v>995</v>
      </c>
      <c r="I97" s="661" t="s">
        <v>1964</v>
      </c>
      <c r="J97" s="661" t="s">
        <v>1965</v>
      </c>
      <c r="K97" s="661" t="s">
        <v>1875</v>
      </c>
      <c r="L97" s="662">
        <v>96.53</v>
      </c>
      <c r="M97" s="662">
        <v>96.53</v>
      </c>
      <c r="N97" s="661">
        <v>1</v>
      </c>
      <c r="O97" s="742">
        <v>0.5</v>
      </c>
      <c r="P97" s="662"/>
      <c r="Q97" s="677">
        <v>0</v>
      </c>
      <c r="R97" s="661"/>
      <c r="S97" s="677">
        <v>0</v>
      </c>
      <c r="T97" s="742"/>
      <c r="U97" s="700">
        <v>0</v>
      </c>
    </row>
    <row r="98" spans="1:21" ht="14.4" customHeight="1" x14ac:dyDescent="0.3">
      <c r="A98" s="660">
        <v>50</v>
      </c>
      <c r="B98" s="661" t="s">
        <v>553</v>
      </c>
      <c r="C98" s="661">
        <v>89301501</v>
      </c>
      <c r="D98" s="740" t="s">
        <v>2563</v>
      </c>
      <c r="E98" s="741" t="s">
        <v>1917</v>
      </c>
      <c r="F98" s="661" t="s">
        <v>1907</v>
      </c>
      <c r="G98" s="661" t="s">
        <v>1962</v>
      </c>
      <c r="H98" s="661" t="s">
        <v>995</v>
      </c>
      <c r="I98" s="661" t="s">
        <v>2070</v>
      </c>
      <c r="J98" s="661" t="s">
        <v>2071</v>
      </c>
      <c r="K98" s="661" t="s">
        <v>1850</v>
      </c>
      <c r="L98" s="662">
        <v>48.27</v>
      </c>
      <c r="M98" s="662">
        <v>48.27</v>
      </c>
      <c r="N98" s="661">
        <v>1</v>
      </c>
      <c r="O98" s="742">
        <v>0.5</v>
      </c>
      <c r="P98" s="662"/>
      <c r="Q98" s="677">
        <v>0</v>
      </c>
      <c r="R98" s="661"/>
      <c r="S98" s="677">
        <v>0</v>
      </c>
      <c r="T98" s="742"/>
      <c r="U98" s="700">
        <v>0</v>
      </c>
    </row>
    <row r="99" spans="1:21" ht="14.4" customHeight="1" x14ac:dyDescent="0.3">
      <c r="A99" s="660">
        <v>50</v>
      </c>
      <c r="B99" s="661" t="s">
        <v>553</v>
      </c>
      <c r="C99" s="661">
        <v>89301501</v>
      </c>
      <c r="D99" s="740" t="s">
        <v>2563</v>
      </c>
      <c r="E99" s="741" t="s">
        <v>1917</v>
      </c>
      <c r="F99" s="661" t="s">
        <v>1907</v>
      </c>
      <c r="G99" s="661" t="s">
        <v>1969</v>
      </c>
      <c r="H99" s="661" t="s">
        <v>995</v>
      </c>
      <c r="I99" s="661" t="s">
        <v>1018</v>
      </c>
      <c r="J99" s="661" t="s">
        <v>1838</v>
      </c>
      <c r="K99" s="661" t="s">
        <v>1020</v>
      </c>
      <c r="L99" s="662">
        <v>96.53</v>
      </c>
      <c r="M99" s="662">
        <v>386.12</v>
      </c>
      <c r="N99" s="661">
        <v>4</v>
      </c>
      <c r="O99" s="742">
        <v>2</v>
      </c>
      <c r="P99" s="662"/>
      <c r="Q99" s="677">
        <v>0</v>
      </c>
      <c r="R99" s="661"/>
      <c r="S99" s="677">
        <v>0</v>
      </c>
      <c r="T99" s="742"/>
      <c r="U99" s="700">
        <v>0</v>
      </c>
    </row>
    <row r="100" spans="1:21" ht="14.4" customHeight="1" x14ac:dyDescent="0.3">
      <c r="A100" s="660">
        <v>50</v>
      </c>
      <c r="B100" s="661" t="s">
        <v>553</v>
      </c>
      <c r="C100" s="661">
        <v>89301501</v>
      </c>
      <c r="D100" s="740" t="s">
        <v>2563</v>
      </c>
      <c r="E100" s="741" t="s">
        <v>1917</v>
      </c>
      <c r="F100" s="661" t="s">
        <v>1907</v>
      </c>
      <c r="G100" s="661" t="s">
        <v>1969</v>
      </c>
      <c r="H100" s="661" t="s">
        <v>995</v>
      </c>
      <c r="I100" s="661" t="s">
        <v>2072</v>
      </c>
      <c r="J100" s="661" t="s">
        <v>1000</v>
      </c>
      <c r="K100" s="661" t="s">
        <v>2073</v>
      </c>
      <c r="L100" s="662">
        <v>15.61</v>
      </c>
      <c r="M100" s="662">
        <v>15.61</v>
      </c>
      <c r="N100" s="661">
        <v>1</v>
      </c>
      <c r="O100" s="742">
        <v>0.5</v>
      </c>
      <c r="P100" s="662"/>
      <c r="Q100" s="677">
        <v>0</v>
      </c>
      <c r="R100" s="661"/>
      <c r="S100" s="677">
        <v>0</v>
      </c>
      <c r="T100" s="742"/>
      <c r="U100" s="700">
        <v>0</v>
      </c>
    </row>
    <row r="101" spans="1:21" ht="14.4" customHeight="1" x14ac:dyDescent="0.3">
      <c r="A101" s="660">
        <v>50</v>
      </c>
      <c r="B101" s="661" t="s">
        <v>553</v>
      </c>
      <c r="C101" s="661">
        <v>89301501</v>
      </c>
      <c r="D101" s="740" t="s">
        <v>2563</v>
      </c>
      <c r="E101" s="741" t="s">
        <v>1917</v>
      </c>
      <c r="F101" s="661" t="s">
        <v>1907</v>
      </c>
      <c r="G101" s="661" t="s">
        <v>1969</v>
      </c>
      <c r="H101" s="661" t="s">
        <v>995</v>
      </c>
      <c r="I101" s="661" t="s">
        <v>1970</v>
      </c>
      <c r="J101" s="661" t="s">
        <v>1003</v>
      </c>
      <c r="K101" s="661" t="s">
        <v>1971</v>
      </c>
      <c r="L101" s="662">
        <v>24.14</v>
      </c>
      <c r="M101" s="662">
        <v>24.14</v>
      </c>
      <c r="N101" s="661">
        <v>1</v>
      </c>
      <c r="O101" s="742">
        <v>0.5</v>
      </c>
      <c r="P101" s="662"/>
      <c r="Q101" s="677">
        <v>0</v>
      </c>
      <c r="R101" s="661"/>
      <c r="S101" s="677">
        <v>0</v>
      </c>
      <c r="T101" s="742"/>
      <c r="U101" s="700">
        <v>0</v>
      </c>
    </row>
    <row r="102" spans="1:21" ht="14.4" customHeight="1" x14ac:dyDescent="0.3">
      <c r="A102" s="660">
        <v>50</v>
      </c>
      <c r="B102" s="661" t="s">
        <v>553</v>
      </c>
      <c r="C102" s="661">
        <v>89301501</v>
      </c>
      <c r="D102" s="740" t="s">
        <v>2563</v>
      </c>
      <c r="E102" s="741" t="s">
        <v>1917</v>
      </c>
      <c r="F102" s="661" t="s">
        <v>1907</v>
      </c>
      <c r="G102" s="661" t="s">
        <v>1972</v>
      </c>
      <c r="H102" s="661" t="s">
        <v>995</v>
      </c>
      <c r="I102" s="661" t="s">
        <v>1973</v>
      </c>
      <c r="J102" s="661" t="s">
        <v>1974</v>
      </c>
      <c r="K102" s="661" t="s">
        <v>796</v>
      </c>
      <c r="L102" s="662">
        <v>193.1</v>
      </c>
      <c r="M102" s="662">
        <v>193.1</v>
      </c>
      <c r="N102" s="661">
        <v>1</v>
      </c>
      <c r="O102" s="742">
        <v>0.5</v>
      </c>
      <c r="P102" s="662"/>
      <c r="Q102" s="677">
        <v>0</v>
      </c>
      <c r="R102" s="661"/>
      <c r="S102" s="677">
        <v>0</v>
      </c>
      <c r="T102" s="742"/>
      <c r="U102" s="700">
        <v>0</v>
      </c>
    </row>
    <row r="103" spans="1:21" ht="14.4" customHeight="1" x14ac:dyDescent="0.3">
      <c r="A103" s="660">
        <v>50</v>
      </c>
      <c r="B103" s="661" t="s">
        <v>553</v>
      </c>
      <c r="C103" s="661">
        <v>89301501</v>
      </c>
      <c r="D103" s="740" t="s">
        <v>2563</v>
      </c>
      <c r="E103" s="741" t="s">
        <v>1917</v>
      </c>
      <c r="F103" s="661" t="s">
        <v>1907</v>
      </c>
      <c r="G103" s="661" t="s">
        <v>1975</v>
      </c>
      <c r="H103" s="661" t="s">
        <v>554</v>
      </c>
      <c r="I103" s="661" t="s">
        <v>1976</v>
      </c>
      <c r="J103" s="661" t="s">
        <v>823</v>
      </c>
      <c r="K103" s="661" t="s">
        <v>1977</v>
      </c>
      <c r="L103" s="662">
        <v>0</v>
      </c>
      <c r="M103" s="662">
        <v>0</v>
      </c>
      <c r="N103" s="661">
        <v>1</v>
      </c>
      <c r="O103" s="742">
        <v>0.5</v>
      </c>
      <c r="P103" s="662"/>
      <c r="Q103" s="677"/>
      <c r="R103" s="661"/>
      <c r="S103" s="677">
        <v>0</v>
      </c>
      <c r="T103" s="742"/>
      <c r="U103" s="700">
        <v>0</v>
      </c>
    </row>
    <row r="104" spans="1:21" ht="14.4" customHeight="1" x14ac:dyDescent="0.3">
      <c r="A104" s="660">
        <v>50</v>
      </c>
      <c r="B104" s="661" t="s">
        <v>553</v>
      </c>
      <c r="C104" s="661">
        <v>89301501</v>
      </c>
      <c r="D104" s="740" t="s">
        <v>2563</v>
      </c>
      <c r="E104" s="741" t="s">
        <v>1917</v>
      </c>
      <c r="F104" s="661" t="s">
        <v>1907</v>
      </c>
      <c r="G104" s="661" t="s">
        <v>1975</v>
      </c>
      <c r="H104" s="661" t="s">
        <v>554</v>
      </c>
      <c r="I104" s="661" t="s">
        <v>2074</v>
      </c>
      <c r="J104" s="661" t="s">
        <v>823</v>
      </c>
      <c r="K104" s="661" t="s">
        <v>2075</v>
      </c>
      <c r="L104" s="662">
        <v>107.25</v>
      </c>
      <c r="M104" s="662">
        <v>107.25</v>
      </c>
      <c r="N104" s="661">
        <v>1</v>
      </c>
      <c r="O104" s="742">
        <v>0.5</v>
      </c>
      <c r="P104" s="662"/>
      <c r="Q104" s="677">
        <v>0</v>
      </c>
      <c r="R104" s="661"/>
      <c r="S104" s="677">
        <v>0</v>
      </c>
      <c r="T104" s="742"/>
      <c r="U104" s="700">
        <v>0</v>
      </c>
    </row>
    <row r="105" spans="1:21" ht="14.4" customHeight="1" x14ac:dyDescent="0.3">
      <c r="A105" s="660">
        <v>50</v>
      </c>
      <c r="B105" s="661" t="s">
        <v>553</v>
      </c>
      <c r="C105" s="661">
        <v>89301501</v>
      </c>
      <c r="D105" s="740" t="s">
        <v>2563</v>
      </c>
      <c r="E105" s="741" t="s">
        <v>1917</v>
      </c>
      <c r="F105" s="661" t="s">
        <v>1907</v>
      </c>
      <c r="G105" s="661" t="s">
        <v>2076</v>
      </c>
      <c r="H105" s="661" t="s">
        <v>995</v>
      </c>
      <c r="I105" s="661" t="s">
        <v>2077</v>
      </c>
      <c r="J105" s="661" t="s">
        <v>2078</v>
      </c>
      <c r="K105" s="661" t="s">
        <v>2079</v>
      </c>
      <c r="L105" s="662">
        <v>123.2</v>
      </c>
      <c r="M105" s="662">
        <v>123.2</v>
      </c>
      <c r="N105" s="661">
        <v>1</v>
      </c>
      <c r="O105" s="742">
        <v>0.5</v>
      </c>
      <c r="P105" s="662"/>
      <c r="Q105" s="677">
        <v>0</v>
      </c>
      <c r="R105" s="661"/>
      <c r="S105" s="677">
        <v>0</v>
      </c>
      <c r="T105" s="742"/>
      <c r="U105" s="700">
        <v>0</v>
      </c>
    </row>
    <row r="106" spans="1:21" ht="14.4" customHeight="1" x14ac:dyDescent="0.3">
      <c r="A106" s="660">
        <v>50</v>
      </c>
      <c r="B106" s="661" t="s">
        <v>553</v>
      </c>
      <c r="C106" s="661">
        <v>89301501</v>
      </c>
      <c r="D106" s="740" t="s">
        <v>2563</v>
      </c>
      <c r="E106" s="741" t="s">
        <v>1917</v>
      </c>
      <c r="F106" s="661" t="s">
        <v>1907</v>
      </c>
      <c r="G106" s="661" t="s">
        <v>1978</v>
      </c>
      <c r="H106" s="661" t="s">
        <v>554</v>
      </c>
      <c r="I106" s="661" t="s">
        <v>1979</v>
      </c>
      <c r="J106" s="661" t="s">
        <v>688</v>
      </c>
      <c r="K106" s="661" t="s">
        <v>1980</v>
      </c>
      <c r="L106" s="662">
        <v>30.47</v>
      </c>
      <c r="M106" s="662">
        <v>60.94</v>
      </c>
      <c r="N106" s="661">
        <v>2</v>
      </c>
      <c r="O106" s="742">
        <v>1</v>
      </c>
      <c r="P106" s="662"/>
      <c r="Q106" s="677">
        <v>0</v>
      </c>
      <c r="R106" s="661"/>
      <c r="S106" s="677">
        <v>0</v>
      </c>
      <c r="T106" s="742"/>
      <c r="U106" s="700">
        <v>0</v>
      </c>
    </row>
    <row r="107" spans="1:21" ht="14.4" customHeight="1" x14ac:dyDescent="0.3">
      <c r="A107" s="660">
        <v>50</v>
      </c>
      <c r="B107" s="661" t="s">
        <v>553</v>
      </c>
      <c r="C107" s="661">
        <v>89301501</v>
      </c>
      <c r="D107" s="740" t="s">
        <v>2563</v>
      </c>
      <c r="E107" s="741" t="s">
        <v>1917</v>
      </c>
      <c r="F107" s="661" t="s">
        <v>1907</v>
      </c>
      <c r="G107" s="661" t="s">
        <v>1981</v>
      </c>
      <c r="H107" s="661" t="s">
        <v>554</v>
      </c>
      <c r="I107" s="661" t="s">
        <v>1215</v>
      </c>
      <c r="J107" s="661" t="s">
        <v>1216</v>
      </c>
      <c r="K107" s="661" t="s">
        <v>1982</v>
      </c>
      <c r="L107" s="662">
        <v>22.44</v>
      </c>
      <c r="M107" s="662">
        <v>22.44</v>
      </c>
      <c r="N107" s="661">
        <v>1</v>
      </c>
      <c r="O107" s="742">
        <v>1</v>
      </c>
      <c r="P107" s="662"/>
      <c r="Q107" s="677">
        <v>0</v>
      </c>
      <c r="R107" s="661"/>
      <c r="S107" s="677">
        <v>0</v>
      </c>
      <c r="T107" s="742"/>
      <c r="U107" s="700">
        <v>0</v>
      </c>
    </row>
    <row r="108" spans="1:21" ht="14.4" customHeight="1" x14ac:dyDescent="0.3">
      <c r="A108" s="660">
        <v>50</v>
      </c>
      <c r="B108" s="661" t="s">
        <v>553</v>
      </c>
      <c r="C108" s="661">
        <v>89301501</v>
      </c>
      <c r="D108" s="740" t="s">
        <v>2563</v>
      </c>
      <c r="E108" s="741" t="s">
        <v>1917</v>
      </c>
      <c r="F108" s="661" t="s">
        <v>1907</v>
      </c>
      <c r="G108" s="661" t="s">
        <v>2080</v>
      </c>
      <c r="H108" s="661" t="s">
        <v>554</v>
      </c>
      <c r="I108" s="661" t="s">
        <v>2081</v>
      </c>
      <c r="J108" s="661" t="s">
        <v>2082</v>
      </c>
      <c r="K108" s="661" t="s">
        <v>2083</v>
      </c>
      <c r="L108" s="662">
        <v>157.01</v>
      </c>
      <c r="M108" s="662">
        <v>157.01</v>
      </c>
      <c r="N108" s="661">
        <v>1</v>
      </c>
      <c r="O108" s="742">
        <v>0.5</v>
      </c>
      <c r="P108" s="662"/>
      <c r="Q108" s="677">
        <v>0</v>
      </c>
      <c r="R108" s="661"/>
      <c r="S108" s="677">
        <v>0</v>
      </c>
      <c r="T108" s="742"/>
      <c r="U108" s="700">
        <v>0</v>
      </c>
    </row>
    <row r="109" spans="1:21" ht="14.4" customHeight="1" x14ac:dyDescent="0.3">
      <c r="A109" s="660">
        <v>50</v>
      </c>
      <c r="B109" s="661" t="s">
        <v>553</v>
      </c>
      <c r="C109" s="661">
        <v>89301501</v>
      </c>
      <c r="D109" s="740" t="s">
        <v>2563</v>
      </c>
      <c r="E109" s="741" t="s">
        <v>1917</v>
      </c>
      <c r="F109" s="661" t="s">
        <v>1907</v>
      </c>
      <c r="G109" s="661" t="s">
        <v>2084</v>
      </c>
      <c r="H109" s="661" t="s">
        <v>995</v>
      </c>
      <c r="I109" s="661" t="s">
        <v>1123</v>
      </c>
      <c r="J109" s="661" t="s">
        <v>1124</v>
      </c>
      <c r="K109" s="661" t="s">
        <v>1125</v>
      </c>
      <c r="L109" s="662">
        <v>109.97</v>
      </c>
      <c r="M109" s="662">
        <v>109.97</v>
      </c>
      <c r="N109" s="661">
        <v>1</v>
      </c>
      <c r="O109" s="742">
        <v>0.5</v>
      </c>
      <c r="P109" s="662"/>
      <c r="Q109" s="677">
        <v>0</v>
      </c>
      <c r="R109" s="661"/>
      <c r="S109" s="677">
        <v>0</v>
      </c>
      <c r="T109" s="742"/>
      <c r="U109" s="700">
        <v>0</v>
      </c>
    </row>
    <row r="110" spans="1:21" ht="14.4" customHeight="1" x14ac:dyDescent="0.3">
      <c r="A110" s="660">
        <v>50</v>
      </c>
      <c r="B110" s="661" t="s">
        <v>553</v>
      </c>
      <c r="C110" s="661">
        <v>89301501</v>
      </c>
      <c r="D110" s="740" t="s">
        <v>2563</v>
      </c>
      <c r="E110" s="741" t="s">
        <v>1917</v>
      </c>
      <c r="F110" s="661" t="s">
        <v>1907</v>
      </c>
      <c r="G110" s="661" t="s">
        <v>1987</v>
      </c>
      <c r="H110" s="661" t="s">
        <v>554</v>
      </c>
      <c r="I110" s="661" t="s">
        <v>2085</v>
      </c>
      <c r="J110" s="661" t="s">
        <v>737</v>
      </c>
      <c r="K110" s="661" t="s">
        <v>738</v>
      </c>
      <c r="L110" s="662">
        <v>43.94</v>
      </c>
      <c r="M110" s="662">
        <v>43.94</v>
      </c>
      <c r="N110" s="661">
        <v>1</v>
      </c>
      <c r="O110" s="742">
        <v>1</v>
      </c>
      <c r="P110" s="662"/>
      <c r="Q110" s="677">
        <v>0</v>
      </c>
      <c r="R110" s="661"/>
      <c r="S110" s="677">
        <v>0</v>
      </c>
      <c r="T110" s="742"/>
      <c r="U110" s="700">
        <v>0</v>
      </c>
    </row>
    <row r="111" spans="1:21" ht="14.4" customHeight="1" x14ac:dyDescent="0.3">
      <c r="A111" s="660">
        <v>50</v>
      </c>
      <c r="B111" s="661" t="s">
        <v>553</v>
      </c>
      <c r="C111" s="661">
        <v>89301501</v>
      </c>
      <c r="D111" s="740" t="s">
        <v>2563</v>
      </c>
      <c r="E111" s="741" t="s">
        <v>1917</v>
      </c>
      <c r="F111" s="661" t="s">
        <v>1907</v>
      </c>
      <c r="G111" s="661" t="s">
        <v>1987</v>
      </c>
      <c r="H111" s="661" t="s">
        <v>554</v>
      </c>
      <c r="I111" s="661" t="s">
        <v>736</v>
      </c>
      <c r="J111" s="661" t="s">
        <v>737</v>
      </c>
      <c r="K111" s="661" t="s">
        <v>738</v>
      </c>
      <c r="L111" s="662">
        <v>43.94</v>
      </c>
      <c r="M111" s="662">
        <v>43.94</v>
      </c>
      <c r="N111" s="661">
        <v>1</v>
      </c>
      <c r="O111" s="742">
        <v>0.5</v>
      </c>
      <c r="P111" s="662"/>
      <c r="Q111" s="677">
        <v>0</v>
      </c>
      <c r="R111" s="661"/>
      <c r="S111" s="677">
        <v>0</v>
      </c>
      <c r="T111" s="742"/>
      <c r="U111" s="700">
        <v>0</v>
      </c>
    </row>
    <row r="112" spans="1:21" ht="14.4" customHeight="1" x14ac:dyDescent="0.3">
      <c r="A112" s="660">
        <v>50</v>
      </c>
      <c r="B112" s="661" t="s">
        <v>553</v>
      </c>
      <c r="C112" s="661">
        <v>89301501</v>
      </c>
      <c r="D112" s="740" t="s">
        <v>2563</v>
      </c>
      <c r="E112" s="741" t="s">
        <v>1917</v>
      </c>
      <c r="F112" s="661" t="s">
        <v>1907</v>
      </c>
      <c r="G112" s="661" t="s">
        <v>1987</v>
      </c>
      <c r="H112" s="661" t="s">
        <v>554</v>
      </c>
      <c r="I112" s="661" t="s">
        <v>2086</v>
      </c>
      <c r="J112" s="661" t="s">
        <v>737</v>
      </c>
      <c r="K112" s="661" t="s">
        <v>2087</v>
      </c>
      <c r="L112" s="662">
        <v>0</v>
      </c>
      <c r="M112" s="662">
        <v>0</v>
      </c>
      <c r="N112" s="661">
        <v>1</v>
      </c>
      <c r="O112" s="742">
        <v>0.5</v>
      </c>
      <c r="P112" s="662"/>
      <c r="Q112" s="677"/>
      <c r="R112" s="661"/>
      <c r="S112" s="677">
        <v>0</v>
      </c>
      <c r="T112" s="742"/>
      <c r="U112" s="700">
        <v>0</v>
      </c>
    </row>
    <row r="113" spans="1:21" ht="14.4" customHeight="1" x14ac:dyDescent="0.3">
      <c r="A113" s="660">
        <v>50</v>
      </c>
      <c r="B113" s="661" t="s">
        <v>553</v>
      </c>
      <c r="C113" s="661">
        <v>89301501</v>
      </c>
      <c r="D113" s="740" t="s">
        <v>2563</v>
      </c>
      <c r="E113" s="741" t="s">
        <v>1917</v>
      </c>
      <c r="F113" s="661" t="s">
        <v>1907</v>
      </c>
      <c r="G113" s="661" t="s">
        <v>2088</v>
      </c>
      <c r="H113" s="661" t="s">
        <v>554</v>
      </c>
      <c r="I113" s="661" t="s">
        <v>2089</v>
      </c>
      <c r="J113" s="661" t="s">
        <v>2090</v>
      </c>
      <c r="K113" s="661" t="s">
        <v>2091</v>
      </c>
      <c r="L113" s="662">
        <v>0</v>
      </c>
      <c r="M113" s="662">
        <v>0</v>
      </c>
      <c r="N113" s="661">
        <v>1</v>
      </c>
      <c r="O113" s="742">
        <v>0.5</v>
      </c>
      <c r="P113" s="662"/>
      <c r="Q113" s="677"/>
      <c r="R113" s="661"/>
      <c r="S113" s="677">
        <v>0</v>
      </c>
      <c r="T113" s="742"/>
      <c r="U113" s="700">
        <v>0</v>
      </c>
    </row>
    <row r="114" spans="1:21" ht="14.4" customHeight="1" x14ac:dyDescent="0.3">
      <c r="A114" s="660">
        <v>50</v>
      </c>
      <c r="B114" s="661" t="s">
        <v>553</v>
      </c>
      <c r="C114" s="661">
        <v>89301501</v>
      </c>
      <c r="D114" s="740" t="s">
        <v>2563</v>
      </c>
      <c r="E114" s="741" t="s">
        <v>1917</v>
      </c>
      <c r="F114" s="661" t="s">
        <v>1907</v>
      </c>
      <c r="G114" s="661" t="s">
        <v>1988</v>
      </c>
      <c r="H114" s="661" t="s">
        <v>995</v>
      </c>
      <c r="I114" s="661" t="s">
        <v>2020</v>
      </c>
      <c r="J114" s="661" t="s">
        <v>2021</v>
      </c>
      <c r="K114" s="661" t="s">
        <v>2022</v>
      </c>
      <c r="L114" s="662">
        <v>120.61</v>
      </c>
      <c r="M114" s="662">
        <v>120.61</v>
      </c>
      <c r="N114" s="661">
        <v>1</v>
      </c>
      <c r="O114" s="742">
        <v>0.5</v>
      </c>
      <c r="P114" s="662"/>
      <c r="Q114" s="677">
        <v>0</v>
      </c>
      <c r="R114" s="661"/>
      <c r="S114" s="677">
        <v>0</v>
      </c>
      <c r="T114" s="742"/>
      <c r="U114" s="700">
        <v>0</v>
      </c>
    </row>
    <row r="115" spans="1:21" ht="14.4" customHeight="1" x14ac:dyDescent="0.3">
      <c r="A115" s="660">
        <v>50</v>
      </c>
      <c r="B115" s="661" t="s">
        <v>553</v>
      </c>
      <c r="C115" s="661">
        <v>89301501</v>
      </c>
      <c r="D115" s="740" t="s">
        <v>2563</v>
      </c>
      <c r="E115" s="741" t="s">
        <v>1918</v>
      </c>
      <c r="F115" s="661" t="s">
        <v>1907</v>
      </c>
      <c r="G115" s="661" t="s">
        <v>2092</v>
      </c>
      <c r="H115" s="661" t="s">
        <v>554</v>
      </c>
      <c r="I115" s="661" t="s">
        <v>2093</v>
      </c>
      <c r="J115" s="661" t="s">
        <v>2094</v>
      </c>
      <c r="K115" s="661" t="s">
        <v>2095</v>
      </c>
      <c r="L115" s="662">
        <v>42.85</v>
      </c>
      <c r="M115" s="662">
        <v>42.85</v>
      </c>
      <c r="N115" s="661">
        <v>1</v>
      </c>
      <c r="O115" s="742">
        <v>0.5</v>
      </c>
      <c r="P115" s="662"/>
      <c r="Q115" s="677">
        <v>0</v>
      </c>
      <c r="R115" s="661"/>
      <c r="S115" s="677">
        <v>0</v>
      </c>
      <c r="T115" s="742"/>
      <c r="U115" s="700">
        <v>0</v>
      </c>
    </row>
    <row r="116" spans="1:21" ht="14.4" customHeight="1" x14ac:dyDescent="0.3">
      <c r="A116" s="660">
        <v>50</v>
      </c>
      <c r="B116" s="661" t="s">
        <v>553</v>
      </c>
      <c r="C116" s="661">
        <v>89301501</v>
      </c>
      <c r="D116" s="740" t="s">
        <v>2563</v>
      </c>
      <c r="E116" s="741" t="s">
        <v>1918</v>
      </c>
      <c r="F116" s="661" t="s">
        <v>1907</v>
      </c>
      <c r="G116" s="661" t="s">
        <v>1930</v>
      </c>
      <c r="H116" s="661" t="s">
        <v>554</v>
      </c>
      <c r="I116" s="661" t="s">
        <v>2096</v>
      </c>
      <c r="J116" s="661" t="s">
        <v>2097</v>
      </c>
      <c r="K116" s="661" t="s">
        <v>1830</v>
      </c>
      <c r="L116" s="662">
        <v>0</v>
      </c>
      <c r="M116" s="662">
        <v>0</v>
      </c>
      <c r="N116" s="661">
        <v>1</v>
      </c>
      <c r="O116" s="742">
        <v>1</v>
      </c>
      <c r="P116" s="662"/>
      <c r="Q116" s="677"/>
      <c r="R116" s="661"/>
      <c r="S116" s="677">
        <v>0</v>
      </c>
      <c r="T116" s="742"/>
      <c r="U116" s="700">
        <v>0</v>
      </c>
    </row>
    <row r="117" spans="1:21" ht="14.4" customHeight="1" x14ac:dyDescent="0.3">
      <c r="A117" s="660">
        <v>50</v>
      </c>
      <c r="B117" s="661" t="s">
        <v>553</v>
      </c>
      <c r="C117" s="661">
        <v>89301501</v>
      </c>
      <c r="D117" s="740" t="s">
        <v>2563</v>
      </c>
      <c r="E117" s="741" t="s">
        <v>1918</v>
      </c>
      <c r="F117" s="661" t="s">
        <v>1907</v>
      </c>
      <c r="G117" s="661" t="s">
        <v>2027</v>
      </c>
      <c r="H117" s="661" t="s">
        <v>554</v>
      </c>
      <c r="I117" s="661" t="s">
        <v>2098</v>
      </c>
      <c r="J117" s="661" t="s">
        <v>835</v>
      </c>
      <c r="K117" s="661" t="s">
        <v>836</v>
      </c>
      <c r="L117" s="662">
        <v>0</v>
      </c>
      <c r="M117" s="662">
        <v>0</v>
      </c>
      <c r="N117" s="661">
        <v>1</v>
      </c>
      <c r="O117" s="742">
        <v>0.5</v>
      </c>
      <c r="P117" s="662"/>
      <c r="Q117" s="677"/>
      <c r="R117" s="661"/>
      <c r="S117" s="677">
        <v>0</v>
      </c>
      <c r="T117" s="742"/>
      <c r="U117" s="700">
        <v>0</v>
      </c>
    </row>
    <row r="118" spans="1:21" ht="14.4" customHeight="1" x14ac:dyDescent="0.3">
      <c r="A118" s="660">
        <v>50</v>
      </c>
      <c r="B118" s="661" t="s">
        <v>553</v>
      </c>
      <c r="C118" s="661">
        <v>89301501</v>
      </c>
      <c r="D118" s="740" t="s">
        <v>2563</v>
      </c>
      <c r="E118" s="741" t="s">
        <v>1918</v>
      </c>
      <c r="F118" s="661" t="s">
        <v>1907</v>
      </c>
      <c r="G118" s="661" t="s">
        <v>2099</v>
      </c>
      <c r="H118" s="661" t="s">
        <v>554</v>
      </c>
      <c r="I118" s="661" t="s">
        <v>2100</v>
      </c>
      <c r="J118" s="661" t="s">
        <v>2101</v>
      </c>
      <c r="K118" s="661" t="s">
        <v>2102</v>
      </c>
      <c r="L118" s="662">
        <v>0</v>
      </c>
      <c r="M118" s="662">
        <v>0</v>
      </c>
      <c r="N118" s="661">
        <v>1</v>
      </c>
      <c r="O118" s="742">
        <v>0.5</v>
      </c>
      <c r="P118" s="662"/>
      <c r="Q118" s="677"/>
      <c r="R118" s="661"/>
      <c r="S118" s="677">
        <v>0</v>
      </c>
      <c r="T118" s="742"/>
      <c r="U118" s="700">
        <v>0</v>
      </c>
    </row>
    <row r="119" spans="1:21" ht="14.4" customHeight="1" x14ac:dyDescent="0.3">
      <c r="A119" s="660">
        <v>50</v>
      </c>
      <c r="B119" s="661" t="s">
        <v>553</v>
      </c>
      <c r="C119" s="661">
        <v>89301501</v>
      </c>
      <c r="D119" s="740" t="s">
        <v>2563</v>
      </c>
      <c r="E119" s="741" t="s">
        <v>1918</v>
      </c>
      <c r="F119" s="661" t="s">
        <v>1907</v>
      </c>
      <c r="G119" s="661" t="s">
        <v>1931</v>
      </c>
      <c r="H119" s="661" t="s">
        <v>995</v>
      </c>
      <c r="I119" s="661" t="s">
        <v>1085</v>
      </c>
      <c r="J119" s="661" t="s">
        <v>1844</v>
      </c>
      <c r="K119" s="661" t="s">
        <v>796</v>
      </c>
      <c r="L119" s="662">
        <v>124.91</v>
      </c>
      <c r="M119" s="662">
        <v>124.91</v>
      </c>
      <c r="N119" s="661">
        <v>1</v>
      </c>
      <c r="O119" s="742">
        <v>0.5</v>
      </c>
      <c r="P119" s="662"/>
      <c r="Q119" s="677">
        <v>0</v>
      </c>
      <c r="R119" s="661"/>
      <c r="S119" s="677">
        <v>0</v>
      </c>
      <c r="T119" s="742"/>
      <c r="U119" s="700">
        <v>0</v>
      </c>
    </row>
    <row r="120" spans="1:21" ht="14.4" customHeight="1" x14ac:dyDescent="0.3">
      <c r="A120" s="660">
        <v>50</v>
      </c>
      <c r="B120" s="661" t="s">
        <v>553</v>
      </c>
      <c r="C120" s="661">
        <v>89301501</v>
      </c>
      <c r="D120" s="740" t="s">
        <v>2563</v>
      </c>
      <c r="E120" s="741" t="s">
        <v>1918</v>
      </c>
      <c r="F120" s="661" t="s">
        <v>1907</v>
      </c>
      <c r="G120" s="661" t="s">
        <v>1931</v>
      </c>
      <c r="H120" s="661" t="s">
        <v>995</v>
      </c>
      <c r="I120" s="661" t="s">
        <v>1131</v>
      </c>
      <c r="J120" s="661" t="s">
        <v>1845</v>
      </c>
      <c r="K120" s="661" t="s">
        <v>1149</v>
      </c>
      <c r="L120" s="662">
        <v>193.1</v>
      </c>
      <c r="M120" s="662">
        <v>579.29999999999995</v>
      </c>
      <c r="N120" s="661">
        <v>3</v>
      </c>
      <c r="O120" s="742">
        <v>1.5</v>
      </c>
      <c r="P120" s="662">
        <v>386.2</v>
      </c>
      <c r="Q120" s="677">
        <v>0.66666666666666674</v>
      </c>
      <c r="R120" s="661">
        <v>2</v>
      </c>
      <c r="S120" s="677">
        <v>0.66666666666666663</v>
      </c>
      <c r="T120" s="742">
        <v>1</v>
      </c>
      <c r="U120" s="700">
        <v>0.66666666666666663</v>
      </c>
    </row>
    <row r="121" spans="1:21" ht="14.4" customHeight="1" x14ac:dyDescent="0.3">
      <c r="A121" s="660">
        <v>50</v>
      </c>
      <c r="B121" s="661" t="s">
        <v>553</v>
      </c>
      <c r="C121" s="661">
        <v>89301501</v>
      </c>
      <c r="D121" s="740" t="s">
        <v>2563</v>
      </c>
      <c r="E121" s="741" t="s">
        <v>1918</v>
      </c>
      <c r="F121" s="661" t="s">
        <v>1907</v>
      </c>
      <c r="G121" s="661" t="s">
        <v>1931</v>
      </c>
      <c r="H121" s="661" t="s">
        <v>554</v>
      </c>
      <c r="I121" s="661" t="s">
        <v>2103</v>
      </c>
      <c r="J121" s="661" t="s">
        <v>1845</v>
      </c>
      <c r="K121" s="661" t="s">
        <v>2104</v>
      </c>
      <c r="L121" s="662">
        <v>0</v>
      </c>
      <c r="M121" s="662">
        <v>0</v>
      </c>
      <c r="N121" s="661">
        <v>1</v>
      </c>
      <c r="O121" s="742">
        <v>0.5</v>
      </c>
      <c r="P121" s="662"/>
      <c r="Q121" s="677"/>
      <c r="R121" s="661"/>
      <c r="S121" s="677">
        <v>0</v>
      </c>
      <c r="T121" s="742"/>
      <c r="U121" s="700">
        <v>0</v>
      </c>
    </row>
    <row r="122" spans="1:21" ht="14.4" customHeight="1" x14ac:dyDescent="0.3">
      <c r="A122" s="660">
        <v>50</v>
      </c>
      <c r="B122" s="661" t="s">
        <v>553</v>
      </c>
      <c r="C122" s="661">
        <v>89301501</v>
      </c>
      <c r="D122" s="740" t="s">
        <v>2563</v>
      </c>
      <c r="E122" s="741" t="s">
        <v>1918</v>
      </c>
      <c r="F122" s="661" t="s">
        <v>1907</v>
      </c>
      <c r="G122" s="661" t="s">
        <v>1932</v>
      </c>
      <c r="H122" s="661" t="s">
        <v>554</v>
      </c>
      <c r="I122" s="661" t="s">
        <v>2105</v>
      </c>
      <c r="J122" s="661" t="s">
        <v>2106</v>
      </c>
      <c r="K122" s="661" t="s">
        <v>796</v>
      </c>
      <c r="L122" s="662">
        <v>70.23</v>
      </c>
      <c r="M122" s="662">
        <v>70.23</v>
      </c>
      <c r="N122" s="661">
        <v>1</v>
      </c>
      <c r="O122" s="742">
        <v>0.5</v>
      </c>
      <c r="P122" s="662"/>
      <c r="Q122" s="677">
        <v>0</v>
      </c>
      <c r="R122" s="661"/>
      <c r="S122" s="677">
        <v>0</v>
      </c>
      <c r="T122" s="742"/>
      <c r="U122" s="700">
        <v>0</v>
      </c>
    </row>
    <row r="123" spans="1:21" ht="14.4" customHeight="1" x14ac:dyDescent="0.3">
      <c r="A123" s="660">
        <v>50</v>
      </c>
      <c r="B123" s="661" t="s">
        <v>553</v>
      </c>
      <c r="C123" s="661">
        <v>89301501</v>
      </c>
      <c r="D123" s="740" t="s">
        <v>2563</v>
      </c>
      <c r="E123" s="741" t="s">
        <v>1918</v>
      </c>
      <c r="F123" s="661" t="s">
        <v>1907</v>
      </c>
      <c r="G123" s="661" t="s">
        <v>1926</v>
      </c>
      <c r="H123" s="661" t="s">
        <v>554</v>
      </c>
      <c r="I123" s="661" t="s">
        <v>2107</v>
      </c>
      <c r="J123" s="661" t="s">
        <v>2108</v>
      </c>
      <c r="K123" s="661" t="s">
        <v>2109</v>
      </c>
      <c r="L123" s="662">
        <v>16.38</v>
      </c>
      <c r="M123" s="662">
        <v>16.38</v>
      </c>
      <c r="N123" s="661">
        <v>1</v>
      </c>
      <c r="O123" s="742">
        <v>0.5</v>
      </c>
      <c r="P123" s="662"/>
      <c r="Q123" s="677">
        <v>0</v>
      </c>
      <c r="R123" s="661"/>
      <c r="S123" s="677">
        <v>0</v>
      </c>
      <c r="T123" s="742"/>
      <c r="U123" s="700">
        <v>0</v>
      </c>
    </row>
    <row r="124" spans="1:21" ht="14.4" customHeight="1" x14ac:dyDescent="0.3">
      <c r="A124" s="660">
        <v>50</v>
      </c>
      <c r="B124" s="661" t="s">
        <v>553</v>
      </c>
      <c r="C124" s="661">
        <v>89301501</v>
      </c>
      <c r="D124" s="740" t="s">
        <v>2563</v>
      </c>
      <c r="E124" s="741" t="s">
        <v>1918</v>
      </c>
      <c r="F124" s="661" t="s">
        <v>1907</v>
      </c>
      <c r="G124" s="661" t="s">
        <v>1926</v>
      </c>
      <c r="H124" s="661" t="s">
        <v>995</v>
      </c>
      <c r="I124" s="661" t="s">
        <v>1048</v>
      </c>
      <c r="J124" s="661" t="s">
        <v>1049</v>
      </c>
      <c r="K124" s="661" t="s">
        <v>1050</v>
      </c>
      <c r="L124" s="662">
        <v>35.11</v>
      </c>
      <c r="M124" s="662">
        <v>105.33</v>
      </c>
      <c r="N124" s="661">
        <v>3</v>
      </c>
      <c r="O124" s="742">
        <v>1.5</v>
      </c>
      <c r="P124" s="662"/>
      <c r="Q124" s="677">
        <v>0</v>
      </c>
      <c r="R124" s="661"/>
      <c r="S124" s="677">
        <v>0</v>
      </c>
      <c r="T124" s="742"/>
      <c r="U124" s="700">
        <v>0</v>
      </c>
    </row>
    <row r="125" spans="1:21" ht="14.4" customHeight="1" x14ac:dyDescent="0.3">
      <c r="A125" s="660">
        <v>50</v>
      </c>
      <c r="B125" s="661" t="s">
        <v>553</v>
      </c>
      <c r="C125" s="661">
        <v>89301501</v>
      </c>
      <c r="D125" s="740" t="s">
        <v>2563</v>
      </c>
      <c r="E125" s="741" t="s">
        <v>1918</v>
      </c>
      <c r="F125" s="661" t="s">
        <v>1907</v>
      </c>
      <c r="G125" s="661" t="s">
        <v>1926</v>
      </c>
      <c r="H125" s="661" t="s">
        <v>995</v>
      </c>
      <c r="I125" s="661" t="s">
        <v>1052</v>
      </c>
      <c r="J125" s="661" t="s">
        <v>1053</v>
      </c>
      <c r="K125" s="661" t="s">
        <v>1054</v>
      </c>
      <c r="L125" s="662">
        <v>70.23</v>
      </c>
      <c r="M125" s="662">
        <v>70.23</v>
      </c>
      <c r="N125" s="661">
        <v>1</v>
      </c>
      <c r="O125" s="742">
        <v>0.5</v>
      </c>
      <c r="P125" s="662">
        <v>70.23</v>
      </c>
      <c r="Q125" s="677">
        <v>1</v>
      </c>
      <c r="R125" s="661">
        <v>1</v>
      </c>
      <c r="S125" s="677">
        <v>1</v>
      </c>
      <c r="T125" s="742">
        <v>0.5</v>
      </c>
      <c r="U125" s="700">
        <v>1</v>
      </c>
    </row>
    <row r="126" spans="1:21" ht="14.4" customHeight="1" x14ac:dyDescent="0.3">
      <c r="A126" s="660">
        <v>50</v>
      </c>
      <c r="B126" s="661" t="s">
        <v>553</v>
      </c>
      <c r="C126" s="661">
        <v>89301501</v>
      </c>
      <c r="D126" s="740" t="s">
        <v>2563</v>
      </c>
      <c r="E126" s="741" t="s">
        <v>1918</v>
      </c>
      <c r="F126" s="661" t="s">
        <v>1907</v>
      </c>
      <c r="G126" s="661" t="s">
        <v>2110</v>
      </c>
      <c r="H126" s="661" t="s">
        <v>554</v>
      </c>
      <c r="I126" s="661" t="s">
        <v>2111</v>
      </c>
      <c r="J126" s="661" t="s">
        <v>2112</v>
      </c>
      <c r="K126" s="661" t="s">
        <v>2113</v>
      </c>
      <c r="L126" s="662">
        <v>0</v>
      </c>
      <c r="M126" s="662">
        <v>0</v>
      </c>
      <c r="N126" s="661">
        <v>1</v>
      </c>
      <c r="O126" s="742">
        <v>0.5</v>
      </c>
      <c r="P126" s="662"/>
      <c r="Q126" s="677"/>
      <c r="R126" s="661"/>
      <c r="S126" s="677">
        <v>0</v>
      </c>
      <c r="T126" s="742"/>
      <c r="U126" s="700">
        <v>0</v>
      </c>
    </row>
    <row r="127" spans="1:21" ht="14.4" customHeight="1" x14ac:dyDescent="0.3">
      <c r="A127" s="660">
        <v>50</v>
      </c>
      <c r="B127" s="661" t="s">
        <v>553</v>
      </c>
      <c r="C127" s="661">
        <v>89301501</v>
      </c>
      <c r="D127" s="740" t="s">
        <v>2563</v>
      </c>
      <c r="E127" s="741" t="s">
        <v>1918</v>
      </c>
      <c r="F127" s="661" t="s">
        <v>1907</v>
      </c>
      <c r="G127" s="661" t="s">
        <v>1937</v>
      </c>
      <c r="H127" s="661" t="s">
        <v>554</v>
      </c>
      <c r="I127" s="661" t="s">
        <v>1938</v>
      </c>
      <c r="J127" s="661" t="s">
        <v>1939</v>
      </c>
      <c r="K127" s="661" t="s">
        <v>1940</v>
      </c>
      <c r="L127" s="662">
        <v>0</v>
      </c>
      <c r="M127" s="662">
        <v>0</v>
      </c>
      <c r="N127" s="661">
        <v>2</v>
      </c>
      <c r="O127" s="742">
        <v>1</v>
      </c>
      <c r="P127" s="662">
        <v>0</v>
      </c>
      <c r="Q127" s="677"/>
      <c r="R127" s="661">
        <v>1</v>
      </c>
      <c r="S127" s="677">
        <v>0.5</v>
      </c>
      <c r="T127" s="742">
        <v>0.5</v>
      </c>
      <c r="U127" s="700">
        <v>0.5</v>
      </c>
    </row>
    <row r="128" spans="1:21" ht="14.4" customHeight="1" x14ac:dyDescent="0.3">
      <c r="A128" s="660">
        <v>50</v>
      </c>
      <c r="B128" s="661" t="s">
        <v>553</v>
      </c>
      <c r="C128" s="661">
        <v>89301501</v>
      </c>
      <c r="D128" s="740" t="s">
        <v>2563</v>
      </c>
      <c r="E128" s="741" t="s">
        <v>1918</v>
      </c>
      <c r="F128" s="661" t="s">
        <v>1907</v>
      </c>
      <c r="G128" s="661" t="s">
        <v>2042</v>
      </c>
      <c r="H128" s="661" t="s">
        <v>995</v>
      </c>
      <c r="I128" s="661" t="s">
        <v>1100</v>
      </c>
      <c r="J128" s="661" t="s">
        <v>1101</v>
      </c>
      <c r="K128" s="661" t="s">
        <v>1102</v>
      </c>
      <c r="L128" s="662">
        <v>30.83</v>
      </c>
      <c r="M128" s="662">
        <v>30.83</v>
      </c>
      <c r="N128" s="661">
        <v>1</v>
      </c>
      <c r="O128" s="742">
        <v>0.5</v>
      </c>
      <c r="P128" s="662"/>
      <c r="Q128" s="677">
        <v>0</v>
      </c>
      <c r="R128" s="661"/>
      <c r="S128" s="677">
        <v>0</v>
      </c>
      <c r="T128" s="742"/>
      <c r="U128" s="700">
        <v>0</v>
      </c>
    </row>
    <row r="129" spans="1:21" ht="14.4" customHeight="1" x14ac:dyDescent="0.3">
      <c r="A129" s="660">
        <v>50</v>
      </c>
      <c r="B129" s="661" t="s">
        <v>553</v>
      </c>
      <c r="C129" s="661">
        <v>89301501</v>
      </c>
      <c r="D129" s="740" t="s">
        <v>2563</v>
      </c>
      <c r="E129" s="741" t="s">
        <v>1918</v>
      </c>
      <c r="F129" s="661" t="s">
        <v>1907</v>
      </c>
      <c r="G129" s="661" t="s">
        <v>2045</v>
      </c>
      <c r="H129" s="661" t="s">
        <v>554</v>
      </c>
      <c r="I129" s="661" t="s">
        <v>2114</v>
      </c>
      <c r="J129" s="661" t="s">
        <v>2047</v>
      </c>
      <c r="K129" s="661" t="s">
        <v>2115</v>
      </c>
      <c r="L129" s="662">
        <v>45.86</v>
      </c>
      <c r="M129" s="662">
        <v>45.86</v>
      </c>
      <c r="N129" s="661">
        <v>1</v>
      </c>
      <c r="O129" s="742">
        <v>1</v>
      </c>
      <c r="P129" s="662"/>
      <c r="Q129" s="677">
        <v>0</v>
      </c>
      <c r="R129" s="661"/>
      <c r="S129" s="677">
        <v>0</v>
      </c>
      <c r="T129" s="742"/>
      <c r="U129" s="700">
        <v>0</v>
      </c>
    </row>
    <row r="130" spans="1:21" ht="14.4" customHeight="1" x14ac:dyDescent="0.3">
      <c r="A130" s="660">
        <v>50</v>
      </c>
      <c r="B130" s="661" t="s">
        <v>553</v>
      </c>
      <c r="C130" s="661">
        <v>89301501</v>
      </c>
      <c r="D130" s="740" t="s">
        <v>2563</v>
      </c>
      <c r="E130" s="741" t="s">
        <v>1918</v>
      </c>
      <c r="F130" s="661" t="s">
        <v>1907</v>
      </c>
      <c r="G130" s="661" t="s">
        <v>1949</v>
      </c>
      <c r="H130" s="661" t="s">
        <v>554</v>
      </c>
      <c r="I130" s="661" t="s">
        <v>2116</v>
      </c>
      <c r="J130" s="661" t="s">
        <v>2117</v>
      </c>
      <c r="K130" s="661" t="s">
        <v>2118</v>
      </c>
      <c r="L130" s="662">
        <v>0</v>
      </c>
      <c r="M130" s="662">
        <v>0</v>
      </c>
      <c r="N130" s="661">
        <v>1</v>
      </c>
      <c r="O130" s="742">
        <v>0.5</v>
      </c>
      <c r="P130" s="662">
        <v>0</v>
      </c>
      <c r="Q130" s="677"/>
      <c r="R130" s="661">
        <v>1</v>
      </c>
      <c r="S130" s="677">
        <v>1</v>
      </c>
      <c r="T130" s="742">
        <v>0.5</v>
      </c>
      <c r="U130" s="700">
        <v>1</v>
      </c>
    </row>
    <row r="131" spans="1:21" ht="14.4" customHeight="1" x14ac:dyDescent="0.3">
      <c r="A131" s="660">
        <v>50</v>
      </c>
      <c r="B131" s="661" t="s">
        <v>553</v>
      </c>
      <c r="C131" s="661">
        <v>89301501</v>
      </c>
      <c r="D131" s="740" t="s">
        <v>2563</v>
      </c>
      <c r="E131" s="741" t="s">
        <v>1918</v>
      </c>
      <c r="F131" s="661" t="s">
        <v>1907</v>
      </c>
      <c r="G131" s="661" t="s">
        <v>1927</v>
      </c>
      <c r="H131" s="661" t="s">
        <v>995</v>
      </c>
      <c r="I131" s="661" t="s">
        <v>1164</v>
      </c>
      <c r="J131" s="661" t="s">
        <v>1165</v>
      </c>
      <c r="K131" s="661" t="s">
        <v>1166</v>
      </c>
      <c r="L131" s="662">
        <v>93.43</v>
      </c>
      <c r="M131" s="662">
        <v>93.43</v>
      </c>
      <c r="N131" s="661">
        <v>1</v>
      </c>
      <c r="O131" s="742">
        <v>0.5</v>
      </c>
      <c r="P131" s="662"/>
      <c r="Q131" s="677">
        <v>0</v>
      </c>
      <c r="R131" s="661"/>
      <c r="S131" s="677">
        <v>0</v>
      </c>
      <c r="T131" s="742"/>
      <c r="U131" s="700">
        <v>0</v>
      </c>
    </row>
    <row r="132" spans="1:21" ht="14.4" customHeight="1" x14ac:dyDescent="0.3">
      <c r="A132" s="660">
        <v>50</v>
      </c>
      <c r="B132" s="661" t="s">
        <v>553</v>
      </c>
      <c r="C132" s="661">
        <v>89301501</v>
      </c>
      <c r="D132" s="740" t="s">
        <v>2563</v>
      </c>
      <c r="E132" s="741" t="s">
        <v>1918</v>
      </c>
      <c r="F132" s="661" t="s">
        <v>1907</v>
      </c>
      <c r="G132" s="661" t="s">
        <v>1927</v>
      </c>
      <c r="H132" s="661" t="s">
        <v>554</v>
      </c>
      <c r="I132" s="661" t="s">
        <v>2119</v>
      </c>
      <c r="J132" s="661" t="s">
        <v>1165</v>
      </c>
      <c r="K132" s="661" t="s">
        <v>2120</v>
      </c>
      <c r="L132" s="662">
        <v>0</v>
      </c>
      <c r="M132" s="662">
        <v>0</v>
      </c>
      <c r="N132" s="661">
        <v>1</v>
      </c>
      <c r="O132" s="742">
        <v>0.5</v>
      </c>
      <c r="P132" s="662">
        <v>0</v>
      </c>
      <c r="Q132" s="677"/>
      <c r="R132" s="661">
        <v>1</v>
      </c>
      <c r="S132" s="677">
        <v>1</v>
      </c>
      <c r="T132" s="742">
        <v>0.5</v>
      </c>
      <c r="U132" s="700">
        <v>1</v>
      </c>
    </row>
    <row r="133" spans="1:21" ht="14.4" customHeight="1" x14ac:dyDescent="0.3">
      <c r="A133" s="660">
        <v>50</v>
      </c>
      <c r="B133" s="661" t="s">
        <v>553</v>
      </c>
      <c r="C133" s="661">
        <v>89301501</v>
      </c>
      <c r="D133" s="740" t="s">
        <v>2563</v>
      </c>
      <c r="E133" s="741" t="s">
        <v>1918</v>
      </c>
      <c r="F133" s="661" t="s">
        <v>1907</v>
      </c>
      <c r="G133" s="661" t="s">
        <v>1953</v>
      </c>
      <c r="H133" s="661" t="s">
        <v>554</v>
      </c>
      <c r="I133" s="661" t="s">
        <v>1954</v>
      </c>
      <c r="J133" s="661" t="s">
        <v>1955</v>
      </c>
      <c r="K133" s="661" t="s">
        <v>1956</v>
      </c>
      <c r="L133" s="662">
        <v>0</v>
      </c>
      <c r="M133" s="662">
        <v>0</v>
      </c>
      <c r="N133" s="661">
        <v>1</v>
      </c>
      <c r="O133" s="742">
        <v>0.5</v>
      </c>
      <c r="P133" s="662"/>
      <c r="Q133" s="677"/>
      <c r="R133" s="661"/>
      <c r="S133" s="677">
        <v>0</v>
      </c>
      <c r="T133" s="742"/>
      <c r="U133" s="700">
        <v>0</v>
      </c>
    </row>
    <row r="134" spans="1:21" ht="14.4" customHeight="1" x14ac:dyDescent="0.3">
      <c r="A134" s="660">
        <v>50</v>
      </c>
      <c r="B134" s="661" t="s">
        <v>553</v>
      </c>
      <c r="C134" s="661">
        <v>89301501</v>
      </c>
      <c r="D134" s="740" t="s">
        <v>2563</v>
      </c>
      <c r="E134" s="741" t="s">
        <v>1918</v>
      </c>
      <c r="F134" s="661" t="s">
        <v>1907</v>
      </c>
      <c r="G134" s="661" t="s">
        <v>1953</v>
      </c>
      <c r="H134" s="661" t="s">
        <v>554</v>
      </c>
      <c r="I134" s="661" t="s">
        <v>2121</v>
      </c>
      <c r="J134" s="661" t="s">
        <v>827</v>
      </c>
      <c r="K134" s="661" t="s">
        <v>1996</v>
      </c>
      <c r="L134" s="662">
        <v>10.55</v>
      </c>
      <c r="M134" s="662">
        <v>21.1</v>
      </c>
      <c r="N134" s="661">
        <v>2</v>
      </c>
      <c r="O134" s="742">
        <v>1</v>
      </c>
      <c r="P134" s="662">
        <v>10.55</v>
      </c>
      <c r="Q134" s="677">
        <v>0.5</v>
      </c>
      <c r="R134" s="661">
        <v>1</v>
      </c>
      <c r="S134" s="677">
        <v>0.5</v>
      </c>
      <c r="T134" s="742">
        <v>0.5</v>
      </c>
      <c r="U134" s="700">
        <v>0.5</v>
      </c>
    </row>
    <row r="135" spans="1:21" ht="14.4" customHeight="1" x14ac:dyDescent="0.3">
      <c r="A135" s="660">
        <v>50</v>
      </c>
      <c r="B135" s="661" t="s">
        <v>553</v>
      </c>
      <c r="C135" s="661">
        <v>89301501</v>
      </c>
      <c r="D135" s="740" t="s">
        <v>2563</v>
      </c>
      <c r="E135" s="741" t="s">
        <v>1918</v>
      </c>
      <c r="F135" s="661" t="s">
        <v>1907</v>
      </c>
      <c r="G135" s="661" t="s">
        <v>1953</v>
      </c>
      <c r="H135" s="661" t="s">
        <v>554</v>
      </c>
      <c r="I135" s="661" t="s">
        <v>2004</v>
      </c>
      <c r="J135" s="661" t="s">
        <v>1955</v>
      </c>
      <c r="K135" s="661" t="s">
        <v>2005</v>
      </c>
      <c r="L135" s="662">
        <v>29.54</v>
      </c>
      <c r="M135" s="662">
        <v>29.54</v>
      </c>
      <c r="N135" s="661">
        <v>1</v>
      </c>
      <c r="O135" s="742">
        <v>0.5</v>
      </c>
      <c r="P135" s="662"/>
      <c r="Q135" s="677">
        <v>0</v>
      </c>
      <c r="R135" s="661"/>
      <c r="S135" s="677">
        <v>0</v>
      </c>
      <c r="T135" s="742"/>
      <c r="U135" s="700">
        <v>0</v>
      </c>
    </row>
    <row r="136" spans="1:21" ht="14.4" customHeight="1" x14ac:dyDescent="0.3">
      <c r="A136" s="660">
        <v>50</v>
      </c>
      <c r="B136" s="661" t="s">
        <v>553</v>
      </c>
      <c r="C136" s="661">
        <v>89301501</v>
      </c>
      <c r="D136" s="740" t="s">
        <v>2563</v>
      </c>
      <c r="E136" s="741" t="s">
        <v>1918</v>
      </c>
      <c r="F136" s="661" t="s">
        <v>1907</v>
      </c>
      <c r="G136" s="661" t="s">
        <v>1953</v>
      </c>
      <c r="H136" s="661" t="s">
        <v>554</v>
      </c>
      <c r="I136" s="661" t="s">
        <v>2122</v>
      </c>
      <c r="J136" s="661" t="s">
        <v>2123</v>
      </c>
      <c r="K136" s="661" t="s">
        <v>2124</v>
      </c>
      <c r="L136" s="662">
        <v>0</v>
      </c>
      <c r="M136" s="662">
        <v>0</v>
      </c>
      <c r="N136" s="661">
        <v>1</v>
      </c>
      <c r="O136" s="742">
        <v>0.5</v>
      </c>
      <c r="P136" s="662"/>
      <c r="Q136" s="677"/>
      <c r="R136" s="661"/>
      <c r="S136" s="677">
        <v>0</v>
      </c>
      <c r="T136" s="742"/>
      <c r="U136" s="700">
        <v>0</v>
      </c>
    </row>
    <row r="137" spans="1:21" ht="14.4" customHeight="1" x14ac:dyDescent="0.3">
      <c r="A137" s="660">
        <v>50</v>
      </c>
      <c r="B137" s="661" t="s">
        <v>553</v>
      </c>
      <c r="C137" s="661">
        <v>89301501</v>
      </c>
      <c r="D137" s="740" t="s">
        <v>2563</v>
      </c>
      <c r="E137" s="741" t="s">
        <v>1918</v>
      </c>
      <c r="F137" s="661" t="s">
        <v>1907</v>
      </c>
      <c r="G137" s="661" t="s">
        <v>2057</v>
      </c>
      <c r="H137" s="661" t="s">
        <v>554</v>
      </c>
      <c r="I137" s="661" t="s">
        <v>2125</v>
      </c>
      <c r="J137" s="661" t="s">
        <v>2126</v>
      </c>
      <c r="K137" s="661" t="s">
        <v>2127</v>
      </c>
      <c r="L137" s="662">
        <v>0</v>
      </c>
      <c r="M137" s="662">
        <v>0</v>
      </c>
      <c r="N137" s="661">
        <v>1</v>
      </c>
      <c r="O137" s="742">
        <v>0.5</v>
      </c>
      <c r="P137" s="662"/>
      <c r="Q137" s="677"/>
      <c r="R137" s="661"/>
      <c r="S137" s="677">
        <v>0</v>
      </c>
      <c r="T137" s="742"/>
      <c r="U137" s="700">
        <v>0</v>
      </c>
    </row>
    <row r="138" spans="1:21" ht="14.4" customHeight="1" x14ac:dyDescent="0.3">
      <c r="A138" s="660">
        <v>50</v>
      </c>
      <c r="B138" s="661" t="s">
        <v>553</v>
      </c>
      <c r="C138" s="661">
        <v>89301501</v>
      </c>
      <c r="D138" s="740" t="s">
        <v>2563</v>
      </c>
      <c r="E138" s="741" t="s">
        <v>1918</v>
      </c>
      <c r="F138" s="661" t="s">
        <v>1907</v>
      </c>
      <c r="G138" s="661" t="s">
        <v>2128</v>
      </c>
      <c r="H138" s="661" t="s">
        <v>995</v>
      </c>
      <c r="I138" s="661" t="s">
        <v>2129</v>
      </c>
      <c r="J138" s="661" t="s">
        <v>997</v>
      </c>
      <c r="K138" s="661" t="s">
        <v>2130</v>
      </c>
      <c r="L138" s="662">
        <v>46.85</v>
      </c>
      <c r="M138" s="662">
        <v>46.85</v>
      </c>
      <c r="N138" s="661">
        <v>1</v>
      </c>
      <c r="O138" s="742">
        <v>0.5</v>
      </c>
      <c r="P138" s="662"/>
      <c r="Q138" s="677">
        <v>0</v>
      </c>
      <c r="R138" s="661"/>
      <c r="S138" s="677">
        <v>0</v>
      </c>
      <c r="T138" s="742"/>
      <c r="U138" s="700">
        <v>0</v>
      </c>
    </row>
    <row r="139" spans="1:21" ht="14.4" customHeight="1" x14ac:dyDescent="0.3">
      <c r="A139" s="660">
        <v>50</v>
      </c>
      <c r="B139" s="661" t="s">
        <v>553</v>
      </c>
      <c r="C139" s="661">
        <v>89301501</v>
      </c>
      <c r="D139" s="740" t="s">
        <v>2563</v>
      </c>
      <c r="E139" s="741" t="s">
        <v>1918</v>
      </c>
      <c r="F139" s="661" t="s">
        <v>1907</v>
      </c>
      <c r="G139" s="661" t="s">
        <v>2128</v>
      </c>
      <c r="H139" s="661" t="s">
        <v>995</v>
      </c>
      <c r="I139" s="661" t="s">
        <v>2131</v>
      </c>
      <c r="J139" s="661" t="s">
        <v>1057</v>
      </c>
      <c r="K139" s="661" t="s">
        <v>1058</v>
      </c>
      <c r="L139" s="662">
        <v>0</v>
      </c>
      <c r="M139" s="662">
        <v>0</v>
      </c>
      <c r="N139" s="661">
        <v>1</v>
      </c>
      <c r="O139" s="742">
        <v>0.5</v>
      </c>
      <c r="P139" s="662"/>
      <c r="Q139" s="677"/>
      <c r="R139" s="661"/>
      <c r="S139" s="677">
        <v>0</v>
      </c>
      <c r="T139" s="742"/>
      <c r="U139" s="700">
        <v>0</v>
      </c>
    </row>
    <row r="140" spans="1:21" ht="14.4" customHeight="1" x14ac:dyDescent="0.3">
      <c r="A140" s="660">
        <v>50</v>
      </c>
      <c r="B140" s="661" t="s">
        <v>553</v>
      </c>
      <c r="C140" s="661">
        <v>89301501</v>
      </c>
      <c r="D140" s="740" t="s">
        <v>2563</v>
      </c>
      <c r="E140" s="741" t="s">
        <v>1918</v>
      </c>
      <c r="F140" s="661" t="s">
        <v>1907</v>
      </c>
      <c r="G140" s="661" t="s">
        <v>2128</v>
      </c>
      <c r="H140" s="661" t="s">
        <v>995</v>
      </c>
      <c r="I140" s="661" t="s">
        <v>2132</v>
      </c>
      <c r="J140" s="661" t="s">
        <v>1057</v>
      </c>
      <c r="K140" s="661" t="s">
        <v>2133</v>
      </c>
      <c r="L140" s="662">
        <v>0</v>
      </c>
      <c r="M140" s="662">
        <v>0</v>
      </c>
      <c r="N140" s="661">
        <v>1</v>
      </c>
      <c r="O140" s="742">
        <v>0.5</v>
      </c>
      <c r="P140" s="662"/>
      <c r="Q140" s="677"/>
      <c r="R140" s="661"/>
      <c r="S140" s="677">
        <v>0</v>
      </c>
      <c r="T140" s="742"/>
      <c r="U140" s="700">
        <v>0</v>
      </c>
    </row>
    <row r="141" spans="1:21" ht="14.4" customHeight="1" x14ac:dyDescent="0.3">
      <c r="A141" s="660">
        <v>50</v>
      </c>
      <c r="B141" s="661" t="s">
        <v>553</v>
      </c>
      <c r="C141" s="661">
        <v>89301501</v>
      </c>
      <c r="D141" s="740" t="s">
        <v>2563</v>
      </c>
      <c r="E141" s="741" t="s">
        <v>1918</v>
      </c>
      <c r="F141" s="661" t="s">
        <v>1907</v>
      </c>
      <c r="G141" s="661" t="s">
        <v>2128</v>
      </c>
      <c r="H141" s="661" t="s">
        <v>995</v>
      </c>
      <c r="I141" s="661" t="s">
        <v>2134</v>
      </c>
      <c r="J141" s="661" t="s">
        <v>1057</v>
      </c>
      <c r="K141" s="661" t="s">
        <v>2135</v>
      </c>
      <c r="L141" s="662">
        <v>0</v>
      </c>
      <c r="M141" s="662">
        <v>0</v>
      </c>
      <c r="N141" s="661">
        <v>1</v>
      </c>
      <c r="O141" s="742">
        <v>0.5</v>
      </c>
      <c r="P141" s="662">
        <v>0</v>
      </c>
      <c r="Q141" s="677"/>
      <c r="R141" s="661">
        <v>1</v>
      </c>
      <c r="S141" s="677">
        <v>1</v>
      </c>
      <c r="T141" s="742">
        <v>0.5</v>
      </c>
      <c r="U141" s="700">
        <v>1</v>
      </c>
    </row>
    <row r="142" spans="1:21" ht="14.4" customHeight="1" x14ac:dyDescent="0.3">
      <c r="A142" s="660">
        <v>50</v>
      </c>
      <c r="B142" s="661" t="s">
        <v>553</v>
      </c>
      <c r="C142" s="661">
        <v>89301501</v>
      </c>
      <c r="D142" s="740" t="s">
        <v>2563</v>
      </c>
      <c r="E142" s="741" t="s">
        <v>1918</v>
      </c>
      <c r="F142" s="661" t="s">
        <v>1907</v>
      </c>
      <c r="G142" s="661" t="s">
        <v>1962</v>
      </c>
      <c r="H142" s="661" t="s">
        <v>554</v>
      </c>
      <c r="I142" s="661" t="s">
        <v>2136</v>
      </c>
      <c r="J142" s="661" t="s">
        <v>1094</v>
      </c>
      <c r="K142" s="661" t="s">
        <v>2137</v>
      </c>
      <c r="L142" s="662">
        <v>0</v>
      </c>
      <c r="M142" s="662">
        <v>0</v>
      </c>
      <c r="N142" s="661">
        <v>1</v>
      </c>
      <c r="O142" s="742">
        <v>0.5</v>
      </c>
      <c r="P142" s="662">
        <v>0</v>
      </c>
      <c r="Q142" s="677"/>
      <c r="R142" s="661">
        <v>1</v>
      </c>
      <c r="S142" s="677">
        <v>1</v>
      </c>
      <c r="T142" s="742">
        <v>0.5</v>
      </c>
      <c r="U142" s="700">
        <v>1</v>
      </c>
    </row>
    <row r="143" spans="1:21" ht="14.4" customHeight="1" x14ac:dyDescent="0.3">
      <c r="A143" s="660">
        <v>50</v>
      </c>
      <c r="B143" s="661" t="s">
        <v>553</v>
      </c>
      <c r="C143" s="661">
        <v>89301501</v>
      </c>
      <c r="D143" s="740" t="s">
        <v>2563</v>
      </c>
      <c r="E143" s="741" t="s">
        <v>1918</v>
      </c>
      <c r="F143" s="661" t="s">
        <v>1907</v>
      </c>
      <c r="G143" s="661" t="s">
        <v>1962</v>
      </c>
      <c r="H143" s="661" t="s">
        <v>995</v>
      </c>
      <c r="I143" s="661" t="s">
        <v>1963</v>
      </c>
      <c r="J143" s="661" t="s">
        <v>1094</v>
      </c>
      <c r="K143" s="661" t="s">
        <v>1050</v>
      </c>
      <c r="L143" s="662">
        <v>48.27</v>
      </c>
      <c r="M143" s="662">
        <v>48.27</v>
      </c>
      <c r="N143" s="661">
        <v>1</v>
      </c>
      <c r="O143" s="742">
        <v>0.5</v>
      </c>
      <c r="P143" s="662"/>
      <c r="Q143" s="677">
        <v>0</v>
      </c>
      <c r="R143" s="661"/>
      <c r="S143" s="677">
        <v>0</v>
      </c>
      <c r="T143" s="742"/>
      <c r="U143" s="700">
        <v>0</v>
      </c>
    </row>
    <row r="144" spans="1:21" ht="14.4" customHeight="1" x14ac:dyDescent="0.3">
      <c r="A144" s="660">
        <v>50</v>
      </c>
      <c r="B144" s="661" t="s">
        <v>553</v>
      </c>
      <c r="C144" s="661">
        <v>89301501</v>
      </c>
      <c r="D144" s="740" t="s">
        <v>2563</v>
      </c>
      <c r="E144" s="741" t="s">
        <v>1918</v>
      </c>
      <c r="F144" s="661" t="s">
        <v>1907</v>
      </c>
      <c r="G144" s="661" t="s">
        <v>1962</v>
      </c>
      <c r="H144" s="661" t="s">
        <v>554</v>
      </c>
      <c r="I144" s="661" t="s">
        <v>2138</v>
      </c>
      <c r="J144" s="661" t="s">
        <v>1094</v>
      </c>
      <c r="K144" s="661" t="s">
        <v>2139</v>
      </c>
      <c r="L144" s="662">
        <v>0</v>
      </c>
      <c r="M144" s="662">
        <v>0</v>
      </c>
      <c r="N144" s="661">
        <v>1</v>
      </c>
      <c r="O144" s="742">
        <v>0.5</v>
      </c>
      <c r="P144" s="662">
        <v>0</v>
      </c>
      <c r="Q144" s="677"/>
      <c r="R144" s="661">
        <v>1</v>
      </c>
      <c r="S144" s="677">
        <v>1</v>
      </c>
      <c r="T144" s="742">
        <v>0.5</v>
      </c>
      <c r="U144" s="700">
        <v>1</v>
      </c>
    </row>
    <row r="145" spans="1:21" ht="14.4" customHeight="1" x14ac:dyDescent="0.3">
      <c r="A145" s="660">
        <v>50</v>
      </c>
      <c r="B145" s="661" t="s">
        <v>553</v>
      </c>
      <c r="C145" s="661">
        <v>89301501</v>
      </c>
      <c r="D145" s="740" t="s">
        <v>2563</v>
      </c>
      <c r="E145" s="741" t="s">
        <v>1918</v>
      </c>
      <c r="F145" s="661" t="s">
        <v>1907</v>
      </c>
      <c r="G145" s="661" t="s">
        <v>1969</v>
      </c>
      <c r="H145" s="661" t="s">
        <v>995</v>
      </c>
      <c r="I145" s="661" t="s">
        <v>1018</v>
      </c>
      <c r="J145" s="661" t="s">
        <v>1838</v>
      </c>
      <c r="K145" s="661" t="s">
        <v>1020</v>
      </c>
      <c r="L145" s="662">
        <v>96.53</v>
      </c>
      <c r="M145" s="662">
        <v>96.53</v>
      </c>
      <c r="N145" s="661">
        <v>1</v>
      </c>
      <c r="O145" s="742">
        <v>0.5</v>
      </c>
      <c r="P145" s="662"/>
      <c r="Q145" s="677">
        <v>0</v>
      </c>
      <c r="R145" s="661"/>
      <c r="S145" s="677">
        <v>0</v>
      </c>
      <c r="T145" s="742"/>
      <c r="U145" s="700">
        <v>0</v>
      </c>
    </row>
    <row r="146" spans="1:21" ht="14.4" customHeight="1" x14ac:dyDescent="0.3">
      <c r="A146" s="660">
        <v>50</v>
      </c>
      <c r="B146" s="661" t="s">
        <v>553</v>
      </c>
      <c r="C146" s="661">
        <v>89301501</v>
      </c>
      <c r="D146" s="740" t="s">
        <v>2563</v>
      </c>
      <c r="E146" s="741" t="s">
        <v>1918</v>
      </c>
      <c r="F146" s="661" t="s">
        <v>1907</v>
      </c>
      <c r="G146" s="661" t="s">
        <v>1969</v>
      </c>
      <c r="H146" s="661" t="s">
        <v>995</v>
      </c>
      <c r="I146" s="661" t="s">
        <v>2072</v>
      </c>
      <c r="J146" s="661" t="s">
        <v>1000</v>
      </c>
      <c r="K146" s="661" t="s">
        <v>2073</v>
      </c>
      <c r="L146" s="662">
        <v>15.61</v>
      </c>
      <c r="M146" s="662">
        <v>15.61</v>
      </c>
      <c r="N146" s="661">
        <v>1</v>
      </c>
      <c r="O146" s="742">
        <v>0.5</v>
      </c>
      <c r="P146" s="662"/>
      <c r="Q146" s="677">
        <v>0</v>
      </c>
      <c r="R146" s="661"/>
      <c r="S146" s="677">
        <v>0</v>
      </c>
      <c r="T146" s="742"/>
      <c r="U146" s="700">
        <v>0</v>
      </c>
    </row>
    <row r="147" spans="1:21" ht="14.4" customHeight="1" x14ac:dyDescent="0.3">
      <c r="A147" s="660">
        <v>50</v>
      </c>
      <c r="B147" s="661" t="s">
        <v>553</v>
      </c>
      <c r="C147" s="661">
        <v>89301501</v>
      </c>
      <c r="D147" s="740" t="s">
        <v>2563</v>
      </c>
      <c r="E147" s="741" t="s">
        <v>1918</v>
      </c>
      <c r="F147" s="661" t="s">
        <v>1907</v>
      </c>
      <c r="G147" s="661" t="s">
        <v>1969</v>
      </c>
      <c r="H147" s="661" t="s">
        <v>995</v>
      </c>
      <c r="I147" s="661" t="s">
        <v>1970</v>
      </c>
      <c r="J147" s="661" t="s">
        <v>1003</v>
      </c>
      <c r="K147" s="661" t="s">
        <v>1971</v>
      </c>
      <c r="L147" s="662">
        <v>24.14</v>
      </c>
      <c r="M147" s="662">
        <v>24.14</v>
      </c>
      <c r="N147" s="661">
        <v>1</v>
      </c>
      <c r="O147" s="742">
        <v>0.5</v>
      </c>
      <c r="P147" s="662"/>
      <c r="Q147" s="677">
        <v>0</v>
      </c>
      <c r="R147" s="661"/>
      <c r="S147" s="677">
        <v>0</v>
      </c>
      <c r="T147" s="742"/>
      <c r="U147" s="700">
        <v>0</v>
      </c>
    </row>
    <row r="148" spans="1:21" ht="14.4" customHeight="1" x14ac:dyDescent="0.3">
      <c r="A148" s="660">
        <v>50</v>
      </c>
      <c r="B148" s="661" t="s">
        <v>553</v>
      </c>
      <c r="C148" s="661">
        <v>89301501</v>
      </c>
      <c r="D148" s="740" t="s">
        <v>2563</v>
      </c>
      <c r="E148" s="741" t="s">
        <v>1918</v>
      </c>
      <c r="F148" s="661" t="s">
        <v>1907</v>
      </c>
      <c r="G148" s="661" t="s">
        <v>1972</v>
      </c>
      <c r="H148" s="661" t="s">
        <v>995</v>
      </c>
      <c r="I148" s="661" t="s">
        <v>1147</v>
      </c>
      <c r="J148" s="661" t="s">
        <v>1148</v>
      </c>
      <c r="K148" s="661" t="s">
        <v>1149</v>
      </c>
      <c r="L148" s="662">
        <v>298.95999999999998</v>
      </c>
      <c r="M148" s="662">
        <v>298.95999999999998</v>
      </c>
      <c r="N148" s="661">
        <v>1</v>
      </c>
      <c r="O148" s="742">
        <v>0.5</v>
      </c>
      <c r="P148" s="662"/>
      <c r="Q148" s="677">
        <v>0</v>
      </c>
      <c r="R148" s="661"/>
      <c r="S148" s="677">
        <v>0</v>
      </c>
      <c r="T148" s="742"/>
      <c r="U148" s="700">
        <v>0</v>
      </c>
    </row>
    <row r="149" spans="1:21" ht="14.4" customHeight="1" x14ac:dyDescent="0.3">
      <c r="A149" s="660">
        <v>50</v>
      </c>
      <c r="B149" s="661" t="s">
        <v>553</v>
      </c>
      <c r="C149" s="661">
        <v>89301501</v>
      </c>
      <c r="D149" s="740" t="s">
        <v>2563</v>
      </c>
      <c r="E149" s="741" t="s">
        <v>1918</v>
      </c>
      <c r="F149" s="661" t="s">
        <v>1907</v>
      </c>
      <c r="G149" s="661" t="s">
        <v>1978</v>
      </c>
      <c r="H149" s="661" t="s">
        <v>554</v>
      </c>
      <c r="I149" s="661" t="s">
        <v>1979</v>
      </c>
      <c r="J149" s="661" t="s">
        <v>688</v>
      </c>
      <c r="K149" s="661" t="s">
        <v>1980</v>
      </c>
      <c r="L149" s="662">
        <v>30.47</v>
      </c>
      <c r="M149" s="662">
        <v>30.47</v>
      </c>
      <c r="N149" s="661">
        <v>1</v>
      </c>
      <c r="O149" s="742">
        <v>0.5</v>
      </c>
      <c r="P149" s="662">
        <v>30.47</v>
      </c>
      <c r="Q149" s="677">
        <v>1</v>
      </c>
      <c r="R149" s="661">
        <v>1</v>
      </c>
      <c r="S149" s="677">
        <v>1</v>
      </c>
      <c r="T149" s="742">
        <v>0.5</v>
      </c>
      <c r="U149" s="700">
        <v>1</v>
      </c>
    </row>
    <row r="150" spans="1:21" ht="14.4" customHeight="1" x14ac:dyDescent="0.3">
      <c r="A150" s="660">
        <v>50</v>
      </c>
      <c r="B150" s="661" t="s">
        <v>553</v>
      </c>
      <c r="C150" s="661">
        <v>89301501</v>
      </c>
      <c r="D150" s="740" t="s">
        <v>2563</v>
      </c>
      <c r="E150" s="741" t="s">
        <v>1918</v>
      </c>
      <c r="F150" s="661" t="s">
        <v>1907</v>
      </c>
      <c r="G150" s="661" t="s">
        <v>2016</v>
      </c>
      <c r="H150" s="661" t="s">
        <v>554</v>
      </c>
      <c r="I150" s="661" t="s">
        <v>1219</v>
      </c>
      <c r="J150" s="661" t="s">
        <v>1220</v>
      </c>
      <c r="K150" s="661" t="s">
        <v>2017</v>
      </c>
      <c r="L150" s="662">
        <v>186.27</v>
      </c>
      <c r="M150" s="662">
        <v>186.27</v>
      </c>
      <c r="N150" s="661">
        <v>1</v>
      </c>
      <c r="O150" s="742">
        <v>0.5</v>
      </c>
      <c r="P150" s="662"/>
      <c r="Q150" s="677">
        <v>0</v>
      </c>
      <c r="R150" s="661"/>
      <c r="S150" s="677">
        <v>0</v>
      </c>
      <c r="T150" s="742"/>
      <c r="U150" s="700">
        <v>0</v>
      </c>
    </row>
    <row r="151" spans="1:21" ht="14.4" customHeight="1" x14ac:dyDescent="0.3">
      <c r="A151" s="660">
        <v>50</v>
      </c>
      <c r="B151" s="661" t="s">
        <v>553</v>
      </c>
      <c r="C151" s="661">
        <v>89301501</v>
      </c>
      <c r="D151" s="740" t="s">
        <v>2563</v>
      </c>
      <c r="E151" s="741" t="s">
        <v>1918</v>
      </c>
      <c r="F151" s="661" t="s">
        <v>1907</v>
      </c>
      <c r="G151" s="661" t="s">
        <v>2140</v>
      </c>
      <c r="H151" s="661" t="s">
        <v>554</v>
      </c>
      <c r="I151" s="661" t="s">
        <v>2141</v>
      </c>
      <c r="J151" s="661" t="s">
        <v>2142</v>
      </c>
      <c r="K151" s="661" t="s">
        <v>2143</v>
      </c>
      <c r="L151" s="662">
        <v>689.09</v>
      </c>
      <c r="M151" s="662">
        <v>689.09</v>
      </c>
      <c r="N151" s="661">
        <v>1</v>
      </c>
      <c r="O151" s="742">
        <v>0.5</v>
      </c>
      <c r="P151" s="662"/>
      <c r="Q151" s="677">
        <v>0</v>
      </c>
      <c r="R151" s="661"/>
      <c r="S151" s="677">
        <v>0</v>
      </c>
      <c r="T151" s="742"/>
      <c r="U151" s="700">
        <v>0</v>
      </c>
    </row>
    <row r="152" spans="1:21" ht="14.4" customHeight="1" x14ac:dyDescent="0.3">
      <c r="A152" s="660">
        <v>50</v>
      </c>
      <c r="B152" s="661" t="s">
        <v>553</v>
      </c>
      <c r="C152" s="661">
        <v>89301501</v>
      </c>
      <c r="D152" s="740" t="s">
        <v>2563</v>
      </c>
      <c r="E152" s="741" t="s">
        <v>1918</v>
      </c>
      <c r="F152" s="661" t="s">
        <v>1907</v>
      </c>
      <c r="G152" s="661" t="s">
        <v>2144</v>
      </c>
      <c r="H152" s="661" t="s">
        <v>554</v>
      </c>
      <c r="I152" s="661" t="s">
        <v>2145</v>
      </c>
      <c r="J152" s="661" t="s">
        <v>2146</v>
      </c>
      <c r="K152" s="661" t="s">
        <v>2147</v>
      </c>
      <c r="L152" s="662">
        <v>0</v>
      </c>
      <c r="M152" s="662">
        <v>0</v>
      </c>
      <c r="N152" s="661">
        <v>1</v>
      </c>
      <c r="O152" s="742">
        <v>0.5</v>
      </c>
      <c r="P152" s="662"/>
      <c r="Q152" s="677"/>
      <c r="R152" s="661"/>
      <c r="S152" s="677">
        <v>0</v>
      </c>
      <c r="T152" s="742"/>
      <c r="U152" s="700">
        <v>0</v>
      </c>
    </row>
    <row r="153" spans="1:21" ht="14.4" customHeight="1" x14ac:dyDescent="0.3">
      <c r="A153" s="660">
        <v>50</v>
      </c>
      <c r="B153" s="661" t="s">
        <v>553</v>
      </c>
      <c r="C153" s="661">
        <v>89301501</v>
      </c>
      <c r="D153" s="740" t="s">
        <v>2563</v>
      </c>
      <c r="E153" s="741" t="s">
        <v>1918</v>
      </c>
      <c r="F153" s="661" t="s">
        <v>1907</v>
      </c>
      <c r="G153" s="661" t="s">
        <v>2148</v>
      </c>
      <c r="H153" s="661" t="s">
        <v>554</v>
      </c>
      <c r="I153" s="661" t="s">
        <v>891</v>
      </c>
      <c r="J153" s="661" t="s">
        <v>892</v>
      </c>
      <c r="K153" s="661" t="s">
        <v>2149</v>
      </c>
      <c r="L153" s="662">
        <v>75.22</v>
      </c>
      <c r="M153" s="662">
        <v>75.22</v>
      </c>
      <c r="N153" s="661">
        <v>1</v>
      </c>
      <c r="O153" s="742">
        <v>0.5</v>
      </c>
      <c r="P153" s="662"/>
      <c r="Q153" s="677">
        <v>0</v>
      </c>
      <c r="R153" s="661"/>
      <c r="S153" s="677">
        <v>0</v>
      </c>
      <c r="T153" s="742"/>
      <c r="U153" s="700">
        <v>0</v>
      </c>
    </row>
    <row r="154" spans="1:21" ht="14.4" customHeight="1" x14ac:dyDescent="0.3">
      <c r="A154" s="660">
        <v>50</v>
      </c>
      <c r="B154" s="661" t="s">
        <v>553</v>
      </c>
      <c r="C154" s="661">
        <v>89301501</v>
      </c>
      <c r="D154" s="740" t="s">
        <v>2563</v>
      </c>
      <c r="E154" s="741" t="s">
        <v>1918</v>
      </c>
      <c r="F154" s="661" t="s">
        <v>1907</v>
      </c>
      <c r="G154" s="661" t="s">
        <v>1988</v>
      </c>
      <c r="H154" s="661" t="s">
        <v>995</v>
      </c>
      <c r="I154" s="661" t="s">
        <v>2150</v>
      </c>
      <c r="J154" s="661" t="s">
        <v>2151</v>
      </c>
      <c r="K154" s="661" t="s">
        <v>2015</v>
      </c>
      <c r="L154" s="662">
        <v>92.38</v>
      </c>
      <c r="M154" s="662">
        <v>92.38</v>
      </c>
      <c r="N154" s="661">
        <v>1</v>
      </c>
      <c r="O154" s="742">
        <v>0.5</v>
      </c>
      <c r="P154" s="662">
        <v>92.38</v>
      </c>
      <c r="Q154" s="677">
        <v>1</v>
      </c>
      <c r="R154" s="661">
        <v>1</v>
      </c>
      <c r="S154" s="677">
        <v>1</v>
      </c>
      <c r="T154" s="742">
        <v>0.5</v>
      </c>
      <c r="U154" s="700">
        <v>1</v>
      </c>
    </row>
    <row r="155" spans="1:21" ht="14.4" customHeight="1" x14ac:dyDescent="0.3">
      <c r="A155" s="660">
        <v>50</v>
      </c>
      <c r="B155" s="661" t="s">
        <v>553</v>
      </c>
      <c r="C155" s="661">
        <v>89301501</v>
      </c>
      <c r="D155" s="740" t="s">
        <v>2563</v>
      </c>
      <c r="E155" s="741" t="s">
        <v>1921</v>
      </c>
      <c r="F155" s="661" t="s">
        <v>1907</v>
      </c>
      <c r="G155" s="661" t="s">
        <v>2152</v>
      </c>
      <c r="H155" s="661" t="s">
        <v>554</v>
      </c>
      <c r="I155" s="661" t="s">
        <v>2153</v>
      </c>
      <c r="J155" s="661" t="s">
        <v>2154</v>
      </c>
      <c r="K155" s="661" t="s">
        <v>2155</v>
      </c>
      <c r="L155" s="662">
        <v>0</v>
      </c>
      <c r="M155" s="662">
        <v>0</v>
      </c>
      <c r="N155" s="661">
        <v>1</v>
      </c>
      <c r="O155" s="742">
        <v>0.5</v>
      </c>
      <c r="P155" s="662"/>
      <c r="Q155" s="677"/>
      <c r="R155" s="661"/>
      <c r="S155" s="677">
        <v>0</v>
      </c>
      <c r="T155" s="742"/>
      <c r="U155" s="700">
        <v>0</v>
      </c>
    </row>
    <row r="156" spans="1:21" ht="14.4" customHeight="1" x14ac:dyDescent="0.3">
      <c r="A156" s="660">
        <v>50</v>
      </c>
      <c r="B156" s="661" t="s">
        <v>553</v>
      </c>
      <c r="C156" s="661">
        <v>89301501</v>
      </c>
      <c r="D156" s="740" t="s">
        <v>2563</v>
      </c>
      <c r="E156" s="741" t="s">
        <v>1921</v>
      </c>
      <c r="F156" s="661" t="s">
        <v>1907</v>
      </c>
      <c r="G156" s="661" t="s">
        <v>1966</v>
      </c>
      <c r="H156" s="661" t="s">
        <v>995</v>
      </c>
      <c r="I156" s="661" t="s">
        <v>1967</v>
      </c>
      <c r="J156" s="661" t="s">
        <v>1968</v>
      </c>
      <c r="K156" s="661" t="s">
        <v>893</v>
      </c>
      <c r="L156" s="662">
        <v>194.54</v>
      </c>
      <c r="M156" s="662">
        <v>194.54</v>
      </c>
      <c r="N156" s="661">
        <v>1</v>
      </c>
      <c r="O156" s="742">
        <v>0.5</v>
      </c>
      <c r="P156" s="662"/>
      <c r="Q156" s="677">
        <v>0</v>
      </c>
      <c r="R156" s="661"/>
      <c r="S156" s="677">
        <v>0</v>
      </c>
      <c r="T156" s="742"/>
      <c r="U156" s="700">
        <v>0</v>
      </c>
    </row>
    <row r="157" spans="1:21" ht="14.4" customHeight="1" x14ac:dyDescent="0.3">
      <c r="A157" s="660">
        <v>50</v>
      </c>
      <c r="B157" s="661" t="s">
        <v>553</v>
      </c>
      <c r="C157" s="661">
        <v>89301501</v>
      </c>
      <c r="D157" s="740" t="s">
        <v>2563</v>
      </c>
      <c r="E157" s="741" t="s">
        <v>1922</v>
      </c>
      <c r="F157" s="661" t="s">
        <v>1907</v>
      </c>
      <c r="G157" s="661" t="s">
        <v>1931</v>
      </c>
      <c r="H157" s="661" t="s">
        <v>995</v>
      </c>
      <c r="I157" s="661" t="s">
        <v>1085</v>
      </c>
      <c r="J157" s="661" t="s">
        <v>1844</v>
      </c>
      <c r="K157" s="661" t="s">
        <v>796</v>
      </c>
      <c r="L157" s="662">
        <v>124.91</v>
      </c>
      <c r="M157" s="662">
        <v>124.91</v>
      </c>
      <c r="N157" s="661">
        <v>1</v>
      </c>
      <c r="O157" s="742">
        <v>0.5</v>
      </c>
      <c r="P157" s="662"/>
      <c r="Q157" s="677">
        <v>0</v>
      </c>
      <c r="R157" s="661"/>
      <c r="S157" s="677">
        <v>0</v>
      </c>
      <c r="T157" s="742"/>
      <c r="U157" s="700">
        <v>0</v>
      </c>
    </row>
    <row r="158" spans="1:21" ht="14.4" customHeight="1" x14ac:dyDescent="0.3">
      <c r="A158" s="660">
        <v>50</v>
      </c>
      <c r="B158" s="661" t="s">
        <v>553</v>
      </c>
      <c r="C158" s="661">
        <v>89301501</v>
      </c>
      <c r="D158" s="740" t="s">
        <v>2563</v>
      </c>
      <c r="E158" s="741" t="s">
        <v>1922</v>
      </c>
      <c r="F158" s="661" t="s">
        <v>1907</v>
      </c>
      <c r="G158" s="661" t="s">
        <v>1931</v>
      </c>
      <c r="H158" s="661" t="s">
        <v>995</v>
      </c>
      <c r="I158" s="661" t="s">
        <v>1131</v>
      </c>
      <c r="J158" s="661" t="s">
        <v>1845</v>
      </c>
      <c r="K158" s="661" t="s">
        <v>1149</v>
      </c>
      <c r="L158" s="662">
        <v>193.1</v>
      </c>
      <c r="M158" s="662">
        <v>386.2</v>
      </c>
      <c r="N158" s="661">
        <v>2</v>
      </c>
      <c r="O158" s="742">
        <v>1</v>
      </c>
      <c r="P158" s="662"/>
      <c r="Q158" s="677">
        <v>0</v>
      </c>
      <c r="R158" s="661"/>
      <c r="S158" s="677">
        <v>0</v>
      </c>
      <c r="T158" s="742"/>
      <c r="U158" s="700">
        <v>0</v>
      </c>
    </row>
    <row r="159" spans="1:21" ht="14.4" customHeight="1" x14ac:dyDescent="0.3">
      <c r="A159" s="660">
        <v>50</v>
      </c>
      <c r="B159" s="661" t="s">
        <v>553</v>
      </c>
      <c r="C159" s="661">
        <v>89301501</v>
      </c>
      <c r="D159" s="740" t="s">
        <v>2563</v>
      </c>
      <c r="E159" s="741" t="s">
        <v>1922</v>
      </c>
      <c r="F159" s="661" t="s">
        <v>1907</v>
      </c>
      <c r="G159" s="661" t="s">
        <v>1926</v>
      </c>
      <c r="H159" s="661" t="s">
        <v>995</v>
      </c>
      <c r="I159" s="661" t="s">
        <v>1048</v>
      </c>
      <c r="J159" s="661" t="s">
        <v>1049</v>
      </c>
      <c r="K159" s="661" t="s">
        <v>1050</v>
      </c>
      <c r="L159" s="662">
        <v>35.11</v>
      </c>
      <c r="M159" s="662">
        <v>105.33</v>
      </c>
      <c r="N159" s="661">
        <v>3</v>
      </c>
      <c r="O159" s="742">
        <v>1.5</v>
      </c>
      <c r="P159" s="662"/>
      <c r="Q159" s="677">
        <v>0</v>
      </c>
      <c r="R159" s="661"/>
      <c r="S159" s="677">
        <v>0</v>
      </c>
      <c r="T159" s="742"/>
      <c r="U159" s="700">
        <v>0</v>
      </c>
    </row>
    <row r="160" spans="1:21" ht="14.4" customHeight="1" x14ac:dyDescent="0.3">
      <c r="A160" s="660">
        <v>50</v>
      </c>
      <c r="B160" s="661" t="s">
        <v>553</v>
      </c>
      <c r="C160" s="661">
        <v>89301501</v>
      </c>
      <c r="D160" s="740" t="s">
        <v>2563</v>
      </c>
      <c r="E160" s="741" t="s">
        <v>1922</v>
      </c>
      <c r="F160" s="661" t="s">
        <v>1907</v>
      </c>
      <c r="G160" s="661" t="s">
        <v>1933</v>
      </c>
      <c r="H160" s="661" t="s">
        <v>554</v>
      </c>
      <c r="I160" s="661" t="s">
        <v>1223</v>
      </c>
      <c r="J160" s="661" t="s">
        <v>1224</v>
      </c>
      <c r="K160" s="661" t="s">
        <v>1864</v>
      </c>
      <c r="L160" s="662">
        <v>66.819999999999993</v>
      </c>
      <c r="M160" s="662">
        <v>66.819999999999993</v>
      </c>
      <c r="N160" s="661">
        <v>1</v>
      </c>
      <c r="O160" s="742">
        <v>0.5</v>
      </c>
      <c r="P160" s="662"/>
      <c r="Q160" s="677">
        <v>0</v>
      </c>
      <c r="R160" s="661"/>
      <c r="S160" s="677">
        <v>0</v>
      </c>
      <c r="T160" s="742"/>
      <c r="U160" s="700">
        <v>0</v>
      </c>
    </row>
    <row r="161" spans="1:21" ht="14.4" customHeight="1" x14ac:dyDescent="0.3">
      <c r="A161" s="660">
        <v>50</v>
      </c>
      <c r="B161" s="661" t="s">
        <v>553</v>
      </c>
      <c r="C161" s="661">
        <v>89301501</v>
      </c>
      <c r="D161" s="740" t="s">
        <v>2563</v>
      </c>
      <c r="E161" s="741" t="s">
        <v>1922</v>
      </c>
      <c r="F161" s="661" t="s">
        <v>1907</v>
      </c>
      <c r="G161" s="661" t="s">
        <v>2156</v>
      </c>
      <c r="H161" s="661" t="s">
        <v>995</v>
      </c>
      <c r="I161" s="661" t="s">
        <v>2157</v>
      </c>
      <c r="J161" s="661" t="s">
        <v>2158</v>
      </c>
      <c r="K161" s="661" t="s">
        <v>2159</v>
      </c>
      <c r="L161" s="662">
        <v>132</v>
      </c>
      <c r="M161" s="662">
        <v>132</v>
      </c>
      <c r="N161" s="661">
        <v>1</v>
      </c>
      <c r="O161" s="742">
        <v>0.5</v>
      </c>
      <c r="P161" s="662"/>
      <c r="Q161" s="677">
        <v>0</v>
      </c>
      <c r="R161" s="661"/>
      <c r="S161" s="677">
        <v>0</v>
      </c>
      <c r="T161" s="742"/>
      <c r="U161" s="700">
        <v>0</v>
      </c>
    </row>
    <row r="162" spans="1:21" ht="14.4" customHeight="1" x14ac:dyDescent="0.3">
      <c r="A162" s="660">
        <v>50</v>
      </c>
      <c r="B162" s="661" t="s">
        <v>553</v>
      </c>
      <c r="C162" s="661">
        <v>89301501</v>
      </c>
      <c r="D162" s="740" t="s">
        <v>2563</v>
      </c>
      <c r="E162" s="741" t="s">
        <v>1922</v>
      </c>
      <c r="F162" s="661" t="s">
        <v>1907</v>
      </c>
      <c r="G162" s="661" t="s">
        <v>1942</v>
      </c>
      <c r="H162" s="661" t="s">
        <v>554</v>
      </c>
      <c r="I162" s="661" t="s">
        <v>1994</v>
      </c>
      <c r="J162" s="661" t="s">
        <v>1995</v>
      </c>
      <c r="K162" s="661" t="s">
        <v>1996</v>
      </c>
      <c r="L162" s="662">
        <v>0</v>
      </c>
      <c r="M162" s="662">
        <v>0</v>
      </c>
      <c r="N162" s="661">
        <v>1</v>
      </c>
      <c r="O162" s="742">
        <v>0.5</v>
      </c>
      <c r="P162" s="662"/>
      <c r="Q162" s="677"/>
      <c r="R162" s="661"/>
      <c r="S162" s="677">
        <v>0</v>
      </c>
      <c r="T162" s="742"/>
      <c r="U162" s="700">
        <v>0</v>
      </c>
    </row>
    <row r="163" spans="1:21" ht="14.4" customHeight="1" x14ac:dyDescent="0.3">
      <c r="A163" s="660">
        <v>50</v>
      </c>
      <c r="B163" s="661" t="s">
        <v>553</v>
      </c>
      <c r="C163" s="661">
        <v>89301501</v>
      </c>
      <c r="D163" s="740" t="s">
        <v>2563</v>
      </c>
      <c r="E163" s="741" t="s">
        <v>1922</v>
      </c>
      <c r="F163" s="661" t="s">
        <v>1907</v>
      </c>
      <c r="G163" s="661" t="s">
        <v>2045</v>
      </c>
      <c r="H163" s="661" t="s">
        <v>554</v>
      </c>
      <c r="I163" s="661" t="s">
        <v>2160</v>
      </c>
      <c r="J163" s="661" t="s">
        <v>2161</v>
      </c>
      <c r="K163" s="661" t="s">
        <v>1971</v>
      </c>
      <c r="L163" s="662">
        <v>45.86</v>
      </c>
      <c r="M163" s="662">
        <v>91.72</v>
      </c>
      <c r="N163" s="661">
        <v>2</v>
      </c>
      <c r="O163" s="742">
        <v>1.5</v>
      </c>
      <c r="P163" s="662"/>
      <c r="Q163" s="677">
        <v>0</v>
      </c>
      <c r="R163" s="661"/>
      <c r="S163" s="677">
        <v>0</v>
      </c>
      <c r="T163" s="742"/>
      <c r="U163" s="700">
        <v>0</v>
      </c>
    </row>
    <row r="164" spans="1:21" ht="14.4" customHeight="1" x14ac:dyDescent="0.3">
      <c r="A164" s="660">
        <v>50</v>
      </c>
      <c r="B164" s="661" t="s">
        <v>553</v>
      </c>
      <c r="C164" s="661">
        <v>89301501</v>
      </c>
      <c r="D164" s="740" t="s">
        <v>2563</v>
      </c>
      <c r="E164" s="741" t="s">
        <v>1922</v>
      </c>
      <c r="F164" s="661" t="s">
        <v>1907</v>
      </c>
      <c r="G164" s="661" t="s">
        <v>1953</v>
      </c>
      <c r="H164" s="661" t="s">
        <v>554</v>
      </c>
      <c r="I164" s="661" t="s">
        <v>1326</v>
      </c>
      <c r="J164" s="661" t="s">
        <v>1955</v>
      </c>
      <c r="K164" s="661" t="s">
        <v>2162</v>
      </c>
      <c r="L164" s="662">
        <v>31.65</v>
      </c>
      <c r="M164" s="662">
        <v>31.65</v>
      </c>
      <c r="N164" s="661">
        <v>1</v>
      </c>
      <c r="O164" s="742">
        <v>0.5</v>
      </c>
      <c r="P164" s="662"/>
      <c r="Q164" s="677">
        <v>0</v>
      </c>
      <c r="R164" s="661"/>
      <c r="S164" s="677">
        <v>0</v>
      </c>
      <c r="T164" s="742"/>
      <c r="U164" s="700">
        <v>0</v>
      </c>
    </row>
    <row r="165" spans="1:21" ht="14.4" customHeight="1" x14ac:dyDescent="0.3">
      <c r="A165" s="660">
        <v>50</v>
      </c>
      <c r="B165" s="661" t="s">
        <v>553</v>
      </c>
      <c r="C165" s="661">
        <v>89301501</v>
      </c>
      <c r="D165" s="740" t="s">
        <v>2563</v>
      </c>
      <c r="E165" s="741" t="s">
        <v>1922</v>
      </c>
      <c r="F165" s="661" t="s">
        <v>1907</v>
      </c>
      <c r="G165" s="661" t="s">
        <v>1953</v>
      </c>
      <c r="H165" s="661" t="s">
        <v>554</v>
      </c>
      <c r="I165" s="661" t="s">
        <v>772</v>
      </c>
      <c r="J165" s="661" t="s">
        <v>1955</v>
      </c>
      <c r="K165" s="661" t="s">
        <v>2163</v>
      </c>
      <c r="L165" s="662">
        <v>10.55</v>
      </c>
      <c r="M165" s="662">
        <v>21.1</v>
      </c>
      <c r="N165" s="661">
        <v>2</v>
      </c>
      <c r="O165" s="742">
        <v>1</v>
      </c>
      <c r="P165" s="662"/>
      <c r="Q165" s="677">
        <v>0</v>
      </c>
      <c r="R165" s="661"/>
      <c r="S165" s="677">
        <v>0</v>
      </c>
      <c r="T165" s="742"/>
      <c r="U165" s="700">
        <v>0</v>
      </c>
    </row>
    <row r="166" spans="1:21" ht="14.4" customHeight="1" x14ac:dyDescent="0.3">
      <c r="A166" s="660">
        <v>50</v>
      </c>
      <c r="B166" s="661" t="s">
        <v>553</v>
      </c>
      <c r="C166" s="661">
        <v>89301501</v>
      </c>
      <c r="D166" s="740" t="s">
        <v>2563</v>
      </c>
      <c r="E166" s="741" t="s">
        <v>1922</v>
      </c>
      <c r="F166" s="661" t="s">
        <v>1907</v>
      </c>
      <c r="G166" s="661" t="s">
        <v>1957</v>
      </c>
      <c r="H166" s="661" t="s">
        <v>554</v>
      </c>
      <c r="I166" s="661" t="s">
        <v>2164</v>
      </c>
      <c r="J166" s="661" t="s">
        <v>2007</v>
      </c>
      <c r="K166" s="661" t="s">
        <v>2165</v>
      </c>
      <c r="L166" s="662">
        <v>35.11</v>
      </c>
      <c r="M166" s="662">
        <v>35.11</v>
      </c>
      <c r="N166" s="661">
        <v>1</v>
      </c>
      <c r="O166" s="742">
        <v>0.5</v>
      </c>
      <c r="P166" s="662"/>
      <c r="Q166" s="677">
        <v>0</v>
      </c>
      <c r="R166" s="661"/>
      <c r="S166" s="677">
        <v>0</v>
      </c>
      <c r="T166" s="742"/>
      <c r="U166" s="700">
        <v>0</v>
      </c>
    </row>
    <row r="167" spans="1:21" ht="14.4" customHeight="1" x14ac:dyDescent="0.3">
      <c r="A167" s="660">
        <v>50</v>
      </c>
      <c r="B167" s="661" t="s">
        <v>553</v>
      </c>
      <c r="C167" s="661">
        <v>89301501</v>
      </c>
      <c r="D167" s="740" t="s">
        <v>2563</v>
      </c>
      <c r="E167" s="741" t="s">
        <v>1922</v>
      </c>
      <c r="F167" s="661" t="s">
        <v>1907</v>
      </c>
      <c r="G167" s="661" t="s">
        <v>1957</v>
      </c>
      <c r="H167" s="661" t="s">
        <v>554</v>
      </c>
      <c r="I167" s="661" t="s">
        <v>2065</v>
      </c>
      <c r="J167" s="661" t="s">
        <v>2066</v>
      </c>
      <c r="K167" s="661" t="s">
        <v>2067</v>
      </c>
      <c r="L167" s="662">
        <v>0</v>
      </c>
      <c r="M167" s="662">
        <v>0</v>
      </c>
      <c r="N167" s="661">
        <v>1</v>
      </c>
      <c r="O167" s="742">
        <v>0.5</v>
      </c>
      <c r="P167" s="662"/>
      <c r="Q167" s="677"/>
      <c r="R167" s="661"/>
      <c r="S167" s="677">
        <v>0</v>
      </c>
      <c r="T167" s="742"/>
      <c r="U167" s="700">
        <v>0</v>
      </c>
    </row>
    <row r="168" spans="1:21" ht="14.4" customHeight="1" x14ac:dyDescent="0.3">
      <c r="A168" s="660">
        <v>50</v>
      </c>
      <c r="B168" s="661" t="s">
        <v>553</v>
      </c>
      <c r="C168" s="661">
        <v>89301501</v>
      </c>
      <c r="D168" s="740" t="s">
        <v>2563</v>
      </c>
      <c r="E168" s="741" t="s">
        <v>1922</v>
      </c>
      <c r="F168" s="661" t="s">
        <v>1907</v>
      </c>
      <c r="G168" s="661" t="s">
        <v>1961</v>
      </c>
      <c r="H168" s="661" t="s">
        <v>995</v>
      </c>
      <c r="I168" s="661" t="s">
        <v>1139</v>
      </c>
      <c r="J168" s="661" t="s">
        <v>1140</v>
      </c>
      <c r="K168" s="661" t="s">
        <v>1141</v>
      </c>
      <c r="L168" s="662">
        <v>52.97</v>
      </c>
      <c r="M168" s="662">
        <v>105.94</v>
      </c>
      <c r="N168" s="661">
        <v>2</v>
      </c>
      <c r="O168" s="742">
        <v>1</v>
      </c>
      <c r="P168" s="662"/>
      <c r="Q168" s="677">
        <v>0</v>
      </c>
      <c r="R168" s="661"/>
      <c r="S168" s="677">
        <v>0</v>
      </c>
      <c r="T168" s="742"/>
      <c r="U168" s="700">
        <v>0</v>
      </c>
    </row>
    <row r="169" spans="1:21" ht="14.4" customHeight="1" x14ac:dyDescent="0.3">
      <c r="A169" s="660">
        <v>50</v>
      </c>
      <c r="B169" s="661" t="s">
        <v>553</v>
      </c>
      <c r="C169" s="661">
        <v>89301501</v>
      </c>
      <c r="D169" s="740" t="s">
        <v>2563</v>
      </c>
      <c r="E169" s="741" t="s">
        <v>1922</v>
      </c>
      <c r="F169" s="661" t="s">
        <v>1907</v>
      </c>
      <c r="G169" s="661" t="s">
        <v>2128</v>
      </c>
      <c r="H169" s="661" t="s">
        <v>995</v>
      </c>
      <c r="I169" s="661" t="s">
        <v>2166</v>
      </c>
      <c r="J169" s="661" t="s">
        <v>997</v>
      </c>
      <c r="K169" s="661" t="s">
        <v>2167</v>
      </c>
      <c r="L169" s="662">
        <v>0</v>
      </c>
      <c r="M169" s="662">
        <v>0</v>
      </c>
      <c r="N169" s="661">
        <v>1</v>
      </c>
      <c r="O169" s="742">
        <v>0.5</v>
      </c>
      <c r="P169" s="662"/>
      <c r="Q169" s="677"/>
      <c r="R169" s="661"/>
      <c r="S169" s="677">
        <v>0</v>
      </c>
      <c r="T169" s="742"/>
      <c r="U169" s="700">
        <v>0</v>
      </c>
    </row>
    <row r="170" spans="1:21" ht="14.4" customHeight="1" x14ac:dyDescent="0.3">
      <c r="A170" s="660">
        <v>50</v>
      </c>
      <c r="B170" s="661" t="s">
        <v>553</v>
      </c>
      <c r="C170" s="661">
        <v>89301501</v>
      </c>
      <c r="D170" s="740" t="s">
        <v>2563</v>
      </c>
      <c r="E170" s="741" t="s">
        <v>1922</v>
      </c>
      <c r="F170" s="661" t="s">
        <v>1907</v>
      </c>
      <c r="G170" s="661" t="s">
        <v>2009</v>
      </c>
      <c r="H170" s="661" t="s">
        <v>995</v>
      </c>
      <c r="I170" s="661" t="s">
        <v>2010</v>
      </c>
      <c r="J170" s="661" t="s">
        <v>2011</v>
      </c>
      <c r="K170" s="661" t="s">
        <v>1303</v>
      </c>
      <c r="L170" s="662">
        <v>204.76</v>
      </c>
      <c r="M170" s="662">
        <v>204.76</v>
      </c>
      <c r="N170" s="661">
        <v>1</v>
      </c>
      <c r="O170" s="742">
        <v>0.5</v>
      </c>
      <c r="P170" s="662"/>
      <c r="Q170" s="677">
        <v>0</v>
      </c>
      <c r="R170" s="661"/>
      <c r="S170" s="677">
        <v>0</v>
      </c>
      <c r="T170" s="742"/>
      <c r="U170" s="700">
        <v>0</v>
      </c>
    </row>
    <row r="171" spans="1:21" ht="14.4" customHeight="1" x14ac:dyDescent="0.3">
      <c r="A171" s="660">
        <v>50</v>
      </c>
      <c r="B171" s="661" t="s">
        <v>553</v>
      </c>
      <c r="C171" s="661">
        <v>89301501</v>
      </c>
      <c r="D171" s="740" t="s">
        <v>2563</v>
      </c>
      <c r="E171" s="741" t="s">
        <v>1922</v>
      </c>
      <c r="F171" s="661" t="s">
        <v>1907</v>
      </c>
      <c r="G171" s="661" t="s">
        <v>1969</v>
      </c>
      <c r="H171" s="661" t="s">
        <v>995</v>
      </c>
      <c r="I171" s="661" t="s">
        <v>1018</v>
      </c>
      <c r="J171" s="661" t="s">
        <v>1838</v>
      </c>
      <c r="K171" s="661" t="s">
        <v>1020</v>
      </c>
      <c r="L171" s="662">
        <v>96.53</v>
      </c>
      <c r="M171" s="662">
        <v>96.53</v>
      </c>
      <c r="N171" s="661">
        <v>1</v>
      </c>
      <c r="O171" s="742">
        <v>0.5</v>
      </c>
      <c r="P171" s="662"/>
      <c r="Q171" s="677">
        <v>0</v>
      </c>
      <c r="R171" s="661"/>
      <c r="S171" s="677">
        <v>0</v>
      </c>
      <c r="T171" s="742"/>
      <c r="U171" s="700">
        <v>0</v>
      </c>
    </row>
    <row r="172" spans="1:21" ht="14.4" customHeight="1" x14ac:dyDescent="0.3">
      <c r="A172" s="660">
        <v>50</v>
      </c>
      <c r="B172" s="661" t="s">
        <v>553</v>
      </c>
      <c r="C172" s="661">
        <v>89301501</v>
      </c>
      <c r="D172" s="740" t="s">
        <v>2563</v>
      </c>
      <c r="E172" s="741" t="s">
        <v>1922</v>
      </c>
      <c r="F172" s="661" t="s">
        <v>1907</v>
      </c>
      <c r="G172" s="661" t="s">
        <v>1969</v>
      </c>
      <c r="H172" s="661" t="s">
        <v>995</v>
      </c>
      <c r="I172" s="661" t="s">
        <v>2072</v>
      </c>
      <c r="J172" s="661" t="s">
        <v>1000</v>
      </c>
      <c r="K172" s="661" t="s">
        <v>2073</v>
      </c>
      <c r="L172" s="662">
        <v>15.61</v>
      </c>
      <c r="M172" s="662">
        <v>15.61</v>
      </c>
      <c r="N172" s="661">
        <v>1</v>
      </c>
      <c r="O172" s="742">
        <v>1</v>
      </c>
      <c r="P172" s="662"/>
      <c r="Q172" s="677">
        <v>0</v>
      </c>
      <c r="R172" s="661"/>
      <c r="S172" s="677">
        <v>0</v>
      </c>
      <c r="T172" s="742"/>
      <c r="U172" s="700">
        <v>0</v>
      </c>
    </row>
    <row r="173" spans="1:21" ht="14.4" customHeight="1" x14ac:dyDescent="0.3">
      <c r="A173" s="660">
        <v>50</v>
      </c>
      <c r="B173" s="661" t="s">
        <v>553</v>
      </c>
      <c r="C173" s="661">
        <v>89301501</v>
      </c>
      <c r="D173" s="740" t="s">
        <v>2563</v>
      </c>
      <c r="E173" s="741" t="s">
        <v>1922</v>
      </c>
      <c r="F173" s="661" t="s">
        <v>1907</v>
      </c>
      <c r="G173" s="661" t="s">
        <v>1978</v>
      </c>
      <c r="H173" s="661" t="s">
        <v>554</v>
      </c>
      <c r="I173" s="661" t="s">
        <v>1979</v>
      </c>
      <c r="J173" s="661" t="s">
        <v>688</v>
      </c>
      <c r="K173" s="661" t="s">
        <v>1980</v>
      </c>
      <c r="L173" s="662">
        <v>30.47</v>
      </c>
      <c r="M173" s="662">
        <v>30.47</v>
      </c>
      <c r="N173" s="661">
        <v>1</v>
      </c>
      <c r="O173" s="742">
        <v>0.5</v>
      </c>
      <c r="P173" s="662"/>
      <c r="Q173" s="677">
        <v>0</v>
      </c>
      <c r="R173" s="661"/>
      <c r="S173" s="677">
        <v>0</v>
      </c>
      <c r="T173" s="742"/>
      <c r="U173" s="700">
        <v>0</v>
      </c>
    </row>
    <row r="174" spans="1:21" ht="14.4" customHeight="1" x14ac:dyDescent="0.3">
      <c r="A174" s="660">
        <v>50</v>
      </c>
      <c r="B174" s="661" t="s">
        <v>553</v>
      </c>
      <c r="C174" s="661">
        <v>89301501</v>
      </c>
      <c r="D174" s="740" t="s">
        <v>2563</v>
      </c>
      <c r="E174" s="741" t="s">
        <v>1922</v>
      </c>
      <c r="F174" s="661" t="s">
        <v>1907</v>
      </c>
      <c r="G174" s="661" t="s">
        <v>2168</v>
      </c>
      <c r="H174" s="661" t="s">
        <v>554</v>
      </c>
      <c r="I174" s="661" t="s">
        <v>2169</v>
      </c>
      <c r="J174" s="661" t="s">
        <v>2170</v>
      </c>
      <c r="K174" s="661" t="s">
        <v>2147</v>
      </c>
      <c r="L174" s="662">
        <v>0</v>
      </c>
      <c r="M174" s="662">
        <v>0</v>
      </c>
      <c r="N174" s="661">
        <v>1</v>
      </c>
      <c r="O174" s="742">
        <v>0.5</v>
      </c>
      <c r="P174" s="662"/>
      <c r="Q174" s="677"/>
      <c r="R174" s="661"/>
      <c r="S174" s="677">
        <v>0</v>
      </c>
      <c r="T174" s="742"/>
      <c r="U174" s="700">
        <v>0</v>
      </c>
    </row>
    <row r="175" spans="1:21" ht="14.4" customHeight="1" x14ac:dyDescent="0.3">
      <c r="A175" s="660">
        <v>50</v>
      </c>
      <c r="B175" s="661" t="s">
        <v>553</v>
      </c>
      <c r="C175" s="661">
        <v>89301501</v>
      </c>
      <c r="D175" s="740" t="s">
        <v>2563</v>
      </c>
      <c r="E175" s="741" t="s">
        <v>1922</v>
      </c>
      <c r="F175" s="661" t="s">
        <v>1907</v>
      </c>
      <c r="G175" s="661" t="s">
        <v>1983</v>
      </c>
      <c r="H175" s="661" t="s">
        <v>554</v>
      </c>
      <c r="I175" s="661" t="s">
        <v>1984</v>
      </c>
      <c r="J175" s="661" t="s">
        <v>1985</v>
      </c>
      <c r="K175" s="661" t="s">
        <v>1986</v>
      </c>
      <c r="L175" s="662">
        <v>0</v>
      </c>
      <c r="M175" s="662">
        <v>0</v>
      </c>
      <c r="N175" s="661">
        <v>1</v>
      </c>
      <c r="O175" s="742">
        <v>0.5</v>
      </c>
      <c r="P175" s="662"/>
      <c r="Q175" s="677"/>
      <c r="R175" s="661"/>
      <c r="S175" s="677">
        <v>0</v>
      </c>
      <c r="T175" s="742"/>
      <c r="U175" s="700">
        <v>0</v>
      </c>
    </row>
    <row r="176" spans="1:21" ht="14.4" customHeight="1" x14ac:dyDescent="0.3">
      <c r="A176" s="660">
        <v>50</v>
      </c>
      <c r="B176" s="661" t="s">
        <v>553</v>
      </c>
      <c r="C176" s="661">
        <v>89301501</v>
      </c>
      <c r="D176" s="740" t="s">
        <v>2563</v>
      </c>
      <c r="E176" s="741" t="s">
        <v>1922</v>
      </c>
      <c r="F176" s="661" t="s">
        <v>1907</v>
      </c>
      <c r="G176" s="661" t="s">
        <v>1987</v>
      </c>
      <c r="H176" s="661" t="s">
        <v>554</v>
      </c>
      <c r="I176" s="661" t="s">
        <v>2171</v>
      </c>
      <c r="J176" s="661" t="s">
        <v>2172</v>
      </c>
      <c r="K176" s="661" t="s">
        <v>2173</v>
      </c>
      <c r="L176" s="662">
        <v>87.89</v>
      </c>
      <c r="M176" s="662">
        <v>87.89</v>
      </c>
      <c r="N176" s="661">
        <v>1</v>
      </c>
      <c r="O176" s="742">
        <v>0.5</v>
      </c>
      <c r="P176" s="662"/>
      <c r="Q176" s="677">
        <v>0</v>
      </c>
      <c r="R176" s="661"/>
      <c r="S176" s="677">
        <v>0</v>
      </c>
      <c r="T176" s="742"/>
      <c r="U176" s="700">
        <v>0</v>
      </c>
    </row>
    <row r="177" spans="1:21" ht="14.4" customHeight="1" x14ac:dyDescent="0.3">
      <c r="A177" s="660">
        <v>50</v>
      </c>
      <c r="B177" s="661" t="s">
        <v>553</v>
      </c>
      <c r="C177" s="661">
        <v>89301501</v>
      </c>
      <c r="D177" s="740" t="s">
        <v>2563</v>
      </c>
      <c r="E177" s="741" t="s">
        <v>1922</v>
      </c>
      <c r="F177" s="661" t="s">
        <v>1907</v>
      </c>
      <c r="G177" s="661" t="s">
        <v>1988</v>
      </c>
      <c r="H177" s="661" t="s">
        <v>995</v>
      </c>
      <c r="I177" s="661" t="s">
        <v>1089</v>
      </c>
      <c r="J177" s="661" t="s">
        <v>1823</v>
      </c>
      <c r="K177" s="661" t="s">
        <v>1824</v>
      </c>
      <c r="L177" s="662">
        <v>184.74</v>
      </c>
      <c r="M177" s="662">
        <v>184.74</v>
      </c>
      <c r="N177" s="661">
        <v>1</v>
      </c>
      <c r="O177" s="742">
        <v>0.5</v>
      </c>
      <c r="P177" s="662"/>
      <c r="Q177" s="677">
        <v>0</v>
      </c>
      <c r="R177" s="661"/>
      <c r="S177" s="677">
        <v>0</v>
      </c>
      <c r="T177" s="742"/>
      <c r="U177" s="700">
        <v>0</v>
      </c>
    </row>
    <row r="178" spans="1:21" ht="14.4" customHeight="1" x14ac:dyDescent="0.3">
      <c r="A178" s="660">
        <v>50</v>
      </c>
      <c r="B178" s="661" t="s">
        <v>553</v>
      </c>
      <c r="C178" s="661">
        <v>89301501</v>
      </c>
      <c r="D178" s="740" t="s">
        <v>2563</v>
      </c>
      <c r="E178" s="741" t="s">
        <v>1922</v>
      </c>
      <c r="F178" s="661" t="s">
        <v>1907</v>
      </c>
      <c r="G178" s="661" t="s">
        <v>2174</v>
      </c>
      <c r="H178" s="661" t="s">
        <v>554</v>
      </c>
      <c r="I178" s="661" t="s">
        <v>2175</v>
      </c>
      <c r="J178" s="661" t="s">
        <v>2176</v>
      </c>
      <c r="K178" s="661" t="s">
        <v>1054</v>
      </c>
      <c r="L178" s="662">
        <v>0</v>
      </c>
      <c r="M178" s="662">
        <v>0</v>
      </c>
      <c r="N178" s="661">
        <v>1</v>
      </c>
      <c r="O178" s="742">
        <v>0.5</v>
      </c>
      <c r="P178" s="662"/>
      <c r="Q178" s="677"/>
      <c r="R178" s="661"/>
      <c r="S178" s="677">
        <v>0</v>
      </c>
      <c r="T178" s="742"/>
      <c r="U178" s="700">
        <v>0</v>
      </c>
    </row>
    <row r="179" spans="1:21" ht="14.4" customHeight="1" x14ac:dyDescent="0.3">
      <c r="A179" s="660">
        <v>50</v>
      </c>
      <c r="B179" s="661" t="s">
        <v>553</v>
      </c>
      <c r="C179" s="661">
        <v>89301501</v>
      </c>
      <c r="D179" s="740" t="s">
        <v>2563</v>
      </c>
      <c r="E179" s="741" t="s">
        <v>1923</v>
      </c>
      <c r="F179" s="661" t="s">
        <v>1907</v>
      </c>
      <c r="G179" s="661" t="s">
        <v>1975</v>
      </c>
      <c r="H179" s="661" t="s">
        <v>554</v>
      </c>
      <c r="I179" s="661" t="s">
        <v>2074</v>
      </c>
      <c r="J179" s="661" t="s">
        <v>823</v>
      </c>
      <c r="K179" s="661" t="s">
        <v>2075</v>
      </c>
      <c r="L179" s="662">
        <v>107.25</v>
      </c>
      <c r="M179" s="662">
        <v>107.25</v>
      </c>
      <c r="N179" s="661">
        <v>1</v>
      </c>
      <c r="O179" s="742">
        <v>1</v>
      </c>
      <c r="P179" s="662">
        <v>107.25</v>
      </c>
      <c r="Q179" s="677">
        <v>1</v>
      </c>
      <c r="R179" s="661">
        <v>1</v>
      </c>
      <c r="S179" s="677">
        <v>1</v>
      </c>
      <c r="T179" s="742">
        <v>1</v>
      </c>
      <c r="U179" s="700">
        <v>1</v>
      </c>
    </row>
    <row r="180" spans="1:21" ht="14.4" customHeight="1" x14ac:dyDescent="0.3">
      <c r="A180" s="660">
        <v>50</v>
      </c>
      <c r="B180" s="661" t="s">
        <v>553</v>
      </c>
      <c r="C180" s="661">
        <v>89301501</v>
      </c>
      <c r="D180" s="740" t="s">
        <v>2563</v>
      </c>
      <c r="E180" s="741" t="s">
        <v>1924</v>
      </c>
      <c r="F180" s="661" t="s">
        <v>1907</v>
      </c>
      <c r="G180" s="661" t="s">
        <v>1930</v>
      </c>
      <c r="H180" s="661" t="s">
        <v>995</v>
      </c>
      <c r="I180" s="661" t="s">
        <v>1010</v>
      </c>
      <c r="J180" s="661" t="s">
        <v>1011</v>
      </c>
      <c r="K180" s="661" t="s">
        <v>1830</v>
      </c>
      <c r="L180" s="662">
        <v>72</v>
      </c>
      <c r="M180" s="662">
        <v>360</v>
      </c>
      <c r="N180" s="661">
        <v>5</v>
      </c>
      <c r="O180" s="742">
        <v>4</v>
      </c>
      <c r="P180" s="662">
        <v>144</v>
      </c>
      <c r="Q180" s="677">
        <v>0.4</v>
      </c>
      <c r="R180" s="661">
        <v>2</v>
      </c>
      <c r="S180" s="677">
        <v>0.4</v>
      </c>
      <c r="T180" s="742">
        <v>1.5</v>
      </c>
      <c r="U180" s="700">
        <v>0.375</v>
      </c>
    </row>
    <row r="181" spans="1:21" ht="14.4" customHeight="1" x14ac:dyDescent="0.3">
      <c r="A181" s="660">
        <v>50</v>
      </c>
      <c r="B181" s="661" t="s">
        <v>553</v>
      </c>
      <c r="C181" s="661">
        <v>89301501</v>
      </c>
      <c r="D181" s="740" t="s">
        <v>2563</v>
      </c>
      <c r="E181" s="741" t="s">
        <v>1924</v>
      </c>
      <c r="F181" s="661" t="s">
        <v>1907</v>
      </c>
      <c r="G181" s="661" t="s">
        <v>2030</v>
      </c>
      <c r="H181" s="661" t="s">
        <v>995</v>
      </c>
      <c r="I181" s="661" t="s">
        <v>1234</v>
      </c>
      <c r="J181" s="661" t="s">
        <v>1857</v>
      </c>
      <c r="K181" s="661" t="s">
        <v>1858</v>
      </c>
      <c r="L181" s="662">
        <v>150.04</v>
      </c>
      <c r="M181" s="662">
        <v>150.04</v>
      </c>
      <c r="N181" s="661">
        <v>1</v>
      </c>
      <c r="O181" s="742">
        <v>0.5</v>
      </c>
      <c r="P181" s="662">
        <v>150.04</v>
      </c>
      <c r="Q181" s="677">
        <v>1</v>
      </c>
      <c r="R181" s="661">
        <v>1</v>
      </c>
      <c r="S181" s="677">
        <v>1</v>
      </c>
      <c r="T181" s="742">
        <v>0.5</v>
      </c>
      <c r="U181" s="700">
        <v>1</v>
      </c>
    </row>
    <row r="182" spans="1:21" ht="14.4" customHeight="1" x14ac:dyDescent="0.3">
      <c r="A182" s="660">
        <v>50</v>
      </c>
      <c r="B182" s="661" t="s">
        <v>553</v>
      </c>
      <c r="C182" s="661">
        <v>89301501</v>
      </c>
      <c r="D182" s="740" t="s">
        <v>2563</v>
      </c>
      <c r="E182" s="741" t="s">
        <v>1924</v>
      </c>
      <c r="F182" s="661" t="s">
        <v>1907</v>
      </c>
      <c r="G182" s="661" t="s">
        <v>1931</v>
      </c>
      <c r="H182" s="661" t="s">
        <v>995</v>
      </c>
      <c r="I182" s="661" t="s">
        <v>1131</v>
      </c>
      <c r="J182" s="661" t="s">
        <v>1845</v>
      </c>
      <c r="K182" s="661" t="s">
        <v>1149</v>
      </c>
      <c r="L182" s="662">
        <v>193.1</v>
      </c>
      <c r="M182" s="662">
        <v>579.29999999999995</v>
      </c>
      <c r="N182" s="661">
        <v>3</v>
      </c>
      <c r="O182" s="742">
        <v>2</v>
      </c>
      <c r="P182" s="662">
        <v>193.1</v>
      </c>
      <c r="Q182" s="677">
        <v>0.33333333333333337</v>
      </c>
      <c r="R182" s="661">
        <v>1</v>
      </c>
      <c r="S182" s="677">
        <v>0.33333333333333331</v>
      </c>
      <c r="T182" s="742">
        <v>0.5</v>
      </c>
      <c r="U182" s="700">
        <v>0.25</v>
      </c>
    </row>
    <row r="183" spans="1:21" ht="14.4" customHeight="1" x14ac:dyDescent="0.3">
      <c r="A183" s="660">
        <v>50</v>
      </c>
      <c r="B183" s="661" t="s">
        <v>553</v>
      </c>
      <c r="C183" s="661">
        <v>89301501</v>
      </c>
      <c r="D183" s="740" t="s">
        <v>2563</v>
      </c>
      <c r="E183" s="741" t="s">
        <v>1924</v>
      </c>
      <c r="F183" s="661" t="s">
        <v>1907</v>
      </c>
      <c r="G183" s="661" t="s">
        <v>1926</v>
      </c>
      <c r="H183" s="661" t="s">
        <v>995</v>
      </c>
      <c r="I183" s="661" t="s">
        <v>1048</v>
      </c>
      <c r="J183" s="661" t="s">
        <v>1049</v>
      </c>
      <c r="K183" s="661" t="s">
        <v>1050</v>
      </c>
      <c r="L183" s="662">
        <v>35.11</v>
      </c>
      <c r="M183" s="662">
        <v>105.33</v>
      </c>
      <c r="N183" s="661">
        <v>3</v>
      </c>
      <c r="O183" s="742">
        <v>1.5</v>
      </c>
      <c r="P183" s="662">
        <v>35.11</v>
      </c>
      <c r="Q183" s="677">
        <v>0.33333333333333331</v>
      </c>
      <c r="R183" s="661">
        <v>1</v>
      </c>
      <c r="S183" s="677">
        <v>0.33333333333333331</v>
      </c>
      <c r="T183" s="742">
        <v>0.5</v>
      </c>
      <c r="U183" s="700">
        <v>0.33333333333333331</v>
      </c>
    </row>
    <row r="184" spans="1:21" ht="14.4" customHeight="1" x14ac:dyDescent="0.3">
      <c r="A184" s="660">
        <v>50</v>
      </c>
      <c r="B184" s="661" t="s">
        <v>553</v>
      </c>
      <c r="C184" s="661">
        <v>89301501</v>
      </c>
      <c r="D184" s="740" t="s">
        <v>2563</v>
      </c>
      <c r="E184" s="741" t="s">
        <v>1924</v>
      </c>
      <c r="F184" s="661" t="s">
        <v>1907</v>
      </c>
      <c r="G184" s="661" t="s">
        <v>1926</v>
      </c>
      <c r="H184" s="661" t="s">
        <v>995</v>
      </c>
      <c r="I184" s="661" t="s">
        <v>1052</v>
      </c>
      <c r="J184" s="661" t="s">
        <v>1053</v>
      </c>
      <c r="K184" s="661" t="s">
        <v>1054</v>
      </c>
      <c r="L184" s="662">
        <v>70.23</v>
      </c>
      <c r="M184" s="662">
        <v>70.23</v>
      </c>
      <c r="N184" s="661">
        <v>1</v>
      </c>
      <c r="O184" s="742">
        <v>0.5</v>
      </c>
      <c r="P184" s="662"/>
      <c r="Q184" s="677">
        <v>0</v>
      </c>
      <c r="R184" s="661"/>
      <c r="S184" s="677">
        <v>0</v>
      </c>
      <c r="T184" s="742"/>
      <c r="U184" s="700">
        <v>0</v>
      </c>
    </row>
    <row r="185" spans="1:21" ht="14.4" customHeight="1" x14ac:dyDescent="0.3">
      <c r="A185" s="660">
        <v>50</v>
      </c>
      <c r="B185" s="661" t="s">
        <v>553</v>
      </c>
      <c r="C185" s="661">
        <v>89301501</v>
      </c>
      <c r="D185" s="740" t="s">
        <v>2563</v>
      </c>
      <c r="E185" s="741" t="s">
        <v>1924</v>
      </c>
      <c r="F185" s="661" t="s">
        <v>1907</v>
      </c>
      <c r="G185" s="661" t="s">
        <v>1937</v>
      </c>
      <c r="H185" s="661" t="s">
        <v>554</v>
      </c>
      <c r="I185" s="661" t="s">
        <v>1938</v>
      </c>
      <c r="J185" s="661" t="s">
        <v>1939</v>
      </c>
      <c r="K185" s="661" t="s">
        <v>1940</v>
      </c>
      <c r="L185" s="662">
        <v>0</v>
      </c>
      <c r="M185" s="662">
        <v>0</v>
      </c>
      <c r="N185" s="661">
        <v>1</v>
      </c>
      <c r="O185" s="742">
        <v>0.5</v>
      </c>
      <c r="P185" s="662">
        <v>0</v>
      </c>
      <c r="Q185" s="677"/>
      <c r="R185" s="661">
        <v>1</v>
      </c>
      <c r="S185" s="677">
        <v>1</v>
      </c>
      <c r="T185" s="742">
        <v>0.5</v>
      </c>
      <c r="U185" s="700">
        <v>1</v>
      </c>
    </row>
    <row r="186" spans="1:21" ht="14.4" customHeight="1" x14ac:dyDescent="0.3">
      <c r="A186" s="660">
        <v>50</v>
      </c>
      <c r="B186" s="661" t="s">
        <v>553</v>
      </c>
      <c r="C186" s="661">
        <v>89301501</v>
      </c>
      <c r="D186" s="740" t="s">
        <v>2563</v>
      </c>
      <c r="E186" s="741" t="s">
        <v>1924</v>
      </c>
      <c r="F186" s="661" t="s">
        <v>1907</v>
      </c>
      <c r="G186" s="661" t="s">
        <v>1927</v>
      </c>
      <c r="H186" s="661" t="s">
        <v>995</v>
      </c>
      <c r="I186" s="661" t="s">
        <v>1164</v>
      </c>
      <c r="J186" s="661" t="s">
        <v>1165</v>
      </c>
      <c r="K186" s="661" t="s">
        <v>1166</v>
      </c>
      <c r="L186" s="662">
        <v>93.43</v>
      </c>
      <c r="M186" s="662">
        <v>186.86</v>
      </c>
      <c r="N186" s="661">
        <v>2</v>
      </c>
      <c r="O186" s="742">
        <v>1</v>
      </c>
      <c r="P186" s="662">
        <v>93.43</v>
      </c>
      <c r="Q186" s="677">
        <v>0.5</v>
      </c>
      <c r="R186" s="661">
        <v>1</v>
      </c>
      <c r="S186" s="677">
        <v>0.5</v>
      </c>
      <c r="T186" s="742">
        <v>0.5</v>
      </c>
      <c r="U186" s="700">
        <v>0.5</v>
      </c>
    </row>
    <row r="187" spans="1:21" ht="14.4" customHeight="1" x14ac:dyDescent="0.3">
      <c r="A187" s="660">
        <v>50</v>
      </c>
      <c r="B187" s="661" t="s">
        <v>553</v>
      </c>
      <c r="C187" s="661">
        <v>89301501</v>
      </c>
      <c r="D187" s="740" t="s">
        <v>2563</v>
      </c>
      <c r="E187" s="741" t="s">
        <v>1924</v>
      </c>
      <c r="F187" s="661" t="s">
        <v>1907</v>
      </c>
      <c r="G187" s="661" t="s">
        <v>1953</v>
      </c>
      <c r="H187" s="661" t="s">
        <v>554</v>
      </c>
      <c r="I187" s="661" t="s">
        <v>1954</v>
      </c>
      <c r="J187" s="661" t="s">
        <v>1955</v>
      </c>
      <c r="K187" s="661" t="s">
        <v>1956</v>
      </c>
      <c r="L187" s="662">
        <v>0</v>
      </c>
      <c r="M187" s="662">
        <v>0</v>
      </c>
      <c r="N187" s="661">
        <v>1</v>
      </c>
      <c r="O187" s="742">
        <v>0.5</v>
      </c>
      <c r="P187" s="662"/>
      <c r="Q187" s="677"/>
      <c r="R187" s="661"/>
      <c r="S187" s="677">
        <v>0</v>
      </c>
      <c r="T187" s="742"/>
      <c r="U187" s="700">
        <v>0</v>
      </c>
    </row>
    <row r="188" spans="1:21" ht="14.4" customHeight="1" x14ac:dyDescent="0.3">
      <c r="A188" s="660">
        <v>50</v>
      </c>
      <c r="B188" s="661" t="s">
        <v>553</v>
      </c>
      <c r="C188" s="661">
        <v>89301501</v>
      </c>
      <c r="D188" s="740" t="s">
        <v>2563</v>
      </c>
      <c r="E188" s="741" t="s">
        <v>1924</v>
      </c>
      <c r="F188" s="661" t="s">
        <v>1907</v>
      </c>
      <c r="G188" s="661" t="s">
        <v>1953</v>
      </c>
      <c r="H188" s="661" t="s">
        <v>554</v>
      </c>
      <c r="I188" s="661" t="s">
        <v>826</v>
      </c>
      <c r="J188" s="661" t="s">
        <v>827</v>
      </c>
      <c r="K188" s="661" t="s">
        <v>828</v>
      </c>
      <c r="L188" s="662">
        <v>26.37</v>
      </c>
      <c r="M188" s="662">
        <v>26.37</v>
      </c>
      <c r="N188" s="661">
        <v>1</v>
      </c>
      <c r="O188" s="742">
        <v>0.5</v>
      </c>
      <c r="P188" s="662">
        <v>26.37</v>
      </c>
      <c r="Q188" s="677">
        <v>1</v>
      </c>
      <c r="R188" s="661">
        <v>1</v>
      </c>
      <c r="S188" s="677">
        <v>1</v>
      </c>
      <c r="T188" s="742">
        <v>0.5</v>
      </c>
      <c r="U188" s="700">
        <v>1</v>
      </c>
    </row>
    <row r="189" spans="1:21" ht="14.4" customHeight="1" x14ac:dyDescent="0.3">
      <c r="A189" s="660">
        <v>50</v>
      </c>
      <c r="B189" s="661" t="s">
        <v>553</v>
      </c>
      <c r="C189" s="661">
        <v>89301501</v>
      </c>
      <c r="D189" s="740" t="s">
        <v>2563</v>
      </c>
      <c r="E189" s="741" t="s">
        <v>1924</v>
      </c>
      <c r="F189" s="661" t="s">
        <v>1907</v>
      </c>
      <c r="G189" s="661" t="s">
        <v>2177</v>
      </c>
      <c r="H189" s="661" t="s">
        <v>995</v>
      </c>
      <c r="I189" s="661" t="s">
        <v>2178</v>
      </c>
      <c r="J189" s="661" t="s">
        <v>1072</v>
      </c>
      <c r="K189" s="661" t="s">
        <v>1042</v>
      </c>
      <c r="L189" s="662">
        <v>2309.36</v>
      </c>
      <c r="M189" s="662">
        <v>2309.36</v>
      </c>
      <c r="N189" s="661">
        <v>1</v>
      </c>
      <c r="O189" s="742">
        <v>1</v>
      </c>
      <c r="P189" s="662"/>
      <c r="Q189" s="677">
        <v>0</v>
      </c>
      <c r="R189" s="661"/>
      <c r="S189" s="677">
        <v>0</v>
      </c>
      <c r="T189" s="742"/>
      <c r="U189" s="700">
        <v>0</v>
      </c>
    </row>
    <row r="190" spans="1:21" ht="14.4" customHeight="1" x14ac:dyDescent="0.3">
      <c r="A190" s="660">
        <v>50</v>
      </c>
      <c r="B190" s="661" t="s">
        <v>553</v>
      </c>
      <c r="C190" s="661">
        <v>89301501</v>
      </c>
      <c r="D190" s="740" t="s">
        <v>2563</v>
      </c>
      <c r="E190" s="741" t="s">
        <v>1924</v>
      </c>
      <c r="F190" s="661" t="s">
        <v>1907</v>
      </c>
      <c r="G190" s="661" t="s">
        <v>1961</v>
      </c>
      <c r="H190" s="661" t="s">
        <v>995</v>
      </c>
      <c r="I190" s="661" t="s">
        <v>2179</v>
      </c>
      <c r="J190" s="661" t="s">
        <v>2180</v>
      </c>
      <c r="K190" s="661" t="s">
        <v>1020</v>
      </c>
      <c r="L190" s="662">
        <v>39.729999999999997</v>
      </c>
      <c r="M190" s="662">
        <v>39.729999999999997</v>
      </c>
      <c r="N190" s="661">
        <v>1</v>
      </c>
      <c r="O190" s="742">
        <v>1</v>
      </c>
      <c r="P190" s="662">
        <v>39.729999999999997</v>
      </c>
      <c r="Q190" s="677">
        <v>1</v>
      </c>
      <c r="R190" s="661">
        <v>1</v>
      </c>
      <c r="S190" s="677">
        <v>1</v>
      </c>
      <c r="T190" s="742">
        <v>1</v>
      </c>
      <c r="U190" s="700">
        <v>1</v>
      </c>
    </row>
    <row r="191" spans="1:21" ht="14.4" customHeight="1" x14ac:dyDescent="0.3">
      <c r="A191" s="660">
        <v>50</v>
      </c>
      <c r="B191" s="661" t="s">
        <v>553</v>
      </c>
      <c r="C191" s="661">
        <v>89301501</v>
      </c>
      <c r="D191" s="740" t="s">
        <v>2563</v>
      </c>
      <c r="E191" s="741" t="s">
        <v>1924</v>
      </c>
      <c r="F191" s="661" t="s">
        <v>1907</v>
      </c>
      <c r="G191" s="661" t="s">
        <v>1962</v>
      </c>
      <c r="H191" s="661" t="s">
        <v>995</v>
      </c>
      <c r="I191" s="661" t="s">
        <v>1963</v>
      </c>
      <c r="J191" s="661" t="s">
        <v>1094</v>
      </c>
      <c r="K191" s="661" t="s">
        <v>1050</v>
      </c>
      <c r="L191" s="662">
        <v>48.27</v>
      </c>
      <c r="M191" s="662">
        <v>48.27</v>
      </c>
      <c r="N191" s="661">
        <v>1</v>
      </c>
      <c r="O191" s="742">
        <v>0.5</v>
      </c>
      <c r="P191" s="662"/>
      <c r="Q191" s="677">
        <v>0</v>
      </c>
      <c r="R191" s="661"/>
      <c r="S191" s="677">
        <v>0</v>
      </c>
      <c r="T191" s="742"/>
      <c r="U191" s="700">
        <v>0</v>
      </c>
    </row>
    <row r="192" spans="1:21" ht="14.4" customHeight="1" x14ac:dyDescent="0.3">
      <c r="A192" s="660">
        <v>50</v>
      </c>
      <c r="B192" s="661" t="s">
        <v>553</v>
      </c>
      <c r="C192" s="661">
        <v>89301501</v>
      </c>
      <c r="D192" s="740" t="s">
        <v>2563</v>
      </c>
      <c r="E192" s="741" t="s">
        <v>1924</v>
      </c>
      <c r="F192" s="661" t="s">
        <v>1907</v>
      </c>
      <c r="G192" s="661" t="s">
        <v>1962</v>
      </c>
      <c r="H192" s="661" t="s">
        <v>995</v>
      </c>
      <c r="I192" s="661" t="s">
        <v>1964</v>
      </c>
      <c r="J192" s="661" t="s">
        <v>1965</v>
      </c>
      <c r="K192" s="661" t="s">
        <v>1875</v>
      </c>
      <c r="L192" s="662">
        <v>96.53</v>
      </c>
      <c r="M192" s="662">
        <v>96.53</v>
      </c>
      <c r="N192" s="661">
        <v>1</v>
      </c>
      <c r="O192" s="742">
        <v>0.5</v>
      </c>
      <c r="P192" s="662"/>
      <c r="Q192" s="677">
        <v>0</v>
      </c>
      <c r="R192" s="661"/>
      <c r="S192" s="677">
        <v>0</v>
      </c>
      <c r="T192" s="742"/>
      <c r="U192" s="700">
        <v>0</v>
      </c>
    </row>
    <row r="193" spans="1:21" ht="14.4" customHeight="1" x14ac:dyDescent="0.3">
      <c r="A193" s="660">
        <v>50</v>
      </c>
      <c r="B193" s="661" t="s">
        <v>553</v>
      </c>
      <c r="C193" s="661">
        <v>89301501</v>
      </c>
      <c r="D193" s="740" t="s">
        <v>2563</v>
      </c>
      <c r="E193" s="741" t="s">
        <v>1924</v>
      </c>
      <c r="F193" s="661" t="s">
        <v>1907</v>
      </c>
      <c r="G193" s="661" t="s">
        <v>1969</v>
      </c>
      <c r="H193" s="661" t="s">
        <v>995</v>
      </c>
      <c r="I193" s="661" t="s">
        <v>1063</v>
      </c>
      <c r="J193" s="661" t="s">
        <v>1839</v>
      </c>
      <c r="K193" s="661" t="s">
        <v>836</v>
      </c>
      <c r="L193" s="662">
        <v>48.27</v>
      </c>
      <c r="M193" s="662">
        <v>96.54</v>
      </c>
      <c r="N193" s="661">
        <v>2</v>
      </c>
      <c r="O193" s="742">
        <v>1</v>
      </c>
      <c r="P193" s="662">
        <v>48.27</v>
      </c>
      <c r="Q193" s="677">
        <v>0.5</v>
      </c>
      <c r="R193" s="661">
        <v>1</v>
      </c>
      <c r="S193" s="677">
        <v>0.5</v>
      </c>
      <c r="T193" s="742">
        <v>0.5</v>
      </c>
      <c r="U193" s="700">
        <v>0.5</v>
      </c>
    </row>
    <row r="194" spans="1:21" ht="14.4" customHeight="1" x14ac:dyDescent="0.3">
      <c r="A194" s="660">
        <v>50</v>
      </c>
      <c r="B194" s="661" t="s">
        <v>553</v>
      </c>
      <c r="C194" s="661">
        <v>89301501</v>
      </c>
      <c r="D194" s="740" t="s">
        <v>2563</v>
      </c>
      <c r="E194" s="741" t="s">
        <v>1924</v>
      </c>
      <c r="F194" s="661" t="s">
        <v>1907</v>
      </c>
      <c r="G194" s="661" t="s">
        <v>1981</v>
      </c>
      <c r="H194" s="661" t="s">
        <v>554</v>
      </c>
      <c r="I194" s="661" t="s">
        <v>1215</v>
      </c>
      <c r="J194" s="661" t="s">
        <v>1216</v>
      </c>
      <c r="K194" s="661" t="s">
        <v>1982</v>
      </c>
      <c r="L194" s="662">
        <v>22.44</v>
      </c>
      <c r="M194" s="662">
        <v>44.88</v>
      </c>
      <c r="N194" s="661">
        <v>2</v>
      </c>
      <c r="O194" s="742">
        <v>1.5</v>
      </c>
      <c r="P194" s="662"/>
      <c r="Q194" s="677">
        <v>0</v>
      </c>
      <c r="R194" s="661"/>
      <c r="S194" s="677">
        <v>0</v>
      </c>
      <c r="T194" s="742"/>
      <c r="U194" s="700">
        <v>0</v>
      </c>
    </row>
    <row r="195" spans="1:21" ht="14.4" customHeight="1" x14ac:dyDescent="0.3">
      <c r="A195" s="660">
        <v>50</v>
      </c>
      <c r="B195" s="661" t="s">
        <v>553</v>
      </c>
      <c r="C195" s="661">
        <v>89301501</v>
      </c>
      <c r="D195" s="740" t="s">
        <v>2563</v>
      </c>
      <c r="E195" s="741" t="s">
        <v>1924</v>
      </c>
      <c r="F195" s="661" t="s">
        <v>1907</v>
      </c>
      <c r="G195" s="661" t="s">
        <v>1988</v>
      </c>
      <c r="H195" s="661" t="s">
        <v>995</v>
      </c>
      <c r="I195" s="661" t="s">
        <v>2020</v>
      </c>
      <c r="J195" s="661" t="s">
        <v>2021</v>
      </c>
      <c r="K195" s="661" t="s">
        <v>2022</v>
      </c>
      <c r="L195" s="662">
        <v>120.61</v>
      </c>
      <c r="M195" s="662">
        <v>241.22</v>
      </c>
      <c r="N195" s="661">
        <v>2</v>
      </c>
      <c r="O195" s="742">
        <v>1.5</v>
      </c>
      <c r="P195" s="662"/>
      <c r="Q195" s="677">
        <v>0</v>
      </c>
      <c r="R195" s="661"/>
      <c r="S195" s="677">
        <v>0</v>
      </c>
      <c r="T195" s="742"/>
      <c r="U195" s="700">
        <v>0</v>
      </c>
    </row>
    <row r="196" spans="1:21" ht="14.4" customHeight="1" x14ac:dyDescent="0.3">
      <c r="A196" s="660">
        <v>50</v>
      </c>
      <c r="B196" s="661" t="s">
        <v>553</v>
      </c>
      <c r="C196" s="661">
        <v>89301501</v>
      </c>
      <c r="D196" s="740" t="s">
        <v>2563</v>
      </c>
      <c r="E196" s="741" t="s">
        <v>1924</v>
      </c>
      <c r="F196" s="661" t="s">
        <v>1907</v>
      </c>
      <c r="G196" s="661" t="s">
        <v>1988</v>
      </c>
      <c r="H196" s="661" t="s">
        <v>995</v>
      </c>
      <c r="I196" s="661" t="s">
        <v>1089</v>
      </c>
      <c r="J196" s="661" t="s">
        <v>1823</v>
      </c>
      <c r="K196" s="661" t="s">
        <v>1824</v>
      </c>
      <c r="L196" s="662">
        <v>184.74</v>
      </c>
      <c r="M196" s="662">
        <v>738.96</v>
      </c>
      <c r="N196" s="661">
        <v>4</v>
      </c>
      <c r="O196" s="742">
        <v>3</v>
      </c>
      <c r="P196" s="662">
        <v>184.74</v>
      </c>
      <c r="Q196" s="677">
        <v>0.25</v>
      </c>
      <c r="R196" s="661">
        <v>1</v>
      </c>
      <c r="S196" s="677">
        <v>0.25</v>
      </c>
      <c r="T196" s="742">
        <v>1</v>
      </c>
      <c r="U196" s="700">
        <v>0.33333333333333331</v>
      </c>
    </row>
    <row r="197" spans="1:21" ht="14.4" customHeight="1" x14ac:dyDescent="0.3">
      <c r="A197" s="660">
        <v>50</v>
      </c>
      <c r="B197" s="661" t="s">
        <v>553</v>
      </c>
      <c r="C197" s="661">
        <v>89301501</v>
      </c>
      <c r="D197" s="740" t="s">
        <v>2563</v>
      </c>
      <c r="E197" s="741" t="s">
        <v>1925</v>
      </c>
      <c r="F197" s="661" t="s">
        <v>1907</v>
      </c>
      <c r="G197" s="661" t="s">
        <v>1930</v>
      </c>
      <c r="H197" s="661" t="s">
        <v>995</v>
      </c>
      <c r="I197" s="661" t="s">
        <v>2181</v>
      </c>
      <c r="J197" s="661" t="s">
        <v>1011</v>
      </c>
      <c r="K197" s="661" t="s">
        <v>2182</v>
      </c>
      <c r="L197" s="662">
        <v>144.01</v>
      </c>
      <c r="M197" s="662">
        <v>144.01</v>
      </c>
      <c r="N197" s="661">
        <v>1</v>
      </c>
      <c r="O197" s="742">
        <v>0.5</v>
      </c>
      <c r="P197" s="662"/>
      <c r="Q197" s="677">
        <v>0</v>
      </c>
      <c r="R197" s="661"/>
      <c r="S197" s="677">
        <v>0</v>
      </c>
      <c r="T197" s="742"/>
      <c r="U197" s="700">
        <v>0</v>
      </c>
    </row>
    <row r="198" spans="1:21" ht="14.4" customHeight="1" x14ac:dyDescent="0.3">
      <c r="A198" s="660">
        <v>50</v>
      </c>
      <c r="B198" s="661" t="s">
        <v>553</v>
      </c>
      <c r="C198" s="661">
        <v>89301501</v>
      </c>
      <c r="D198" s="740" t="s">
        <v>2563</v>
      </c>
      <c r="E198" s="741" t="s">
        <v>1925</v>
      </c>
      <c r="F198" s="661" t="s">
        <v>1907</v>
      </c>
      <c r="G198" s="661" t="s">
        <v>2030</v>
      </c>
      <c r="H198" s="661" t="s">
        <v>995</v>
      </c>
      <c r="I198" s="661" t="s">
        <v>1234</v>
      </c>
      <c r="J198" s="661" t="s">
        <v>1857</v>
      </c>
      <c r="K198" s="661" t="s">
        <v>1858</v>
      </c>
      <c r="L198" s="662">
        <v>154.36000000000001</v>
      </c>
      <c r="M198" s="662">
        <v>154.36000000000001</v>
      </c>
      <c r="N198" s="661">
        <v>1</v>
      </c>
      <c r="O198" s="742">
        <v>0.5</v>
      </c>
      <c r="P198" s="662"/>
      <c r="Q198" s="677">
        <v>0</v>
      </c>
      <c r="R198" s="661"/>
      <c r="S198" s="677">
        <v>0</v>
      </c>
      <c r="T198" s="742"/>
      <c r="U198" s="700">
        <v>0</v>
      </c>
    </row>
    <row r="199" spans="1:21" ht="14.4" customHeight="1" x14ac:dyDescent="0.3">
      <c r="A199" s="660">
        <v>50</v>
      </c>
      <c r="B199" s="661" t="s">
        <v>553</v>
      </c>
      <c r="C199" s="661">
        <v>89301501</v>
      </c>
      <c r="D199" s="740" t="s">
        <v>2563</v>
      </c>
      <c r="E199" s="741" t="s">
        <v>1925</v>
      </c>
      <c r="F199" s="661" t="s">
        <v>1907</v>
      </c>
      <c r="G199" s="661" t="s">
        <v>1942</v>
      </c>
      <c r="H199" s="661" t="s">
        <v>554</v>
      </c>
      <c r="I199" s="661" t="s">
        <v>1994</v>
      </c>
      <c r="J199" s="661" t="s">
        <v>1995</v>
      </c>
      <c r="K199" s="661" t="s">
        <v>1996</v>
      </c>
      <c r="L199" s="662">
        <v>0</v>
      </c>
      <c r="M199" s="662">
        <v>0</v>
      </c>
      <c r="N199" s="661">
        <v>1</v>
      </c>
      <c r="O199" s="742">
        <v>0.5</v>
      </c>
      <c r="P199" s="662"/>
      <c r="Q199" s="677"/>
      <c r="R199" s="661"/>
      <c r="S199" s="677">
        <v>0</v>
      </c>
      <c r="T199" s="742"/>
      <c r="U199" s="700">
        <v>0</v>
      </c>
    </row>
    <row r="200" spans="1:21" ht="14.4" customHeight="1" x14ac:dyDescent="0.3">
      <c r="A200" s="660">
        <v>50</v>
      </c>
      <c r="B200" s="661" t="s">
        <v>553</v>
      </c>
      <c r="C200" s="661">
        <v>89301501</v>
      </c>
      <c r="D200" s="740" t="s">
        <v>2563</v>
      </c>
      <c r="E200" s="741" t="s">
        <v>1925</v>
      </c>
      <c r="F200" s="661" t="s">
        <v>1907</v>
      </c>
      <c r="G200" s="661" t="s">
        <v>1953</v>
      </c>
      <c r="H200" s="661" t="s">
        <v>554</v>
      </c>
      <c r="I200" s="661" t="s">
        <v>2000</v>
      </c>
      <c r="J200" s="661" t="s">
        <v>827</v>
      </c>
      <c r="K200" s="661" t="s">
        <v>2001</v>
      </c>
      <c r="L200" s="662">
        <v>52.75</v>
      </c>
      <c r="M200" s="662">
        <v>52.75</v>
      </c>
      <c r="N200" s="661">
        <v>1</v>
      </c>
      <c r="O200" s="742">
        <v>0.5</v>
      </c>
      <c r="P200" s="662"/>
      <c r="Q200" s="677">
        <v>0</v>
      </c>
      <c r="R200" s="661"/>
      <c r="S200" s="677">
        <v>0</v>
      </c>
      <c r="T200" s="742"/>
      <c r="U200" s="700">
        <v>0</v>
      </c>
    </row>
    <row r="201" spans="1:21" ht="14.4" customHeight="1" x14ac:dyDescent="0.3">
      <c r="A201" s="660">
        <v>50</v>
      </c>
      <c r="B201" s="661" t="s">
        <v>553</v>
      </c>
      <c r="C201" s="661">
        <v>89301501</v>
      </c>
      <c r="D201" s="740" t="s">
        <v>2563</v>
      </c>
      <c r="E201" s="741" t="s">
        <v>1925</v>
      </c>
      <c r="F201" s="661" t="s">
        <v>1907</v>
      </c>
      <c r="G201" s="661" t="s">
        <v>2177</v>
      </c>
      <c r="H201" s="661" t="s">
        <v>995</v>
      </c>
      <c r="I201" s="661" t="s">
        <v>2183</v>
      </c>
      <c r="J201" s="661" t="s">
        <v>1072</v>
      </c>
      <c r="K201" s="661" t="s">
        <v>2184</v>
      </c>
      <c r="L201" s="662">
        <v>277.12</v>
      </c>
      <c r="M201" s="662">
        <v>277.12</v>
      </c>
      <c r="N201" s="661">
        <v>1</v>
      </c>
      <c r="O201" s="742">
        <v>0.5</v>
      </c>
      <c r="P201" s="662"/>
      <c r="Q201" s="677">
        <v>0</v>
      </c>
      <c r="R201" s="661"/>
      <c r="S201" s="677">
        <v>0</v>
      </c>
      <c r="T201" s="742"/>
      <c r="U201" s="700">
        <v>0</v>
      </c>
    </row>
    <row r="202" spans="1:21" ht="14.4" customHeight="1" x14ac:dyDescent="0.3">
      <c r="A202" s="660">
        <v>50</v>
      </c>
      <c r="B202" s="661" t="s">
        <v>553</v>
      </c>
      <c r="C202" s="661">
        <v>89301501</v>
      </c>
      <c r="D202" s="740" t="s">
        <v>2563</v>
      </c>
      <c r="E202" s="741" t="s">
        <v>1925</v>
      </c>
      <c r="F202" s="661" t="s">
        <v>1907</v>
      </c>
      <c r="G202" s="661" t="s">
        <v>2185</v>
      </c>
      <c r="H202" s="661" t="s">
        <v>554</v>
      </c>
      <c r="I202" s="661" t="s">
        <v>2186</v>
      </c>
      <c r="J202" s="661" t="s">
        <v>2187</v>
      </c>
      <c r="K202" s="661" t="s">
        <v>2188</v>
      </c>
      <c r="L202" s="662">
        <v>161.66</v>
      </c>
      <c r="M202" s="662">
        <v>161.66</v>
      </c>
      <c r="N202" s="661">
        <v>1</v>
      </c>
      <c r="O202" s="742">
        <v>0.5</v>
      </c>
      <c r="P202" s="662"/>
      <c r="Q202" s="677">
        <v>0</v>
      </c>
      <c r="R202" s="661"/>
      <c r="S202" s="677">
        <v>0</v>
      </c>
      <c r="T202" s="742"/>
      <c r="U202" s="700">
        <v>0</v>
      </c>
    </row>
    <row r="203" spans="1:21" ht="14.4" customHeight="1" x14ac:dyDescent="0.3">
      <c r="A203" s="660">
        <v>50</v>
      </c>
      <c r="B203" s="661" t="s">
        <v>553</v>
      </c>
      <c r="C203" s="661">
        <v>89301501</v>
      </c>
      <c r="D203" s="740" t="s">
        <v>2563</v>
      </c>
      <c r="E203" s="741" t="s">
        <v>1925</v>
      </c>
      <c r="F203" s="661" t="s">
        <v>1907</v>
      </c>
      <c r="G203" s="661" t="s">
        <v>1978</v>
      </c>
      <c r="H203" s="661" t="s">
        <v>554</v>
      </c>
      <c r="I203" s="661" t="s">
        <v>687</v>
      </c>
      <c r="J203" s="661" t="s">
        <v>688</v>
      </c>
      <c r="K203" s="661" t="s">
        <v>2189</v>
      </c>
      <c r="L203" s="662">
        <v>152.33000000000001</v>
      </c>
      <c r="M203" s="662">
        <v>152.33000000000001</v>
      </c>
      <c r="N203" s="661">
        <v>1</v>
      </c>
      <c r="O203" s="742">
        <v>1</v>
      </c>
      <c r="P203" s="662"/>
      <c r="Q203" s="677">
        <v>0</v>
      </c>
      <c r="R203" s="661"/>
      <c r="S203" s="677">
        <v>0</v>
      </c>
      <c r="T203" s="742"/>
      <c r="U203" s="700">
        <v>0</v>
      </c>
    </row>
    <row r="204" spans="1:21" ht="14.4" customHeight="1" x14ac:dyDescent="0.3">
      <c r="A204" s="660">
        <v>50</v>
      </c>
      <c r="B204" s="661" t="s">
        <v>553</v>
      </c>
      <c r="C204" s="661">
        <v>89301502</v>
      </c>
      <c r="D204" s="740" t="s">
        <v>2564</v>
      </c>
      <c r="E204" s="741" t="s">
        <v>1914</v>
      </c>
      <c r="F204" s="661" t="s">
        <v>1907</v>
      </c>
      <c r="G204" s="661" t="s">
        <v>1953</v>
      </c>
      <c r="H204" s="661" t="s">
        <v>554</v>
      </c>
      <c r="I204" s="661" t="s">
        <v>2002</v>
      </c>
      <c r="J204" s="661" t="s">
        <v>1955</v>
      </c>
      <c r="K204" s="661" t="s">
        <v>2003</v>
      </c>
      <c r="L204" s="662">
        <v>0</v>
      </c>
      <c r="M204" s="662">
        <v>0</v>
      </c>
      <c r="N204" s="661">
        <v>1</v>
      </c>
      <c r="O204" s="742">
        <v>1</v>
      </c>
      <c r="P204" s="662"/>
      <c r="Q204" s="677"/>
      <c r="R204" s="661"/>
      <c r="S204" s="677">
        <v>0</v>
      </c>
      <c r="T204" s="742"/>
      <c r="U204" s="700">
        <v>0</v>
      </c>
    </row>
    <row r="205" spans="1:21" ht="14.4" customHeight="1" x14ac:dyDescent="0.3">
      <c r="A205" s="660">
        <v>50</v>
      </c>
      <c r="B205" s="661" t="s">
        <v>553</v>
      </c>
      <c r="C205" s="661">
        <v>89301502</v>
      </c>
      <c r="D205" s="740" t="s">
        <v>2564</v>
      </c>
      <c r="E205" s="741" t="s">
        <v>1915</v>
      </c>
      <c r="F205" s="661" t="s">
        <v>1907</v>
      </c>
      <c r="G205" s="661" t="s">
        <v>2190</v>
      </c>
      <c r="H205" s="661" t="s">
        <v>554</v>
      </c>
      <c r="I205" s="661" t="s">
        <v>2191</v>
      </c>
      <c r="J205" s="661" t="s">
        <v>2192</v>
      </c>
      <c r="K205" s="661" t="s">
        <v>2193</v>
      </c>
      <c r="L205" s="662">
        <v>263.26</v>
      </c>
      <c r="M205" s="662">
        <v>263.26</v>
      </c>
      <c r="N205" s="661">
        <v>1</v>
      </c>
      <c r="O205" s="742">
        <v>1</v>
      </c>
      <c r="P205" s="662">
        <v>263.26</v>
      </c>
      <c r="Q205" s="677">
        <v>1</v>
      </c>
      <c r="R205" s="661">
        <v>1</v>
      </c>
      <c r="S205" s="677">
        <v>1</v>
      </c>
      <c r="T205" s="742">
        <v>1</v>
      </c>
      <c r="U205" s="700">
        <v>1</v>
      </c>
    </row>
    <row r="206" spans="1:21" ht="14.4" customHeight="1" x14ac:dyDescent="0.3">
      <c r="A206" s="660">
        <v>50</v>
      </c>
      <c r="B206" s="661" t="s">
        <v>553</v>
      </c>
      <c r="C206" s="661">
        <v>89301502</v>
      </c>
      <c r="D206" s="740" t="s">
        <v>2564</v>
      </c>
      <c r="E206" s="741" t="s">
        <v>1915</v>
      </c>
      <c r="F206" s="661" t="s">
        <v>1907</v>
      </c>
      <c r="G206" s="661" t="s">
        <v>2194</v>
      </c>
      <c r="H206" s="661" t="s">
        <v>995</v>
      </c>
      <c r="I206" s="661" t="s">
        <v>1081</v>
      </c>
      <c r="J206" s="661" t="s">
        <v>1870</v>
      </c>
      <c r="K206" s="661" t="s">
        <v>1871</v>
      </c>
      <c r="L206" s="662">
        <v>6.68</v>
      </c>
      <c r="M206" s="662">
        <v>40.08</v>
      </c>
      <c r="N206" s="661">
        <v>6</v>
      </c>
      <c r="O206" s="742">
        <v>1.5</v>
      </c>
      <c r="P206" s="662"/>
      <c r="Q206" s="677">
        <v>0</v>
      </c>
      <c r="R206" s="661"/>
      <c r="S206" s="677">
        <v>0</v>
      </c>
      <c r="T206" s="742"/>
      <c r="U206" s="700">
        <v>0</v>
      </c>
    </row>
    <row r="207" spans="1:21" ht="14.4" customHeight="1" x14ac:dyDescent="0.3">
      <c r="A207" s="660">
        <v>50</v>
      </c>
      <c r="B207" s="661" t="s">
        <v>553</v>
      </c>
      <c r="C207" s="661">
        <v>89301502</v>
      </c>
      <c r="D207" s="740" t="s">
        <v>2564</v>
      </c>
      <c r="E207" s="741" t="s">
        <v>1915</v>
      </c>
      <c r="F207" s="661" t="s">
        <v>1907</v>
      </c>
      <c r="G207" s="661" t="s">
        <v>1931</v>
      </c>
      <c r="H207" s="661" t="s">
        <v>995</v>
      </c>
      <c r="I207" s="661" t="s">
        <v>2195</v>
      </c>
      <c r="J207" s="661" t="s">
        <v>1844</v>
      </c>
      <c r="K207" s="661" t="s">
        <v>2196</v>
      </c>
      <c r="L207" s="662">
        <v>416.37</v>
      </c>
      <c r="M207" s="662">
        <v>832.74</v>
      </c>
      <c r="N207" s="661">
        <v>2</v>
      </c>
      <c r="O207" s="742">
        <v>1.5</v>
      </c>
      <c r="P207" s="662"/>
      <c r="Q207" s="677">
        <v>0</v>
      </c>
      <c r="R207" s="661"/>
      <c r="S207" s="677">
        <v>0</v>
      </c>
      <c r="T207" s="742"/>
      <c r="U207" s="700">
        <v>0</v>
      </c>
    </row>
    <row r="208" spans="1:21" ht="14.4" customHeight="1" x14ac:dyDescent="0.3">
      <c r="A208" s="660">
        <v>50</v>
      </c>
      <c r="B208" s="661" t="s">
        <v>553</v>
      </c>
      <c r="C208" s="661">
        <v>89301502</v>
      </c>
      <c r="D208" s="740" t="s">
        <v>2564</v>
      </c>
      <c r="E208" s="741" t="s">
        <v>1915</v>
      </c>
      <c r="F208" s="661" t="s">
        <v>1907</v>
      </c>
      <c r="G208" s="661" t="s">
        <v>1931</v>
      </c>
      <c r="H208" s="661" t="s">
        <v>995</v>
      </c>
      <c r="I208" s="661" t="s">
        <v>1131</v>
      </c>
      <c r="J208" s="661" t="s">
        <v>1845</v>
      </c>
      <c r="K208" s="661" t="s">
        <v>1149</v>
      </c>
      <c r="L208" s="662">
        <v>193.1</v>
      </c>
      <c r="M208" s="662">
        <v>193.1</v>
      </c>
      <c r="N208" s="661">
        <v>1</v>
      </c>
      <c r="O208" s="742">
        <v>0.5</v>
      </c>
      <c r="P208" s="662"/>
      <c r="Q208" s="677">
        <v>0</v>
      </c>
      <c r="R208" s="661"/>
      <c r="S208" s="677">
        <v>0</v>
      </c>
      <c r="T208" s="742"/>
      <c r="U208" s="700">
        <v>0</v>
      </c>
    </row>
    <row r="209" spans="1:21" ht="14.4" customHeight="1" x14ac:dyDescent="0.3">
      <c r="A209" s="660">
        <v>50</v>
      </c>
      <c r="B209" s="661" t="s">
        <v>553</v>
      </c>
      <c r="C209" s="661">
        <v>89301502</v>
      </c>
      <c r="D209" s="740" t="s">
        <v>2564</v>
      </c>
      <c r="E209" s="741" t="s">
        <v>1915</v>
      </c>
      <c r="F209" s="661" t="s">
        <v>1907</v>
      </c>
      <c r="G209" s="661" t="s">
        <v>1931</v>
      </c>
      <c r="H209" s="661" t="s">
        <v>995</v>
      </c>
      <c r="I209" s="661" t="s">
        <v>1992</v>
      </c>
      <c r="J209" s="661" t="s">
        <v>1845</v>
      </c>
      <c r="K209" s="661" t="s">
        <v>1993</v>
      </c>
      <c r="L209" s="662">
        <v>643.69000000000005</v>
      </c>
      <c r="M209" s="662">
        <v>643.69000000000005</v>
      </c>
      <c r="N209" s="661">
        <v>1</v>
      </c>
      <c r="O209" s="742">
        <v>0.5</v>
      </c>
      <c r="P209" s="662">
        <v>643.69000000000005</v>
      </c>
      <c r="Q209" s="677">
        <v>1</v>
      </c>
      <c r="R209" s="661">
        <v>1</v>
      </c>
      <c r="S209" s="677">
        <v>1</v>
      </c>
      <c r="T209" s="742">
        <v>0.5</v>
      </c>
      <c r="U209" s="700">
        <v>1</v>
      </c>
    </row>
    <row r="210" spans="1:21" ht="14.4" customHeight="1" x14ac:dyDescent="0.3">
      <c r="A210" s="660">
        <v>50</v>
      </c>
      <c r="B210" s="661" t="s">
        <v>553</v>
      </c>
      <c r="C210" s="661">
        <v>89301502</v>
      </c>
      <c r="D210" s="740" t="s">
        <v>2564</v>
      </c>
      <c r="E210" s="741" t="s">
        <v>1915</v>
      </c>
      <c r="F210" s="661" t="s">
        <v>1907</v>
      </c>
      <c r="G210" s="661" t="s">
        <v>1926</v>
      </c>
      <c r="H210" s="661" t="s">
        <v>995</v>
      </c>
      <c r="I210" s="661" t="s">
        <v>1048</v>
      </c>
      <c r="J210" s="661" t="s">
        <v>1049</v>
      </c>
      <c r="K210" s="661" t="s">
        <v>1050</v>
      </c>
      <c r="L210" s="662">
        <v>35.11</v>
      </c>
      <c r="M210" s="662">
        <v>351.1</v>
      </c>
      <c r="N210" s="661">
        <v>10</v>
      </c>
      <c r="O210" s="742">
        <v>2.5</v>
      </c>
      <c r="P210" s="662">
        <v>175.55</v>
      </c>
      <c r="Q210" s="677">
        <v>0.5</v>
      </c>
      <c r="R210" s="661">
        <v>5</v>
      </c>
      <c r="S210" s="677">
        <v>0.5</v>
      </c>
      <c r="T210" s="742">
        <v>1</v>
      </c>
      <c r="U210" s="700">
        <v>0.4</v>
      </c>
    </row>
    <row r="211" spans="1:21" ht="14.4" customHeight="1" x14ac:dyDescent="0.3">
      <c r="A211" s="660">
        <v>50</v>
      </c>
      <c r="B211" s="661" t="s">
        <v>553</v>
      </c>
      <c r="C211" s="661">
        <v>89301502</v>
      </c>
      <c r="D211" s="740" t="s">
        <v>2564</v>
      </c>
      <c r="E211" s="741" t="s">
        <v>1915</v>
      </c>
      <c r="F211" s="661" t="s">
        <v>1907</v>
      </c>
      <c r="G211" s="661" t="s">
        <v>1926</v>
      </c>
      <c r="H211" s="661" t="s">
        <v>995</v>
      </c>
      <c r="I211" s="661" t="s">
        <v>1052</v>
      </c>
      <c r="J211" s="661" t="s">
        <v>1053</v>
      </c>
      <c r="K211" s="661" t="s">
        <v>1054</v>
      </c>
      <c r="L211" s="662">
        <v>70.23</v>
      </c>
      <c r="M211" s="662">
        <v>210.69</v>
      </c>
      <c r="N211" s="661">
        <v>3</v>
      </c>
      <c r="O211" s="742">
        <v>1</v>
      </c>
      <c r="P211" s="662"/>
      <c r="Q211" s="677">
        <v>0</v>
      </c>
      <c r="R211" s="661"/>
      <c r="S211" s="677">
        <v>0</v>
      </c>
      <c r="T211" s="742"/>
      <c r="U211" s="700">
        <v>0</v>
      </c>
    </row>
    <row r="212" spans="1:21" ht="14.4" customHeight="1" x14ac:dyDescent="0.3">
      <c r="A212" s="660">
        <v>50</v>
      </c>
      <c r="B212" s="661" t="s">
        <v>553</v>
      </c>
      <c r="C212" s="661">
        <v>89301502</v>
      </c>
      <c r="D212" s="740" t="s">
        <v>2564</v>
      </c>
      <c r="E212" s="741" t="s">
        <v>1915</v>
      </c>
      <c r="F212" s="661" t="s">
        <v>1907</v>
      </c>
      <c r="G212" s="661" t="s">
        <v>2197</v>
      </c>
      <c r="H212" s="661" t="s">
        <v>554</v>
      </c>
      <c r="I212" s="661" t="s">
        <v>2198</v>
      </c>
      <c r="J212" s="661" t="s">
        <v>2199</v>
      </c>
      <c r="K212" s="661" t="s">
        <v>2200</v>
      </c>
      <c r="L212" s="662">
        <v>35.11</v>
      </c>
      <c r="M212" s="662">
        <v>70.22</v>
      </c>
      <c r="N212" s="661">
        <v>2</v>
      </c>
      <c r="O212" s="742">
        <v>0.5</v>
      </c>
      <c r="P212" s="662"/>
      <c r="Q212" s="677">
        <v>0</v>
      </c>
      <c r="R212" s="661"/>
      <c r="S212" s="677">
        <v>0</v>
      </c>
      <c r="T212" s="742"/>
      <c r="U212" s="700">
        <v>0</v>
      </c>
    </row>
    <row r="213" spans="1:21" ht="14.4" customHeight="1" x14ac:dyDescent="0.3">
      <c r="A213" s="660">
        <v>50</v>
      </c>
      <c r="B213" s="661" t="s">
        <v>553</v>
      </c>
      <c r="C213" s="661">
        <v>89301502</v>
      </c>
      <c r="D213" s="740" t="s">
        <v>2564</v>
      </c>
      <c r="E213" s="741" t="s">
        <v>1915</v>
      </c>
      <c r="F213" s="661" t="s">
        <v>1907</v>
      </c>
      <c r="G213" s="661" t="s">
        <v>2201</v>
      </c>
      <c r="H213" s="661" t="s">
        <v>554</v>
      </c>
      <c r="I213" s="661" t="s">
        <v>2202</v>
      </c>
      <c r="J213" s="661" t="s">
        <v>2203</v>
      </c>
      <c r="K213" s="661" t="s">
        <v>2204</v>
      </c>
      <c r="L213" s="662">
        <v>0</v>
      </c>
      <c r="M213" s="662">
        <v>0</v>
      </c>
      <c r="N213" s="661">
        <v>1</v>
      </c>
      <c r="O213" s="742">
        <v>1</v>
      </c>
      <c r="P213" s="662">
        <v>0</v>
      </c>
      <c r="Q213" s="677"/>
      <c r="R213" s="661">
        <v>1</v>
      </c>
      <c r="S213" s="677">
        <v>1</v>
      </c>
      <c r="T213" s="742">
        <v>1</v>
      </c>
      <c r="U213" s="700">
        <v>1</v>
      </c>
    </row>
    <row r="214" spans="1:21" ht="14.4" customHeight="1" x14ac:dyDescent="0.3">
      <c r="A214" s="660">
        <v>50</v>
      </c>
      <c r="B214" s="661" t="s">
        <v>553</v>
      </c>
      <c r="C214" s="661">
        <v>89301502</v>
      </c>
      <c r="D214" s="740" t="s">
        <v>2564</v>
      </c>
      <c r="E214" s="741" t="s">
        <v>1915</v>
      </c>
      <c r="F214" s="661" t="s">
        <v>1907</v>
      </c>
      <c r="G214" s="661" t="s">
        <v>2205</v>
      </c>
      <c r="H214" s="661" t="s">
        <v>554</v>
      </c>
      <c r="I214" s="661" t="s">
        <v>2206</v>
      </c>
      <c r="J214" s="661" t="s">
        <v>2207</v>
      </c>
      <c r="K214" s="661" t="s">
        <v>2208</v>
      </c>
      <c r="L214" s="662">
        <v>35.29</v>
      </c>
      <c r="M214" s="662">
        <v>105.87</v>
      </c>
      <c r="N214" s="661">
        <v>3</v>
      </c>
      <c r="O214" s="742">
        <v>0.5</v>
      </c>
      <c r="P214" s="662"/>
      <c r="Q214" s="677">
        <v>0</v>
      </c>
      <c r="R214" s="661"/>
      <c r="S214" s="677">
        <v>0</v>
      </c>
      <c r="T214" s="742"/>
      <c r="U214" s="700">
        <v>0</v>
      </c>
    </row>
    <row r="215" spans="1:21" ht="14.4" customHeight="1" x14ac:dyDescent="0.3">
      <c r="A215" s="660">
        <v>50</v>
      </c>
      <c r="B215" s="661" t="s">
        <v>553</v>
      </c>
      <c r="C215" s="661">
        <v>89301502</v>
      </c>
      <c r="D215" s="740" t="s">
        <v>2564</v>
      </c>
      <c r="E215" s="741" t="s">
        <v>1915</v>
      </c>
      <c r="F215" s="661" t="s">
        <v>1907</v>
      </c>
      <c r="G215" s="661" t="s">
        <v>2045</v>
      </c>
      <c r="H215" s="661" t="s">
        <v>554</v>
      </c>
      <c r="I215" s="661" t="s">
        <v>2160</v>
      </c>
      <c r="J215" s="661" t="s">
        <v>2161</v>
      </c>
      <c r="K215" s="661" t="s">
        <v>1971</v>
      </c>
      <c r="L215" s="662">
        <v>45.86</v>
      </c>
      <c r="M215" s="662">
        <v>91.72</v>
      </c>
      <c r="N215" s="661">
        <v>2</v>
      </c>
      <c r="O215" s="742">
        <v>1</v>
      </c>
      <c r="P215" s="662"/>
      <c r="Q215" s="677">
        <v>0</v>
      </c>
      <c r="R215" s="661"/>
      <c r="S215" s="677">
        <v>0</v>
      </c>
      <c r="T215" s="742"/>
      <c r="U215" s="700">
        <v>0</v>
      </c>
    </row>
    <row r="216" spans="1:21" ht="14.4" customHeight="1" x14ac:dyDescent="0.3">
      <c r="A216" s="660">
        <v>50</v>
      </c>
      <c r="B216" s="661" t="s">
        <v>553</v>
      </c>
      <c r="C216" s="661">
        <v>89301502</v>
      </c>
      <c r="D216" s="740" t="s">
        <v>2564</v>
      </c>
      <c r="E216" s="741" t="s">
        <v>1915</v>
      </c>
      <c r="F216" s="661" t="s">
        <v>1907</v>
      </c>
      <c r="G216" s="661" t="s">
        <v>2045</v>
      </c>
      <c r="H216" s="661" t="s">
        <v>554</v>
      </c>
      <c r="I216" s="661" t="s">
        <v>2114</v>
      </c>
      <c r="J216" s="661" t="s">
        <v>2047</v>
      </c>
      <c r="K216" s="661" t="s">
        <v>2115</v>
      </c>
      <c r="L216" s="662">
        <v>45.86</v>
      </c>
      <c r="M216" s="662">
        <v>137.57999999999998</v>
      </c>
      <c r="N216" s="661">
        <v>3</v>
      </c>
      <c r="O216" s="742">
        <v>1</v>
      </c>
      <c r="P216" s="662"/>
      <c r="Q216" s="677">
        <v>0</v>
      </c>
      <c r="R216" s="661"/>
      <c r="S216" s="677">
        <v>0</v>
      </c>
      <c r="T216" s="742"/>
      <c r="U216" s="700">
        <v>0</v>
      </c>
    </row>
    <row r="217" spans="1:21" ht="14.4" customHeight="1" x14ac:dyDescent="0.3">
      <c r="A217" s="660">
        <v>50</v>
      </c>
      <c r="B217" s="661" t="s">
        <v>553</v>
      </c>
      <c r="C217" s="661">
        <v>89301502</v>
      </c>
      <c r="D217" s="740" t="s">
        <v>2564</v>
      </c>
      <c r="E217" s="741" t="s">
        <v>1915</v>
      </c>
      <c r="F217" s="661" t="s">
        <v>1907</v>
      </c>
      <c r="G217" s="661" t="s">
        <v>2209</v>
      </c>
      <c r="H217" s="661" t="s">
        <v>554</v>
      </c>
      <c r="I217" s="661" t="s">
        <v>1370</v>
      </c>
      <c r="J217" s="661" t="s">
        <v>1371</v>
      </c>
      <c r="K217" s="661" t="s">
        <v>2210</v>
      </c>
      <c r="L217" s="662">
        <v>60.9</v>
      </c>
      <c r="M217" s="662">
        <v>60.9</v>
      </c>
      <c r="N217" s="661">
        <v>1</v>
      </c>
      <c r="O217" s="742">
        <v>0.5</v>
      </c>
      <c r="P217" s="662"/>
      <c r="Q217" s="677">
        <v>0</v>
      </c>
      <c r="R217" s="661"/>
      <c r="S217" s="677">
        <v>0</v>
      </c>
      <c r="T217" s="742"/>
      <c r="U217" s="700">
        <v>0</v>
      </c>
    </row>
    <row r="218" spans="1:21" ht="14.4" customHeight="1" x14ac:dyDescent="0.3">
      <c r="A218" s="660">
        <v>50</v>
      </c>
      <c r="B218" s="661" t="s">
        <v>553</v>
      </c>
      <c r="C218" s="661">
        <v>89301502</v>
      </c>
      <c r="D218" s="740" t="s">
        <v>2564</v>
      </c>
      <c r="E218" s="741" t="s">
        <v>1915</v>
      </c>
      <c r="F218" s="661" t="s">
        <v>1907</v>
      </c>
      <c r="G218" s="661" t="s">
        <v>2211</v>
      </c>
      <c r="H218" s="661" t="s">
        <v>554</v>
      </c>
      <c r="I218" s="661" t="s">
        <v>2212</v>
      </c>
      <c r="J218" s="661" t="s">
        <v>2213</v>
      </c>
      <c r="K218" s="661" t="s">
        <v>2214</v>
      </c>
      <c r="L218" s="662">
        <v>0</v>
      </c>
      <c r="M218" s="662">
        <v>0</v>
      </c>
      <c r="N218" s="661">
        <v>3</v>
      </c>
      <c r="O218" s="742">
        <v>1</v>
      </c>
      <c r="P218" s="662"/>
      <c r="Q218" s="677"/>
      <c r="R218" s="661"/>
      <c r="S218" s="677">
        <v>0</v>
      </c>
      <c r="T218" s="742"/>
      <c r="U218" s="700">
        <v>0</v>
      </c>
    </row>
    <row r="219" spans="1:21" ht="14.4" customHeight="1" x14ac:dyDescent="0.3">
      <c r="A219" s="660">
        <v>50</v>
      </c>
      <c r="B219" s="661" t="s">
        <v>553</v>
      </c>
      <c r="C219" s="661">
        <v>89301502</v>
      </c>
      <c r="D219" s="740" t="s">
        <v>2564</v>
      </c>
      <c r="E219" s="741" t="s">
        <v>1915</v>
      </c>
      <c r="F219" s="661" t="s">
        <v>1907</v>
      </c>
      <c r="G219" s="661" t="s">
        <v>2215</v>
      </c>
      <c r="H219" s="661" t="s">
        <v>554</v>
      </c>
      <c r="I219" s="661" t="s">
        <v>2216</v>
      </c>
      <c r="J219" s="661" t="s">
        <v>2217</v>
      </c>
      <c r="K219" s="661" t="s">
        <v>2218</v>
      </c>
      <c r="L219" s="662">
        <v>166.1</v>
      </c>
      <c r="M219" s="662">
        <v>664.4</v>
      </c>
      <c r="N219" s="661">
        <v>4</v>
      </c>
      <c r="O219" s="742">
        <v>0.5</v>
      </c>
      <c r="P219" s="662"/>
      <c r="Q219" s="677">
        <v>0</v>
      </c>
      <c r="R219" s="661"/>
      <c r="S219" s="677">
        <v>0</v>
      </c>
      <c r="T219" s="742"/>
      <c r="U219" s="700">
        <v>0</v>
      </c>
    </row>
    <row r="220" spans="1:21" ht="14.4" customHeight="1" x14ac:dyDescent="0.3">
      <c r="A220" s="660">
        <v>50</v>
      </c>
      <c r="B220" s="661" t="s">
        <v>553</v>
      </c>
      <c r="C220" s="661">
        <v>89301502</v>
      </c>
      <c r="D220" s="740" t="s">
        <v>2564</v>
      </c>
      <c r="E220" s="741" t="s">
        <v>1915</v>
      </c>
      <c r="F220" s="661" t="s">
        <v>1907</v>
      </c>
      <c r="G220" s="661" t="s">
        <v>1927</v>
      </c>
      <c r="H220" s="661" t="s">
        <v>995</v>
      </c>
      <c r="I220" s="661" t="s">
        <v>1164</v>
      </c>
      <c r="J220" s="661" t="s">
        <v>1165</v>
      </c>
      <c r="K220" s="661" t="s">
        <v>1166</v>
      </c>
      <c r="L220" s="662">
        <v>93.43</v>
      </c>
      <c r="M220" s="662">
        <v>93.43</v>
      </c>
      <c r="N220" s="661">
        <v>1</v>
      </c>
      <c r="O220" s="742">
        <v>0.5</v>
      </c>
      <c r="P220" s="662"/>
      <c r="Q220" s="677">
        <v>0</v>
      </c>
      <c r="R220" s="661"/>
      <c r="S220" s="677">
        <v>0</v>
      </c>
      <c r="T220" s="742"/>
      <c r="U220" s="700">
        <v>0</v>
      </c>
    </row>
    <row r="221" spans="1:21" ht="14.4" customHeight="1" x14ac:dyDescent="0.3">
      <c r="A221" s="660">
        <v>50</v>
      </c>
      <c r="B221" s="661" t="s">
        <v>553</v>
      </c>
      <c r="C221" s="661">
        <v>89301502</v>
      </c>
      <c r="D221" s="740" t="s">
        <v>2564</v>
      </c>
      <c r="E221" s="741" t="s">
        <v>1915</v>
      </c>
      <c r="F221" s="661" t="s">
        <v>1907</v>
      </c>
      <c r="G221" s="661" t="s">
        <v>1953</v>
      </c>
      <c r="H221" s="661" t="s">
        <v>554</v>
      </c>
      <c r="I221" s="661" t="s">
        <v>1954</v>
      </c>
      <c r="J221" s="661" t="s">
        <v>1955</v>
      </c>
      <c r="K221" s="661" t="s">
        <v>1956</v>
      </c>
      <c r="L221" s="662">
        <v>0</v>
      </c>
      <c r="M221" s="662">
        <v>0</v>
      </c>
      <c r="N221" s="661">
        <v>7</v>
      </c>
      <c r="O221" s="742">
        <v>1.5</v>
      </c>
      <c r="P221" s="662">
        <v>0</v>
      </c>
      <c r="Q221" s="677"/>
      <c r="R221" s="661">
        <v>3</v>
      </c>
      <c r="S221" s="677">
        <v>0.42857142857142855</v>
      </c>
      <c r="T221" s="742">
        <v>0.5</v>
      </c>
      <c r="U221" s="700">
        <v>0.33333333333333331</v>
      </c>
    </row>
    <row r="222" spans="1:21" ht="14.4" customHeight="1" x14ac:dyDescent="0.3">
      <c r="A222" s="660">
        <v>50</v>
      </c>
      <c r="B222" s="661" t="s">
        <v>553</v>
      </c>
      <c r="C222" s="661">
        <v>89301502</v>
      </c>
      <c r="D222" s="740" t="s">
        <v>2564</v>
      </c>
      <c r="E222" s="741" t="s">
        <v>1915</v>
      </c>
      <c r="F222" s="661" t="s">
        <v>1907</v>
      </c>
      <c r="G222" s="661" t="s">
        <v>1953</v>
      </c>
      <c r="H222" s="661" t="s">
        <v>554</v>
      </c>
      <c r="I222" s="661" t="s">
        <v>2000</v>
      </c>
      <c r="J222" s="661" t="s">
        <v>827</v>
      </c>
      <c r="K222" s="661" t="s">
        <v>2001</v>
      </c>
      <c r="L222" s="662">
        <v>52.75</v>
      </c>
      <c r="M222" s="662">
        <v>52.75</v>
      </c>
      <c r="N222" s="661">
        <v>1</v>
      </c>
      <c r="O222" s="742">
        <v>0.5</v>
      </c>
      <c r="P222" s="662">
        <v>52.75</v>
      </c>
      <c r="Q222" s="677">
        <v>1</v>
      </c>
      <c r="R222" s="661">
        <v>1</v>
      </c>
      <c r="S222" s="677">
        <v>1</v>
      </c>
      <c r="T222" s="742">
        <v>0.5</v>
      </c>
      <c r="U222" s="700">
        <v>1</v>
      </c>
    </row>
    <row r="223" spans="1:21" ht="14.4" customHeight="1" x14ac:dyDescent="0.3">
      <c r="A223" s="660">
        <v>50</v>
      </c>
      <c r="B223" s="661" t="s">
        <v>553</v>
      </c>
      <c r="C223" s="661">
        <v>89301502</v>
      </c>
      <c r="D223" s="740" t="s">
        <v>2564</v>
      </c>
      <c r="E223" s="741" t="s">
        <v>1915</v>
      </c>
      <c r="F223" s="661" t="s">
        <v>1907</v>
      </c>
      <c r="G223" s="661" t="s">
        <v>1957</v>
      </c>
      <c r="H223" s="661" t="s">
        <v>554</v>
      </c>
      <c r="I223" s="661" t="s">
        <v>2219</v>
      </c>
      <c r="J223" s="661" t="s">
        <v>2066</v>
      </c>
      <c r="K223" s="661" t="s">
        <v>2220</v>
      </c>
      <c r="L223" s="662">
        <v>38.04</v>
      </c>
      <c r="M223" s="662">
        <v>38.04</v>
      </c>
      <c r="N223" s="661">
        <v>1</v>
      </c>
      <c r="O223" s="742">
        <v>1</v>
      </c>
      <c r="P223" s="662"/>
      <c r="Q223" s="677">
        <v>0</v>
      </c>
      <c r="R223" s="661"/>
      <c r="S223" s="677">
        <v>0</v>
      </c>
      <c r="T223" s="742"/>
      <c r="U223" s="700">
        <v>0</v>
      </c>
    </row>
    <row r="224" spans="1:21" ht="14.4" customHeight="1" x14ac:dyDescent="0.3">
      <c r="A224" s="660">
        <v>50</v>
      </c>
      <c r="B224" s="661" t="s">
        <v>553</v>
      </c>
      <c r="C224" s="661">
        <v>89301502</v>
      </c>
      <c r="D224" s="740" t="s">
        <v>2564</v>
      </c>
      <c r="E224" s="741" t="s">
        <v>1915</v>
      </c>
      <c r="F224" s="661" t="s">
        <v>1907</v>
      </c>
      <c r="G224" s="661" t="s">
        <v>1957</v>
      </c>
      <c r="H224" s="661" t="s">
        <v>554</v>
      </c>
      <c r="I224" s="661" t="s">
        <v>2006</v>
      </c>
      <c r="J224" s="661" t="s">
        <v>2007</v>
      </c>
      <c r="K224" s="661" t="s">
        <v>2008</v>
      </c>
      <c r="L224" s="662">
        <v>117.03</v>
      </c>
      <c r="M224" s="662">
        <v>117.03</v>
      </c>
      <c r="N224" s="661">
        <v>1</v>
      </c>
      <c r="O224" s="742">
        <v>0.5</v>
      </c>
      <c r="P224" s="662"/>
      <c r="Q224" s="677">
        <v>0</v>
      </c>
      <c r="R224" s="661"/>
      <c r="S224" s="677">
        <v>0</v>
      </c>
      <c r="T224" s="742"/>
      <c r="U224" s="700">
        <v>0</v>
      </c>
    </row>
    <row r="225" spans="1:21" ht="14.4" customHeight="1" x14ac:dyDescent="0.3">
      <c r="A225" s="660">
        <v>50</v>
      </c>
      <c r="B225" s="661" t="s">
        <v>553</v>
      </c>
      <c r="C225" s="661">
        <v>89301502</v>
      </c>
      <c r="D225" s="740" t="s">
        <v>2564</v>
      </c>
      <c r="E225" s="741" t="s">
        <v>1915</v>
      </c>
      <c r="F225" s="661" t="s">
        <v>1907</v>
      </c>
      <c r="G225" s="661" t="s">
        <v>1957</v>
      </c>
      <c r="H225" s="661" t="s">
        <v>554</v>
      </c>
      <c r="I225" s="661" t="s">
        <v>728</v>
      </c>
      <c r="J225" s="661" t="s">
        <v>2221</v>
      </c>
      <c r="K225" s="661" t="s">
        <v>2222</v>
      </c>
      <c r="L225" s="662">
        <v>17.559999999999999</v>
      </c>
      <c r="M225" s="662">
        <v>70.239999999999995</v>
      </c>
      <c r="N225" s="661">
        <v>4</v>
      </c>
      <c r="O225" s="742">
        <v>1</v>
      </c>
      <c r="P225" s="662"/>
      <c r="Q225" s="677">
        <v>0</v>
      </c>
      <c r="R225" s="661"/>
      <c r="S225" s="677">
        <v>0</v>
      </c>
      <c r="T225" s="742"/>
      <c r="U225" s="700">
        <v>0</v>
      </c>
    </row>
    <row r="226" spans="1:21" ht="14.4" customHeight="1" x14ac:dyDescent="0.3">
      <c r="A226" s="660">
        <v>50</v>
      </c>
      <c r="B226" s="661" t="s">
        <v>553</v>
      </c>
      <c r="C226" s="661">
        <v>89301502</v>
      </c>
      <c r="D226" s="740" t="s">
        <v>2564</v>
      </c>
      <c r="E226" s="741" t="s">
        <v>1915</v>
      </c>
      <c r="F226" s="661" t="s">
        <v>1907</v>
      </c>
      <c r="G226" s="661" t="s">
        <v>2177</v>
      </c>
      <c r="H226" s="661" t="s">
        <v>995</v>
      </c>
      <c r="I226" s="661" t="s">
        <v>2178</v>
      </c>
      <c r="J226" s="661" t="s">
        <v>1072</v>
      </c>
      <c r="K226" s="661" t="s">
        <v>1042</v>
      </c>
      <c r="L226" s="662">
        <v>2309.36</v>
      </c>
      <c r="M226" s="662">
        <v>2309.36</v>
      </c>
      <c r="N226" s="661">
        <v>1</v>
      </c>
      <c r="O226" s="742">
        <v>0.5</v>
      </c>
      <c r="P226" s="662"/>
      <c r="Q226" s="677">
        <v>0</v>
      </c>
      <c r="R226" s="661"/>
      <c r="S226" s="677">
        <v>0</v>
      </c>
      <c r="T226" s="742"/>
      <c r="U226" s="700">
        <v>0</v>
      </c>
    </row>
    <row r="227" spans="1:21" ht="14.4" customHeight="1" x14ac:dyDescent="0.3">
      <c r="A227" s="660">
        <v>50</v>
      </c>
      <c r="B227" s="661" t="s">
        <v>553</v>
      </c>
      <c r="C227" s="661">
        <v>89301502</v>
      </c>
      <c r="D227" s="740" t="s">
        <v>2564</v>
      </c>
      <c r="E227" s="741" t="s">
        <v>1915</v>
      </c>
      <c r="F227" s="661" t="s">
        <v>1907</v>
      </c>
      <c r="G227" s="661" t="s">
        <v>1961</v>
      </c>
      <c r="H227" s="661" t="s">
        <v>995</v>
      </c>
      <c r="I227" s="661" t="s">
        <v>1139</v>
      </c>
      <c r="J227" s="661" t="s">
        <v>1140</v>
      </c>
      <c r="K227" s="661" t="s">
        <v>1141</v>
      </c>
      <c r="L227" s="662">
        <v>52.97</v>
      </c>
      <c r="M227" s="662">
        <v>370.78999999999996</v>
      </c>
      <c r="N227" s="661">
        <v>7</v>
      </c>
      <c r="O227" s="742">
        <v>2</v>
      </c>
      <c r="P227" s="662">
        <v>211.88</v>
      </c>
      <c r="Q227" s="677">
        <v>0.57142857142857151</v>
      </c>
      <c r="R227" s="661">
        <v>4</v>
      </c>
      <c r="S227" s="677">
        <v>0.5714285714285714</v>
      </c>
      <c r="T227" s="742">
        <v>1.5</v>
      </c>
      <c r="U227" s="700">
        <v>0.75</v>
      </c>
    </row>
    <row r="228" spans="1:21" ht="14.4" customHeight="1" x14ac:dyDescent="0.3">
      <c r="A228" s="660">
        <v>50</v>
      </c>
      <c r="B228" s="661" t="s">
        <v>553</v>
      </c>
      <c r="C228" s="661">
        <v>89301502</v>
      </c>
      <c r="D228" s="740" t="s">
        <v>2564</v>
      </c>
      <c r="E228" s="741" t="s">
        <v>1915</v>
      </c>
      <c r="F228" s="661" t="s">
        <v>1907</v>
      </c>
      <c r="G228" s="661" t="s">
        <v>2128</v>
      </c>
      <c r="H228" s="661" t="s">
        <v>995</v>
      </c>
      <c r="I228" s="661" t="s">
        <v>1157</v>
      </c>
      <c r="J228" s="661" t="s">
        <v>1057</v>
      </c>
      <c r="K228" s="661" t="s">
        <v>1812</v>
      </c>
      <c r="L228" s="662">
        <v>334.66</v>
      </c>
      <c r="M228" s="662">
        <v>334.66</v>
      </c>
      <c r="N228" s="661">
        <v>1</v>
      </c>
      <c r="O228" s="742">
        <v>0.5</v>
      </c>
      <c r="P228" s="662">
        <v>334.66</v>
      </c>
      <c r="Q228" s="677">
        <v>1</v>
      </c>
      <c r="R228" s="661">
        <v>1</v>
      </c>
      <c r="S228" s="677">
        <v>1</v>
      </c>
      <c r="T228" s="742">
        <v>0.5</v>
      </c>
      <c r="U228" s="700">
        <v>1</v>
      </c>
    </row>
    <row r="229" spans="1:21" ht="14.4" customHeight="1" x14ac:dyDescent="0.3">
      <c r="A229" s="660">
        <v>50</v>
      </c>
      <c r="B229" s="661" t="s">
        <v>553</v>
      </c>
      <c r="C229" s="661">
        <v>89301502</v>
      </c>
      <c r="D229" s="740" t="s">
        <v>2564</v>
      </c>
      <c r="E229" s="741" t="s">
        <v>1915</v>
      </c>
      <c r="F229" s="661" t="s">
        <v>1907</v>
      </c>
      <c r="G229" s="661" t="s">
        <v>2185</v>
      </c>
      <c r="H229" s="661" t="s">
        <v>554</v>
      </c>
      <c r="I229" s="661" t="s">
        <v>2186</v>
      </c>
      <c r="J229" s="661" t="s">
        <v>2187</v>
      </c>
      <c r="K229" s="661" t="s">
        <v>2188</v>
      </c>
      <c r="L229" s="662">
        <v>161.66</v>
      </c>
      <c r="M229" s="662">
        <v>161.66</v>
      </c>
      <c r="N229" s="661">
        <v>1</v>
      </c>
      <c r="O229" s="742">
        <v>0.5</v>
      </c>
      <c r="P229" s="662"/>
      <c r="Q229" s="677">
        <v>0</v>
      </c>
      <c r="R229" s="661"/>
      <c r="S229" s="677">
        <v>0</v>
      </c>
      <c r="T229" s="742"/>
      <c r="U229" s="700">
        <v>0</v>
      </c>
    </row>
    <row r="230" spans="1:21" ht="14.4" customHeight="1" x14ac:dyDescent="0.3">
      <c r="A230" s="660">
        <v>50</v>
      </c>
      <c r="B230" s="661" t="s">
        <v>553</v>
      </c>
      <c r="C230" s="661">
        <v>89301502</v>
      </c>
      <c r="D230" s="740" t="s">
        <v>2564</v>
      </c>
      <c r="E230" s="741" t="s">
        <v>1915</v>
      </c>
      <c r="F230" s="661" t="s">
        <v>1907</v>
      </c>
      <c r="G230" s="661" t="s">
        <v>1962</v>
      </c>
      <c r="H230" s="661" t="s">
        <v>995</v>
      </c>
      <c r="I230" s="661" t="s">
        <v>2223</v>
      </c>
      <c r="J230" s="661" t="s">
        <v>1965</v>
      </c>
      <c r="K230" s="661" t="s">
        <v>2224</v>
      </c>
      <c r="L230" s="662">
        <v>289.62</v>
      </c>
      <c r="M230" s="662">
        <v>289.62</v>
      </c>
      <c r="N230" s="661">
        <v>1</v>
      </c>
      <c r="O230" s="742">
        <v>0.5</v>
      </c>
      <c r="P230" s="662">
        <v>289.62</v>
      </c>
      <c r="Q230" s="677">
        <v>1</v>
      </c>
      <c r="R230" s="661">
        <v>1</v>
      </c>
      <c r="S230" s="677">
        <v>1</v>
      </c>
      <c r="T230" s="742">
        <v>0.5</v>
      </c>
      <c r="U230" s="700">
        <v>1</v>
      </c>
    </row>
    <row r="231" spans="1:21" ht="14.4" customHeight="1" x14ac:dyDescent="0.3">
      <c r="A231" s="660">
        <v>50</v>
      </c>
      <c r="B231" s="661" t="s">
        <v>553</v>
      </c>
      <c r="C231" s="661">
        <v>89301502</v>
      </c>
      <c r="D231" s="740" t="s">
        <v>2564</v>
      </c>
      <c r="E231" s="741" t="s">
        <v>1915</v>
      </c>
      <c r="F231" s="661" t="s">
        <v>1907</v>
      </c>
      <c r="G231" s="661" t="s">
        <v>2009</v>
      </c>
      <c r="H231" s="661" t="s">
        <v>995</v>
      </c>
      <c r="I231" s="661" t="s">
        <v>2010</v>
      </c>
      <c r="J231" s="661" t="s">
        <v>2011</v>
      </c>
      <c r="K231" s="661" t="s">
        <v>1303</v>
      </c>
      <c r="L231" s="662">
        <v>204.76</v>
      </c>
      <c r="M231" s="662">
        <v>204.76</v>
      </c>
      <c r="N231" s="661">
        <v>1</v>
      </c>
      <c r="O231" s="742">
        <v>0.5</v>
      </c>
      <c r="P231" s="662"/>
      <c r="Q231" s="677">
        <v>0</v>
      </c>
      <c r="R231" s="661"/>
      <c r="S231" s="677">
        <v>0</v>
      </c>
      <c r="T231" s="742"/>
      <c r="U231" s="700">
        <v>0</v>
      </c>
    </row>
    <row r="232" spans="1:21" ht="14.4" customHeight="1" x14ac:dyDescent="0.3">
      <c r="A232" s="660">
        <v>50</v>
      </c>
      <c r="B232" s="661" t="s">
        <v>553</v>
      </c>
      <c r="C232" s="661">
        <v>89301502</v>
      </c>
      <c r="D232" s="740" t="s">
        <v>2564</v>
      </c>
      <c r="E232" s="741" t="s">
        <v>1915</v>
      </c>
      <c r="F232" s="661" t="s">
        <v>1907</v>
      </c>
      <c r="G232" s="661" t="s">
        <v>1966</v>
      </c>
      <c r="H232" s="661" t="s">
        <v>995</v>
      </c>
      <c r="I232" s="661" t="s">
        <v>1135</v>
      </c>
      <c r="J232" s="661" t="s">
        <v>1841</v>
      </c>
      <c r="K232" s="661" t="s">
        <v>1137</v>
      </c>
      <c r="L232" s="662">
        <v>291.82</v>
      </c>
      <c r="M232" s="662">
        <v>291.82</v>
      </c>
      <c r="N232" s="661">
        <v>1</v>
      </c>
      <c r="O232" s="742">
        <v>0.5</v>
      </c>
      <c r="P232" s="662">
        <v>291.82</v>
      </c>
      <c r="Q232" s="677">
        <v>1</v>
      </c>
      <c r="R232" s="661">
        <v>1</v>
      </c>
      <c r="S232" s="677">
        <v>1</v>
      </c>
      <c r="T232" s="742">
        <v>0.5</v>
      </c>
      <c r="U232" s="700">
        <v>1</v>
      </c>
    </row>
    <row r="233" spans="1:21" ht="14.4" customHeight="1" x14ac:dyDescent="0.3">
      <c r="A233" s="660">
        <v>50</v>
      </c>
      <c r="B233" s="661" t="s">
        <v>553</v>
      </c>
      <c r="C233" s="661">
        <v>89301502</v>
      </c>
      <c r="D233" s="740" t="s">
        <v>2564</v>
      </c>
      <c r="E233" s="741" t="s">
        <v>1915</v>
      </c>
      <c r="F233" s="661" t="s">
        <v>1907</v>
      </c>
      <c r="G233" s="661" t="s">
        <v>1969</v>
      </c>
      <c r="H233" s="661" t="s">
        <v>995</v>
      </c>
      <c r="I233" s="661" t="s">
        <v>1018</v>
      </c>
      <c r="J233" s="661" t="s">
        <v>1838</v>
      </c>
      <c r="K233" s="661" t="s">
        <v>1020</v>
      </c>
      <c r="L233" s="662">
        <v>96.53</v>
      </c>
      <c r="M233" s="662">
        <v>579.18000000000006</v>
      </c>
      <c r="N233" s="661">
        <v>6</v>
      </c>
      <c r="O233" s="742">
        <v>1.5</v>
      </c>
      <c r="P233" s="662">
        <v>579.18000000000006</v>
      </c>
      <c r="Q233" s="677">
        <v>1</v>
      </c>
      <c r="R233" s="661">
        <v>6</v>
      </c>
      <c r="S233" s="677">
        <v>1</v>
      </c>
      <c r="T233" s="742">
        <v>1.5</v>
      </c>
      <c r="U233" s="700">
        <v>1</v>
      </c>
    </row>
    <row r="234" spans="1:21" ht="14.4" customHeight="1" x14ac:dyDescent="0.3">
      <c r="A234" s="660">
        <v>50</v>
      </c>
      <c r="B234" s="661" t="s">
        <v>553</v>
      </c>
      <c r="C234" s="661">
        <v>89301502</v>
      </c>
      <c r="D234" s="740" t="s">
        <v>2564</v>
      </c>
      <c r="E234" s="741" t="s">
        <v>1915</v>
      </c>
      <c r="F234" s="661" t="s">
        <v>1907</v>
      </c>
      <c r="G234" s="661" t="s">
        <v>1969</v>
      </c>
      <c r="H234" s="661" t="s">
        <v>995</v>
      </c>
      <c r="I234" s="661" t="s">
        <v>1970</v>
      </c>
      <c r="J234" s="661" t="s">
        <v>1003</v>
      </c>
      <c r="K234" s="661" t="s">
        <v>1971</v>
      </c>
      <c r="L234" s="662">
        <v>24.14</v>
      </c>
      <c r="M234" s="662">
        <v>72.42</v>
      </c>
      <c r="N234" s="661">
        <v>3</v>
      </c>
      <c r="O234" s="742">
        <v>0.5</v>
      </c>
      <c r="P234" s="662">
        <v>72.42</v>
      </c>
      <c r="Q234" s="677">
        <v>1</v>
      </c>
      <c r="R234" s="661">
        <v>3</v>
      </c>
      <c r="S234" s="677">
        <v>1</v>
      </c>
      <c r="T234" s="742">
        <v>0.5</v>
      </c>
      <c r="U234" s="700">
        <v>1</v>
      </c>
    </row>
    <row r="235" spans="1:21" ht="14.4" customHeight="1" x14ac:dyDescent="0.3">
      <c r="A235" s="660">
        <v>50</v>
      </c>
      <c r="B235" s="661" t="s">
        <v>553</v>
      </c>
      <c r="C235" s="661">
        <v>89301502</v>
      </c>
      <c r="D235" s="740" t="s">
        <v>2564</v>
      </c>
      <c r="E235" s="741" t="s">
        <v>1915</v>
      </c>
      <c r="F235" s="661" t="s">
        <v>1907</v>
      </c>
      <c r="G235" s="661" t="s">
        <v>1969</v>
      </c>
      <c r="H235" s="661" t="s">
        <v>995</v>
      </c>
      <c r="I235" s="661" t="s">
        <v>1063</v>
      </c>
      <c r="J235" s="661" t="s">
        <v>1839</v>
      </c>
      <c r="K235" s="661" t="s">
        <v>836</v>
      </c>
      <c r="L235" s="662">
        <v>48.27</v>
      </c>
      <c r="M235" s="662">
        <v>48.27</v>
      </c>
      <c r="N235" s="661">
        <v>1</v>
      </c>
      <c r="O235" s="742">
        <v>0.5</v>
      </c>
      <c r="P235" s="662"/>
      <c r="Q235" s="677">
        <v>0</v>
      </c>
      <c r="R235" s="661"/>
      <c r="S235" s="677">
        <v>0</v>
      </c>
      <c r="T235" s="742"/>
      <c r="U235" s="700">
        <v>0</v>
      </c>
    </row>
    <row r="236" spans="1:21" ht="14.4" customHeight="1" x14ac:dyDescent="0.3">
      <c r="A236" s="660">
        <v>50</v>
      </c>
      <c r="B236" s="661" t="s">
        <v>553</v>
      </c>
      <c r="C236" s="661">
        <v>89301502</v>
      </c>
      <c r="D236" s="740" t="s">
        <v>2564</v>
      </c>
      <c r="E236" s="741" t="s">
        <v>1915</v>
      </c>
      <c r="F236" s="661" t="s">
        <v>1907</v>
      </c>
      <c r="G236" s="661" t="s">
        <v>2225</v>
      </c>
      <c r="H236" s="661" t="s">
        <v>554</v>
      </c>
      <c r="I236" s="661" t="s">
        <v>2226</v>
      </c>
      <c r="J236" s="661" t="s">
        <v>2227</v>
      </c>
      <c r="K236" s="661" t="s">
        <v>2228</v>
      </c>
      <c r="L236" s="662">
        <v>316.36</v>
      </c>
      <c r="M236" s="662">
        <v>316.36</v>
      </c>
      <c r="N236" s="661">
        <v>1</v>
      </c>
      <c r="O236" s="742">
        <v>0.5</v>
      </c>
      <c r="P236" s="662"/>
      <c r="Q236" s="677">
        <v>0</v>
      </c>
      <c r="R236" s="661"/>
      <c r="S236" s="677">
        <v>0</v>
      </c>
      <c r="T236" s="742"/>
      <c r="U236" s="700">
        <v>0</v>
      </c>
    </row>
    <row r="237" spans="1:21" ht="14.4" customHeight="1" x14ac:dyDescent="0.3">
      <c r="A237" s="660">
        <v>50</v>
      </c>
      <c r="B237" s="661" t="s">
        <v>553</v>
      </c>
      <c r="C237" s="661">
        <v>89301502</v>
      </c>
      <c r="D237" s="740" t="s">
        <v>2564</v>
      </c>
      <c r="E237" s="741" t="s">
        <v>1915</v>
      </c>
      <c r="F237" s="661" t="s">
        <v>1907</v>
      </c>
      <c r="G237" s="661" t="s">
        <v>2084</v>
      </c>
      <c r="H237" s="661" t="s">
        <v>995</v>
      </c>
      <c r="I237" s="661" t="s">
        <v>2229</v>
      </c>
      <c r="J237" s="661" t="s">
        <v>1124</v>
      </c>
      <c r="K237" s="661" t="s">
        <v>2230</v>
      </c>
      <c r="L237" s="662">
        <v>366.53</v>
      </c>
      <c r="M237" s="662">
        <v>366.53</v>
      </c>
      <c r="N237" s="661">
        <v>1</v>
      </c>
      <c r="O237" s="742">
        <v>0.5</v>
      </c>
      <c r="P237" s="662"/>
      <c r="Q237" s="677">
        <v>0</v>
      </c>
      <c r="R237" s="661"/>
      <c r="S237" s="677">
        <v>0</v>
      </c>
      <c r="T237" s="742"/>
      <c r="U237" s="700">
        <v>0</v>
      </c>
    </row>
    <row r="238" spans="1:21" ht="14.4" customHeight="1" x14ac:dyDescent="0.3">
      <c r="A238" s="660">
        <v>50</v>
      </c>
      <c r="B238" s="661" t="s">
        <v>553</v>
      </c>
      <c r="C238" s="661">
        <v>89301502</v>
      </c>
      <c r="D238" s="740" t="s">
        <v>2564</v>
      </c>
      <c r="E238" s="741" t="s">
        <v>1915</v>
      </c>
      <c r="F238" s="661" t="s">
        <v>1907</v>
      </c>
      <c r="G238" s="661" t="s">
        <v>2144</v>
      </c>
      <c r="H238" s="661" t="s">
        <v>554</v>
      </c>
      <c r="I238" s="661" t="s">
        <v>683</v>
      </c>
      <c r="J238" s="661" t="s">
        <v>2146</v>
      </c>
      <c r="K238" s="661" t="s">
        <v>685</v>
      </c>
      <c r="L238" s="662">
        <v>124.3</v>
      </c>
      <c r="M238" s="662">
        <v>372.9</v>
      </c>
      <c r="N238" s="661">
        <v>3</v>
      </c>
      <c r="O238" s="742">
        <v>0.5</v>
      </c>
      <c r="P238" s="662"/>
      <c r="Q238" s="677">
        <v>0</v>
      </c>
      <c r="R238" s="661"/>
      <c r="S238" s="677">
        <v>0</v>
      </c>
      <c r="T238" s="742"/>
      <c r="U238" s="700">
        <v>0</v>
      </c>
    </row>
    <row r="239" spans="1:21" ht="14.4" customHeight="1" x14ac:dyDescent="0.3">
      <c r="A239" s="660">
        <v>50</v>
      </c>
      <c r="B239" s="661" t="s">
        <v>553</v>
      </c>
      <c r="C239" s="661">
        <v>89301502</v>
      </c>
      <c r="D239" s="740" t="s">
        <v>2564</v>
      </c>
      <c r="E239" s="741" t="s">
        <v>1915</v>
      </c>
      <c r="F239" s="661" t="s">
        <v>1907</v>
      </c>
      <c r="G239" s="661" t="s">
        <v>2231</v>
      </c>
      <c r="H239" s="661" t="s">
        <v>554</v>
      </c>
      <c r="I239" s="661" t="s">
        <v>2232</v>
      </c>
      <c r="J239" s="661" t="s">
        <v>2233</v>
      </c>
      <c r="K239" s="661" t="s">
        <v>2234</v>
      </c>
      <c r="L239" s="662">
        <v>55.16</v>
      </c>
      <c r="M239" s="662">
        <v>55.16</v>
      </c>
      <c r="N239" s="661">
        <v>1</v>
      </c>
      <c r="O239" s="742">
        <v>0.5</v>
      </c>
      <c r="P239" s="662"/>
      <c r="Q239" s="677">
        <v>0</v>
      </c>
      <c r="R239" s="661"/>
      <c r="S239" s="677">
        <v>0</v>
      </c>
      <c r="T239" s="742"/>
      <c r="U239" s="700">
        <v>0</v>
      </c>
    </row>
    <row r="240" spans="1:21" ht="14.4" customHeight="1" x14ac:dyDescent="0.3">
      <c r="A240" s="660">
        <v>50</v>
      </c>
      <c r="B240" s="661" t="s">
        <v>553</v>
      </c>
      <c r="C240" s="661">
        <v>89301502</v>
      </c>
      <c r="D240" s="740" t="s">
        <v>2564</v>
      </c>
      <c r="E240" s="741" t="s">
        <v>1915</v>
      </c>
      <c r="F240" s="661" t="s">
        <v>1907</v>
      </c>
      <c r="G240" s="661" t="s">
        <v>2148</v>
      </c>
      <c r="H240" s="661" t="s">
        <v>554</v>
      </c>
      <c r="I240" s="661" t="s">
        <v>2235</v>
      </c>
      <c r="J240" s="661" t="s">
        <v>2236</v>
      </c>
      <c r="K240" s="661" t="s">
        <v>893</v>
      </c>
      <c r="L240" s="662">
        <v>75.22</v>
      </c>
      <c r="M240" s="662">
        <v>75.22</v>
      </c>
      <c r="N240" s="661">
        <v>1</v>
      </c>
      <c r="O240" s="742">
        <v>1</v>
      </c>
      <c r="P240" s="662"/>
      <c r="Q240" s="677">
        <v>0</v>
      </c>
      <c r="R240" s="661"/>
      <c r="S240" s="677">
        <v>0</v>
      </c>
      <c r="T240" s="742"/>
      <c r="U240" s="700">
        <v>0</v>
      </c>
    </row>
    <row r="241" spans="1:21" ht="14.4" customHeight="1" x14ac:dyDescent="0.3">
      <c r="A241" s="660">
        <v>50</v>
      </c>
      <c r="B241" s="661" t="s">
        <v>553</v>
      </c>
      <c r="C241" s="661">
        <v>89301502</v>
      </c>
      <c r="D241" s="740" t="s">
        <v>2564</v>
      </c>
      <c r="E241" s="741" t="s">
        <v>1915</v>
      </c>
      <c r="F241" s="661" t="s">
        <v>1907</v>
      </c>
      <c r="G241" s="661" t="s">
        <v>2237</v>
      </c>
      <c r="H241" s="661" t="s">
        <v>554</v>
      </c>
      <c r="I241" s="661" t="s">
        <v>691</v>
      </c>
      <c r="J241" s="661" t="s">
        <v>692</v>
      </c>
      <c r="K241" s="661" t="s">
        <v>693</v>
      </c>
      <c r="L241" s="662">
        <v>150.19</v>
      </c>
      <c r="M241" s="662">
        <v>450.57</v>
      </c>
      <c r="N241" s="661">
        <v>3</v>
      </c>
      <c r="O241" s="742">
        <v>0.5</v>
      </c>
      <c r="P241" s="662"/>
      <c r="Q241" s="677">
        <v>0</v>
      </c>
      <c r="R241" s="661"/>
      <c r="S241" s="677">
        <v>0</v>
      </c>
      <c r="T241" s="742"/>
      <c r="U241" s="700">
        <v>0</v>
      </c>
    </row>
    <row r="242" spans="1:21" ht="14.4" customHeight="1" x14ac:dyDescent="0.3">
      <c r="A242" s="660">
        <v>50</v>
      </c>
      <c r="B242" s="661" t="s">
        <v>553</v>
      </c>
      <c r="C242" s="661">
        <v>89301502</v>
      </c>
      <c r="D242" s="740" t="s">
        <v>2564</v>
      </c>
      <c r="E242" s="741" t="s">
        <v>1915</v>
      </c>
      <c r="F242" s="661" t="s">
        <v>1907</v>
      </c>
      <c r="G242" s="661" t="s">
        <v>1987</v>
      </c>
      <c r="H242" s="661" t="s">
        <v>554</v>
      </c>
      <c r="I242" s="661" t="s">
        <v>736</v>
      </c>
      <c r="J242" s="661" t="s">
        <v>737</v>
      </c>
      <c r="K242" s="661" t="s">
        <v>738</v>
      </c>
      <c r="L242" s="662">
        <v>43.94</v>
      </c>
      <c r="M242" s="662">
        <v>175.76</v>
      </c>
      <c r="N242" s="661">
        <v>4</v>
      </c>
      <c r="O242" s="742">
        <v>0.5</v>
      </c>
      <c r="P242" s="662"/>
      <c r="Q242" s="677">
        <v>0</v>
      </c>
      <c r="R242" s="661"/>
      <c r="S242" s="677">
        <v>0</v>
      </c>
      <c r="T242" s="742"/>
      <c r="U242" s="700">
        <v>0</v>
      </c>
    </row>
    <row r="243" spans="1:21" ht="14.4" customHeight="1" x14ac:dyDescent="0.3">
      <c r="A243" s="660">
        <v>50</v>
      </c>
      <c r="B243" s="661" t="s">
        <v>553</v>
      </c>
      <c r="C243" s="661">
        <v>89301502</v>
      </c>
      <c r="D243" s="740" t="s">
        <v>2564</v>
      </c>
      <c r="E243" s="741" t="s">
        <v>1915</v>
      </c>
      <c r="F243" s="661" t="s">
        <v>1907</v>
      </c>
      <c r="G243" s="661" t="s">
        <v>1987</v>
      </c>
      <c r="H243" s="661" t="s">
        <v>554</v>
      </c>
      <c r="I243" s="661" t="s">
        <v>2171</v>
      </c>
      <c r="J243" s="661" t="s">
        <v>2172</v>
      </c>
      <c r="K243" s="661" t="s">
        <v>2173</v>
      </c>
      <c r="L243" s="662">
        <v>87.89</v>
      </c>
      <c r="M243" s="662">
        <v>175.78</v>
      </c>
      <c r="N243" s="661">
        <v>2</v>
      </c>
      <c r="O243" s="742">
        <v>1</v>
      </c>
      <c r="P243" s="662">
        <v>175.78</v>
      </c>
      <c r="Q243" s="677">
        <v>1</v>
      </c>
      <c r="R243" s="661">
        <v>2</v>
      </c>
      <c r="S243" s="677">
        <v>1</v>
      </c>
      <c r="T243" s="742">
        <v>1</v>
      </c>
      <c r="U243" s="700">
        <v>1</v>
      </c>
    </row>
    <row r="244" spans="1:21" ht="14.4" customHeight="1" x14ac:dyDescent="0.3">
      <c r="A244" s="660">
        <v>50</v>
      </c>
      <c r="B244" s="661" t="s">
        <v>553</v>
      </c>
      <c r="C244" s="661">
        <v>89301502</v>
      </c>
      <c r="D244" s="740" t="s">
        <v>2564</v>
      </c>
      <c r="E244" s="741" t="s">
        <v>1915</v>
      </c>
      <c r="F244" s="661" t="s">
        <v>1907</v>
      </c>
      <c r="G244" s="661" t="s">
        <v>2238</v>
      </c>
      <c r="H244" s="661" t="s">
        <v>554</v>
      </c>
      <c r="I244" s="661" t="s">
        <v>2239</v>
      </c>
      <c r="J244" s="661" t="s">
        <v>2240</v>
      </c>
      <c r="K244" s="661" t="s">
        <v>2241</v>
      </c>
      <c r="L244" s="662">
        <v>104.59</v>
      </c>
      <c r="M244" s="662">
        <v>418.36</v>
      </c>
      <c r="N244" s="661">
        <v>4</v>
      </c>
      <c r="O244" s="742">
        <v>0.5</v>
      </c>
      <c r="P244" s="662"/>
      <c r="Q244" s="677">
        <v>0</v>
      </c>
      <c r="R244" s="661"/>
      <c r="S244" s="677">
        <v>0</v>
      </c>
      <c r="T244" s="742"/>
      <c r="U244" s="700">
        <v>0</v>
      </c>
    </row>
    <row r="245" spans="1:21" ht="14.4" customHeight="1" x14ac:dyDescent="0.3">
      <c r="A245" s="660">
        <v>50</v>
      </c>
      <c r="B245" s="661" t="s">
        <v>553</v>
      </c>
      <c r="C245" s="661">
        <v>89301502</v>
      </c>
      <c r="D245" s="740" t="s">
        <v>2564</v>
      </c>
      <c r="E245" s="741" t="s">
        <v>1915</v>
      </c>
      <c r="F245" s="661" t="s">
        <v>1907</v>
      </c>
      <c r="G245" s="661" t="s">
        <v>1988</v>
      </c>
      <c r="H245" s="661" t="s">
        <v>995</v>
      </c>
      <c r="I245" s="661" t="s">
        <v>2242</v>
      </c>
      <c r="J245" s="661" t="s">
        <v>2151</v>
      </c>
      <c r="K245" s="661" t="s">
        <v>1824</v>
      </c>
      <c r="L245" s="662">
        <v>184.74</v>
      </c>
      <c r="M245" s="662">
        <v>184.74</v>
      </c>
      <c r="N245" s="661">
        <v>1</v>
      </c>
      <c r="O245" s="742">
        <v>0.5</v>
      </c>
      <c r="P245" s="662">
        <v>184.74</v>
      </c>
      <c r="Q245" s="677">
        <v>1</v>
      </c>
      <c r="R245" s="661">
        <v>1</v>
      </c>
      <c r="S245" s="677">
        <v>1</v>
      </c>
      <c r="T245" s="742">
        <v>0.5</v>
      </c>
      <c r="U245" s="700">
        <v>1</v>
      </c>
    </row>
    <row r="246" spans="1:21" ht="14.4" customHeight="1" x14ac:dyDescent="0.3">
      <c r="A246" s="660">
        <v>50</v>
      </c>
      <c r="B246" s="661" t="s">
        <v>553</v>
      </c>
      <c r="C246" s="661">
        <v>89301502</v>
      </c>
      <c r="D246" s="740" t="s">
        <v>2564</v>
      </c>
      <c r="E246" s="741" t="s">
        <v>1915</v>
      </c>
      <c r="F246" s="661" t="s">
        <v>1907</v>
      </c>
      <c r="G246" s="661" t="s">
        <v>1988</v>
      </c>
      <c r="H246" s="661" t="s">
        <v>995</v>
      </c>
      <c r="I246" s="661" t="s">
        <v>2020</v>
      </c>
      <c r="J246" s="661" t="s">
        <v>2021</v>
      </c>
      <c r="K246" s="661" t="s">
        <v>2022</v>
      </c>
      <c r="L246" s="662">
        <v>120.61</v>
      </c>
      <c r="M246" s="662">
        <v>241.22</v>
      </c>
      <c r="N246" s="661">
        <v>2</v>
      </c>
      <c r="O246" s="742">
        <v>1</v>
      </c>
      <c r="P246" s="662"/>
      <c r="Q246" s="677">
        <v>0</v>
      </c>
      <c r="R246" s="661"/>
      <c r="S246" s="677">
        <v>0</v>
      </c>
      <c r="T246" s="742"/>
      <c r="U246" s="700">
        <v>0</v>
      </c>
    </row>
    <row r="247" spans="1:21" ht="14.4" customHeight="1" x14ac:dyDescent="0.3">
      <c r="A247" s="660">
        <v>50</v>
      </c>
      <c r="B247" s="661" t="s">
        <v>553</v>
      </c>
      <c r="C247" s="661">
        <v>89301502</v>
      </c>
      <c r="D247" s="740" t="s">
        <v>2564</v>
      </c>
      <c r="E247" s="741" t="s">
        <v>1915</v>
      </c>
      <c r="F247" s="661" t="s">
        <v>1909</v>
      </c>
      <c r="G247" s="661" t="s">
        <v>2243</v>
      </c>
      <c r="H247" s="661" t="s">
        <v>554</v>
      </c>
      <c r="I247" s="661" t="s">
        <v>2244</v>
      </c>
      <c r="J247" s="661" t="s">
        <v>2245</v>
      </c>
      <c r="K247" s="661" t="s">
        <v>2246</v>
      </c>
      <c r="L247" s="662">
        <v>38.97</v>
      </c>
      <c r="M247" s="662">
        <v>2026.4400000000005</v>
      </c>
      <c r="N247" s="661">
        <v>52</v>
      </c>
      <c r="O247" s="742">
        <v>13</v>
      </c>
      <c r="P247" s="662">
        <v>2026.4400000000005</v>
      </c>
      <c r="Q247" s="677">
        <v>1</v>
      </c>
      <c r="R247" s="661">
        <v>52</v>
      </c>
      <c r="S247" s="677">
        <v>1</v>
      </c>
      <c r="T247" s="742">
        <v>13</v>
      </c>
      <c r="U247" s="700">
        <v>1</v>
      </c>
    </row>
    <row r="248" spans="1:21" ht="14.4" customHeight="1" x14ac:dyDescent="0.3">
      <c r="A248" s="660">
        <v>50</v>
      </c>
      <c r="B248" s="661" t="s">
        <v>553</v>
      </c>
      <c r="C248" s="661">
        <v>89301502</v>
      </c>
      <c r="D248" s="740" t="s">
        <v>2564</v>
      </c>
      <c r="E248" s="741" t="s">
        <v>1915</v>
      </c>
      <c r="F248" s="661" t="s">
        <v>1909</v>
      </c>
      <c r="G248" s="661" t="s">
        <v>2247</v>
      </c>
      <c r="H248" s="661" t="s">
        <v>554</v>
      </c>
      <c r="I248" s="661" t="s">
        <v>2248</v>
      </c>
      <c r="J248" s="661" t="s">
        <v>2249</v>
      </c>
      <c r="K248" s="661" t="s">
        <v>2250</v>
      </c>
      <c r="L248" s="662">
        <v>378.48</v>
      </c>
      <c r="M248" s="662">
        <v>1513.92</v>
      </c>
      <c r="N248" s="661">
        <v>4</v>
      </c>
      <c r="O248" s="742">
        <v>4</v>
      </c>
      <c r="P248" s="662">
        <v>1513.92</v>
      </c>
      <c r="Q248" s="677">
        <v>1</v>
      </c>
      <c r="R248" s="661">
        <v>4</v>
      </c>
      <c r="S248" s="677">
        <v>1</v>
      </c>
      <c r="T248" s="742">
        <v>4</v>
      </c>
      <c r="U248" s="700">
        <v>1</v>
      </c>
    </row>
    <row r="249" spans="1:21" ht="14.4" customHeight="1" x14ac:dyDescent="0.3">
      <c r="A249" s="660">
        <v>50</v>
      </c>
      <c r="B249" s="661" t="s">
        <v>553</v>
      </c>
      <c r="C249" s="661">
        <v>89301502</v>
      </c>
      <c r="D249" s="740" t="s">
        <v>2564</v>
      </c>
      <c r="E249" s="741" t="s">
        <v>1915</v>
      </c>
      <c r="F249" s="661" t="s">
        <v>1909</v>
      </c>
      <c r="G249" s="661" t="s">
        <v>2247</v>
      </c>
      <c r="H249" s="661" t="s">
        <v>554</v>
      </c>
      <c r="I249" s="661" t="s">
        <v>2251</v>
      </c>
      <c r="J249" s="661" t="s">
        <v>2252</v>
      </c>
      <c r="K249" s="661" t="s">
        <v>2253</v>
      </c>
      <c r="L249" s="662">
        <v>378.48</v>
      </c>
      <c r="M249" s="662">
        <v>378.48</v>
      </c>
      <c r="N249" s="661">
        <v>1</v>
      </c>
      <c r="O249" s="742">
        <v>1</v>
      </c>
      <c r="P249" s="662">
        <v>378.48</v>
      </c>
      <c r="Q249" s="677">
        <v>1</v>
      </c>
      <c r="R249" s="661">
        <v>1</v>
      </c>
      <c r="S249" s="677">
        <v>1</v>
      </c>
      <c r="T249" s="742">
        <v>1</v>
      </c>
      <c r="U249" s="700">
        <v>1</v>
      </c>
    </row>
    <row r="250" spans="1:21" ht="14.4" customHeight="1" x14ac:dyDescent="0.3">
      <c r="A250" s="660">
        <v>50</v>
      </c>
      <c r="B250" s="661" t="s">
        <v>553</v>
      </c>
      <c r="C250" s="661">
        <v>89301502</v>
      </c>
      <c r="D250" s="740" t="s">
        <v>2564</v>
      </c>
      <c r="E250" s="741" t="s">
        <v>1916</v>
      </c>
      <c r="F250" s="661" t="s">
        <v>1907</v>
      </c>
      <c r="G250" s="661" t="s">
        <v>1933</v>
      </c>
      <c r="H250" s="661" t="s">
        <v>554</v>
      </c>
      <c r="I250" s="661" t="s">
        <v>1223</v>
      </c>
      <c r="J250" s="661" t="s">
        <v>1224</v>
      </c>
      <c r="K250" s="661" t="s">
        <v>1864</v>
      </c>
      <c r="L250" s="662">
        <v>66.819999999999993</v>
      </c>
      <c r="M250" s="662">
        <v>66.819999999999993</v>
      </c>
      <c r="N250" s="661">
        <v>1</v>
      </c>
      <c r="O250" s="742">
        <v>1</v>
      </c>
      <c r="P250" s="662"/>
      <c r="Q250" s="677">
        <v>0</v>
      </c>
      <c r="R250" s="661"/>
      <c r="S250" s="677">
        <v>0</v>
      </c>
      <c r="T250" s="742"/>
      <c r="U250" s="700">
        <v>0</v>
      </c>
    </row>
    <row r="251" spans="1:21" ht="14.4" customHeight="1" x14ac:dyDescent="0.3">
      <c r="A251" s="660">
        <v>50</v>
      </c>
      <c r="B251" s="661" t="s">
        <v>553</v>
      </c>
      <c r="C251" s="661">
        <v>89301502</v>
      </c>
      <c r="D251" s="740" t="s">
        <v>2564</v>
      </c>
      <c r="E251" s="741" t="s">
        <v>1916</v>
      </c>
      <c r="F251" s="661" t="s">
        <v>1907</v>
      </c>
      <c r="G251" s="661" t="s">
        <v>2254</v>
      </c>
      <c r="H251" s="661" t="s">
        <v>554</v>
      </c>
      <c r="I251" s="661" t="s">
        <v>2255</v>
      </c>
      <c r="J251" s="661" t="s">
        <v>2256</v>
      </c>
      <c r="K251" s="661" t="s">
        <v>2257</v>
      </c>
      <c r="L251" s="662">
        <v>30.92</v>
      </c>
      <c r="M251" s="662">
        <v>30.92</v>
      </c>
      <c r="N251" s="661">
        <v>1</v>
      </c>
      <c r="O251" s="742">
        <v>0.5</v>
      </c>
      <c r="P251" s="662">
        <v>30.92</v>
      </c>
      <c r="Q251" s="677">
        <v>1</v>
      </c>
      <c r="R251" s="661">
        <v>1</v>
      </c>
      <c r="S251" s="677">
        <v>1</v>
      </c>
      <c r="T251" s="742">
        <v>0.5</v>
      </c>
      <c r="U251" s="700">
        <v>1</v>
      </c>
    </row>
    <row r="252" spans="1:21" ht="14.4" customHeight="1" x14ac:dyDescent="0.3">
      <c r="A252" s="660">
        <v>50</v>
      </c>
      <c r="B252" s="661" t="s">
        <v>553</v>
      </c>
      <c r="C252" s="661">
        <v>89301502</v>
      </c>
      <c r="D252" s="740" t="s">
        <v>2564</v>
      </c>
      <c r="E252" s="741" t="s">
        <v>1916</v>
      </c>
      <c r="F252" s="661" t="s">
        <v>1907</v>
      </c>
      <c r="G252" s="661" t="s">
        <v>2258</v>
      </c>
      <c r="H252" s="661" t="s">
        <v>554</v>
      </c>
      <c r="I252" s="661" t="s">
        <v>2259</v>
      </c>
      <c r="J252" s="661" t="s">
        <v>2260</v>
      </c>
      <c r="K252" s="661" t="s">
        <v>2261</v>
      </c>
      <c r="L252" s="662">
        <v>12.04</v>
      </c>
      <c r="M252" s="662">
        <v>12.04</v>
      </c>
      <c r="N252" s="661">
        <v>1</v>
      </c>
      <c r="O252" s="742">
        <v>0.5</v>
      </c>
      <c r="P252" s="662">
        <v>12.04</v>
      </c>
      <c r="Q252" s="677">
        <v>1</v>
      </c>
      <c r="R252" s="661">
        <v>1</v>
      </c>
      <c r="S252" s="677">
        <v>1</v>
      </c>
      <c r="T252" s="742">
        <v>0.5</v>
      </c>
      <c r="U252" s="700">
        <v>1</v>
      </c>
    </row>
    <row r="253" spans="1:21" ht="14.4" customHeight="1" x14ac:dyDescent="0.3">
      <c r="A253" s="660">
        <v>50</v>
      </c>
      <c r="B253" s="661" t="s">
        <v>553</v>
      </c>
      <c r="C253" s="661">
        <v>89301502</v>
      </c>
      <c r="D253" s="740" t="s">
        <v>2564</v>
      </c>
      <c r="E253" s="741" t="s">
        <v>1917</v>
      </c>
      <c r="F253" s="661" t="s">
        <v>1907</v>
      </c>
      <c r="G253" s="661" t="s">
        <v>2262</v>
      </c>
      <c r="H253" s="661" t="s">
        <v>554</v>
      </c>
      <c r="I253" s="661" t="s">
        <v>2263</v>
      </c>
      <c r="J253" s="661" t="s">
        <v>2264</v>
      </c>
      <c r="K253" s="661" t="s">
        <v>2265</v>
      </c>
      <c r="L253" s="662">
        <v>0</v>
      </c>
      <c r="M253" s="662">
        <v>0</v>
      </c>
      <c r="N253" s="661">
        <v>1</v>
      </c>
      <c r="O253" s="742">
        <v>1</v>
      </c>
      <c r="P253" s="662">
        <v>0</v>
      </c>
      <c r="Q253" s="677"/>
      <c r="R253" s="661">
        <v>1</v>
      </c>
      <c r="S253" s="677">
        <v>1</v>
      </c>
      <c r="T253" s="742">
        <v>1</v>
      </c>
      <c r="U253" s="700">
        <v>1</v>
      </c>
    </row>
    <row r="254" spans="1:21" ht="14.4" customHeight="1" x14ac:dyDescent="0.3">
      <c r="A254" s="660">
        <v>50</v>
      </c>
      <c r="B254" s="661" t="s">
        <v>553</v>
      </c>
      <c r="C254" s="661">
        <v>89301502</v>
      </c>
      <c r="D254" s="740" t="s">
        <v>2564</v>
      </c>
      <c r="E254" s="741" t="s">
        <v>1917</v>
      </c>
      <c r="F254" s="661" t="s">
        <v>1907</v>
      </c>
      <c r="G254" s="661" t="s">
        <v>2266</v>
      </c>
      <c r="H254" s="661" t="s">
        <v>554</v>
      </c>
      <c r="I254" s="661" t="s">
        <v>2267</v>
      </c>
      <c r="J254" s="661" t="s">
        <v>2268</v>
      </c>
      <c r="K254" s="661" t="s">
        <v>2269</v>
      </c>
      <c r="L254" s="662">
        <v>316.11</v>
      </c>
      <c r="M254" s="662">
        <v>316.11</v>
      </c>
      <c r="N254" s="661">
        <v>1</v>
      </c>
      <c r="O254" s="742">
        <v>1</v>
      </c>
      <c r="P254" s="662"/>
      <c r="Q254" s="677">
        <v>0</v>
      </c>
      <c r="R254" s="661"/>
      <c r="S254" s="677">
        <v>0</v>
      </c>
      <c r="T254" s="742"/>
      <c r="U254" s="700">
        <v>0</v>
      </c>
    </row>
    <row r="255" spans="1:21" ht="14.4" customHeight="1" x14ac:dyDescent="0.3">
      <c r="A255" s="660">
        <v>50</v>
      </c>
      <c r="B255" s="661" t="s">
        <v>553</v>
      </c>
      <c r="C255" s="661">
        <v>89301502</v>
      </c>
      <c r="D255" s="740" t="s">
        <v>2564</v>
      </c>
      <c r="E255" s="741" t="s">
        <v>1918</v>
      </c>
      <c r="F255" s="661" t="s">
        <v>1907</v>
      </c>
      <c r="G255" s="661" t="s">
        <v>2270</v>
      </c>
      <c r="H255" s="661" t="s">
        <v>995</v>
      </c>
      <c r="I255" s="661" t="s">
        <v>1630</v>
      </c>
      <c r="J255" s="661" t="s">
        <v>1631</v>
      </c>
      <c r="K255" s="661" t="s">
        <v>1632</v>
      </c>
      <c r="L255" s="662">
        <v>119.7</v>
      </c>
      <c r="M255" s="662">
        <v>239.4</v>
      </c>
      <c r="N255" s="661">
        <v>2</v>
      </c>
      <c r="O255" s="742">
        <v>0.5</v>
      </c>
      <c r="P255" s="662"/>
      <c r="Q255" s="677">
        <v>0</v>
      </c>
      <c r="R255" s="661"/>
      <c r="S255" s="677">
        <v>0</v>
      </c>
      <c r="T255" s="742"/>
      <c r="U255" s="700">
        <v>0</v>
      </c>
    </row>
    <row r="256" spans="1:21" ht="14.4" customHeight="1" x14ac:dyDescent="0.3">
      <c r="A256" s="660">
        <v>50</v>
      </c>
      <c r="B256" s="661" t="s">
        <v>553</v>
      </c>
      <c r="C256" s="661">
        <v>89301502</v>
      </c>
      <c r="D256" s="740" t="s">
        <v>2564</v>
      </c>
      <c r="E256" s="741" t="s">
        <v>1918</v>
      </c>
      <c r="F256" s="661" t="s">
        <v>1907</v>
      </c>
      <c r="G256" s="661" t="s">
        <v>1926</v>
      </c>
      <c r="H256" s="661" t="s">
        <v>995</v>
      </c>
      <c r="I256" s="661" t="s">
        <v>1048</v>
      </c>
      <c r="J256" s="661" t="s">
        <v>1049</v>
      </c>
      <c r="K256" s="661" t="s">
        <v>1050</v>
      </c>
      <c r="L256" s="662">
        <v>35.11</v>
      </c>
      <c r="M256" s="662">
        <v>105.33</v>
      </c>
      <c r="N256" s="661">
        <v>3</v>
      </c>
      <c r="O256" s="742">
        <v>1</v>
      </c>
      <c r="P256" s="662"/>
      <c r="Q256" s="677">
        <v>0</v>
      </c>
      <c r="R256" s="661"/>
      <c r="S256" s="677">
        <v>0</v>
      </c>
      <c r="T256" s="742"/>
      <c r="U256" s="700">
        <v>0</v>
      </c>
    </row>
    <row r="257" spans="1:21" ht="14.4" customHeight="1" x14ac:dyDescent="0.3">
      <c r="A257" s="660">
        <v>50</v>
      </c>
      <c r="B257" s="661" t="s">
        <v>553</v>
      </c>
      <c r="C257" s="661">
        <v>89301502</v>
      </c>
      <c r="D257" s="740" t="s">
        <v>2564</v>
      </c>
      <c r="E257" s="741" t="s">
        <v>1918</v>
      </c>
      <c r="F257" s="661" t="s">
        <v>1907</v>
      </c>
      <c r="G257" s="661" t="s">
        <v>2271</v>
      </c>
      <c r="H257" s="661" t="s">
        <v>554</v>
      </c>
      <c r="I257" s="661" t="s">
        <v>1309</v>
      </c>
      <c r="J257" s="661" t="s">
        <v>2272</v>
      </c>
      <c r="K257" s="661" t="s">
        <v>1830</v>
      </c>
      <c r="L257" s="662">
        <v>38.56</v>
      </c>
      <c r="M257" s="662">
        <v>38.56</v>
      </c>
      <c r="N257" s="661">
        <v>1</v>
      </c>
      <c r="O257" s="742">
        <v>0.5</v>
      </c>
      <c r="P257" s="662"/>
      <c r="Q257" s="677">
        <v>0</v>
      </c>
      <c r="R257" s="661"/>
      <c r="S257" s="677">
        <v>0</v>
      </c>
      <c r="T257" s="742"/>
      <c r="U257" s="700">
        <v>0</v>
      </c>
    </row>
    <row r="258" spans="1:21" ht="14.4" customHeight="1" x14ac:dyDescent="0.3">
      <c r="A258" s="660">
        <v>50</v>
      </c>
      <c r="B258" s="661" t="s">
        <v>553</v>
      </c>
      <c r="C258" s="661">
        <v>89301502</v>
      </c>
      <c r="D258" s="740" t="s">
        <v>2564</v>
      </c>
      <c r="E258" s="741" t="s">
        <v>1918</v>
      </c>
      <c r="F258" s="661" t="s">
        <v>1907</v>
      </c>
      <c r="G258" s="661" t="s">
        <v>2273</v>
      </c>
      <c r="H258" s="661" t="s">
        <v>554</v>
      </c>
      <c r="I258" s="661" t="s">
        <v>717</v>
      </c>
      <c r="J258" s="661" t="s">
        <v>2274</v>
      </c>
      <c r="K258" s="661" t="s">
        <v>2275</v>
      </c>
      <c r="L258" s="662">
        <v>0</v>
      </c>
      <c r="M258" s="662">
        <v>0</v>
      </c>
      <c r="N258" s="661">
        <v>1</v>
      </c>
      <c r="O258" s="742">
        <v>0.5</v>
      </c>
      <c r="P258" s="662"/>
      <c r="Q258" s="677"/>
      <c r="R258" s="661"/>
      <c r="S258" s="677">
        <v>0</v>
      </c>
      <c r="T258" s="742"/>
      <c r="U258" s="700">
        <v>0</v>
      </c>
    </row>
    <row r="259" spans="1:21" ht="14.4" customHeight="1" x14ac:dyDescent="0.3">
      <c r="A259" s="660">
        <v>50</v>
      </c>
      <c r="B259" s="661" t="s">
        <v>553</v>
      </c>
      <c r="C259" s="661">
        <v>89301502</v>
      </c>
      <c r="D259" s="740" t="s">
        <v>2564</v>
      </c>
      <c r="E259" s="741" t="s">
        <v>1918</v>
      </c>
      <c r="F259" s="661" t="s">
        <v>1907</v>
      </c>
      <c r="G259" s="661" t="s">
        <v>2016</v>
      </c>
      <c r="H259" s="661" t="s">
        <v>554</v>
      </c>
      <c r="I259" s="661" t="s">
        <v>1219</v>
      </c>
      <c r="J259" s="661" t="s">
        <v>1220</v>
      </c>
      <c r="K259" s="661" t="s">
        <v>2017</v>
      </c>
      <c r="L259" s="662">
        <v>186.27</v>
      </c>
      <c r="M259" s="662">
        <v>186.27</v>
      </c>
      <c r="N259" s="661">
        <v>1</v>
      </c>
      <c r="O259" s="742">
        <v>0.5</v>
      </c>
      <c r="P259" s="662"/>
      <c r="Q259" s="677">
        <v>0</v>
      </c>
      <c r="R259" s="661"/>
      <c r="S259" s="677">
        <v>0</v>
      </c>
      <c r="T259" s="742"/>
      <c r="U259" s="700">
        <v>0</v>
      </c>
    </row>
    <row r="260" spans="1:21" ht="14.4" customHeight="1" x14ac:dyDescent="0.3">
      <c r="A260" s="660">
        <v>50</v>
      </c>
      <c r="B260" s="661" t="s">
        <v>553</v>
      </c>
      <c r="C260" s="661">
        <v>89301502</v>
      </c>
      <c r="D260" s="740" t="s">
        <v>2564</v>
      </c>
      <c r="E260" s="741" t="s">
        <v>1918</v>
      </c>
      <c r="F260" s="661" t="s">
        <v>1907</v>
      </c>
      <c r="G260" s="661" t="s">
        <v>2148</v>
      </c>
      <c r="H260" s="661" t="s">
        <v>554</v>
      </c>
      <c r="I260" s="661" t="s">
        <v>2235</v>
      </c>
      <c r="J260" s="661" t="s">
        <v>2236</v>
      </c>
      <c r="K260" s="661" t="s">
        <v>893</v>
      </c>
      <c r="L260" s="662">
        <v>75.22</v>
      </c>
      <c r="M260" s="662">
        <v>75.22</v>
      </c>
      <c r="N260" s="661">
        <v>1</v>
      </c>
      <c r="O260" s="742">
        <v>0.5</v>
      </c>
      <c r="P260" s="662"/>
      <c r="Q260" s="677">
        <v>0</v>
      </c>
      <c r="R260" s="661"/>
      <c r="S260" s="677">
        <v>0</v>
      </c>
      <c r="T260" s="742"/>
      <c r="U260" s="700">
        <v>0</v>
      </c>
    </row>
    <row r="261" spans="1:21" ht="14.4" customHeight="1" x14ac:dyDescent="0.3">
      <c r="A261" s="660">
        <v>50</v>
      </c>
      <c r="B261" s="661" t="s">
        <v>553</v>
      </c>
      <c r="C261" s="661">
        <v>89301502</v>
      </c>
      <c r="D261" s="740" t="s">
        <v>2564</v>
      </c>
      <c r="E261" s="741" t="s">
        <v>1918</v>
      </c>
      <c r="F261" s="661" t="s">
        <v>1907</v>
      </c>
      <c r="G261" s="661" t="s">
        <v>2276</v>
      </c>
      <c r="H261" s="661" t="s">
        <v>554</v>
      </c>
      <c r="I261" s="661" t="s">
        <v>2277</v>
      </c>
      <c r="J261" s="661" t="s">
        <v>2278</v>
      </c>
      <c r="K261" s="661" t="s">
        <v>1528</v>
      </c>
      <c r="L261" s="662">
        <v>0</v>
      </c>
      <c r="M261" s="662">
        <v>0</v>
      </c>
      <c r="N261" s="661">
        <v>2</v>
      </c>
      <c r="O261" s="742">
        <v>0.5</v>
      </c>
      <c r="P261" s="662"/>
      <c r="Q261" s="677"/>
      <c r="R261" s="661"/>
      <c r="S261" s="677">
        <v>0</v>
      </c>
      <c r="T261" s="742"/>
      <c r="U261" s="700">
        <v>0</v>
      </c>
    </row>
    <row r="262" spans="1:21" ht="14.4" customHeight="1" x14ac:dyDescent="0.3">
      <c r="A262" s="660">
        <v>50</v>
      </c>
      <c r="B262" s="661" t="s">
        <v>553</v>
      </c>
      <c r="C262" s="661">
        <v>89301502</v>
      </c>
      <c r="D262" s="740" t="s">
        <v>2564</v>
      </c>
      <c r="E262" s="741" t="s">
        <v>1919</v>
      </c>
      <c r="F262" s="661" t="s">
        <v>1907</v>
      </c>
      <c r="G262" s="661" t="s">
        <v>2279</v>
      </c>
      <c r="H262" s="661" t="s">
        <v>554</v>
      </c>
      <c r="I262" s="661" t="s">
        <v>2280</v>
      </c>
      <c r="J262" s="661" t="s">
        <v>2281</v>
      </c>
      <c r="K262" s="661" t="s">
        <v>2282</v>
      </c>
      <c r="L262" s="662">
        <v>0</v>
      </c>
      <c r="M262" s="662">
        <v>0</v>
      </c>
      <c r="N262" s="661">
        <v>3</v>
      </c>
      <c r="O262" s="742">
        <v>0.5</v>
      </c>
      <c r="P262" s="662">
        <v>0</v>
      </c>
      <c r="Q262" s="677"/>
      <c r="R262" s="661">
        <v>3</v>
      </c>
      <c r="S262" s="677">
        <v>1</v>
      </c>
      <c r="T262" s="742">
        <v>0.5</v>
      </c>
      <c r="U262" s="700">
        <v>1</v>
      </c>
    </row>
    <row r="263" spans="1:21" ht="14.4" customHeight="1" x14ac:dyDescent="0.3">
      <c r="A263" s="660">
        <v>50</v>
      </c>
      <c r="B263" s="661" t="s">
        <v>553</v>
      </c>
      <c r="C263" s="661">
        <v>89301502</v>
      </c>
      <c r="D263" s="740" t="s">
        <v>2564</v>
      </c>
      <c r="E263" s="741" t="s">
        <v>1919</v>
      </c>
      <c r="F263" s="661" t="s">
        <v>1907</v>
      </c>
      <c r="G263" s="661" t="s">
        <v>2283</v>
      </c>
      <c r="H263" s="661" t="s">
        <v>995</v>
      </c>
      <c r="I263" s="661" t="s">
        <v>2284</v>
      </c>
      <c r="J263" s="661" t="s">
        <v>2285</v>
      </c>
      <c r="K263" s="661" t="s">
        <v>2286</v>
      </c>
      <c r="L263" s="662">
        <v>0</v>
      </c>
      <c r="M263" s="662">
        <v>0</v>
      </c>
      <c r="N263" s="661">
        <v>3</v>
      </c>
      <c r="O263" s="742">
        <v>0.5</v>
      </c>
      <c r="P263" s="662">
        <v>0</v>
      </c>
      <c r="Q263" s="677"/>
      <c r="R263" s="661">
        <v>3</v>
      </c>
      <c r="S263" s="677">
        <v>1</v>
      </c>
      <c r="T263" s="742">
        <v>0.5</v>
      </c>
      <c r="U263" s="700">
        <v>1</v>
      </c>
    </row>
    <row r="264" spans="1:21" ht="14.4" customHeight="1" x14ac:dyDescent="0.3">
      <c r="A264" s="660">
        <v>50</v>
      </c>
      <c r="B264" s="661" t="s">
        <v>553</v>
      </c>
      <c r="C264" s="661">
        <v>89301502</v>
      </c>
      <c r="D264" s="740" t="s">
        <v>2564</v>
      </c>
      <c r="E264" s="741" t="s">
        <v>1920</v>
      </c>
      <c r="F264" s="661" t="s">
        <v>1907</v>
      </c>
      <c r="G264" s="661" t="s">
        <v>2190</v>
      </c>
      <c r="H264" s="661" t="s">
        <v>554</v>
      </c>
      <c r="I264" s="661" t="s">
        <v>2287</v>
      </c>
      <c r="J264" s="661" t="s">
        <v>2288</v>
      </c>
      <c r="K264" s="661" t="s">
        <v>2193</v>
      </c>
      <c r="L264" s="662">
        <v>263.26</v>
      </c>
      <c r="M264" s="662">
        <v>526.52</v>
      </c>
      <c r="N264" s="661">
        <v>2</v>
      </c>
      <c r="O264" s="742">
        <v>1</v>
      </c>
      <c r="P264" s="662"/>
      <c r="Q264" s="677">
        <v>0</v>
      </c>
      <c r="R264" s="661"/>
      <c r="S264" s="677">
        <v>0</v>
      </c>
      <c r="T264" s="742"/>
      <c r="U264" s="700">
        <v>0</v>
      </c>
    </row>
    <row r="265" spans="1:21" ht="14.4" customHeight="1" x14ac:dyDescent="0.3">
      <c r="A265" s="660">
        <v>50</v>
      </c>
      <c r="B265" s="661" t="s">
        <v>553</v>
      </c>
      <c r="C265" s="661">
        <v>89301502</v>
      </c>
      <c r="D265" s="740" t="s">
        <v>2564</v>
      </c>
      <c r="E265" s="741" t="s">
        <v>1920</v>
      </c>
      <c r="F265" s="661" t="s">
        <v>1907</v>
      </c>
      <c r="G265" s="661" t="s">
        <v>2092</v>
      </c>
      <c r="H265" s="661" t="s">
        <v>554</v>
      </c>
      <c r="I265" s="661" t="s">
        <v>806</v>
      </c>
      <c r="J265" s="661" t="s">
        <v>807</v>
      </c>
      <c r="K265" s="661" t="s">
        <v>808</v>
      </c>
      <c r="L265" s="662">
        <v>85.71</v>
      </c>
      <c r="M265" s="662">
        <v>85.71</v>
      </c>
      <c r="N265" s="661">
        <v>1</v>
      </c>
      <c r="O265" s="742">
        <v>0.5</v>
      </c>
      <c r="P265" s="662"/>
      <c r="Q265" s="677">
        <v>0</v>
      </c>
      <c r="R265" s="661"/>
      <c r="S265" s="677">
        <v>0</v>
      </c>
      <c r="T265" s="742"/>
      <c r="U265" s="700">
        <v>0</v>
      </c>
    </row>
    <row r="266" spans="1:21" ht="14.4" customHeight="1" x14ac:dyDescent="0.3">
      <c r="A266" s="660">
        <v>50</v>
      </c>
      <c r="B266" s="661" t="s">
        <v>553</v>
      </c>
      <c r="C266" s="661">
        <v>89301502</v>
      </c>
      <c r="D266" s="740" t="s">
        <v>2564</v>
      </c>
      <c r="E266" s="741" t="s">
        <v>1920</v>
      </c>
      <c r="F266" s="661" t="s">
        <v>1907</v>
      </c>
      <c r="G266" s="661" t="s">
        <v>2092</v>
      </c>
      <c r="H266" s="661" t="s">
        <v>554</v>
      </c>
      <c r="I266" s="661" t="s">
        <v>2289</v>
      </c>
      <c r="J266" s="661" t="s">
        <v>2094</v>
      </c>
      <c r="K266" s="661" t="s">
        <v>808</v>
      </c>
      <c r="L266" s="662">
        <v>0</v>
      </c>
      <c r="M266" s="662">
        <v>0</v>
      </c>
      <c r="N266" s="661">
        <v>1</v>
      </c>
      <c r="O266" s="742">
        <v>0.5</v>
      </c>
      <c r="P266" s="662"/>
      <c r="Q266" s="677"/>
      <c r="R266" s="661"/>
      <c r="S266" s="677">
        <v>0</v>
      </c>
      <c r="T266" s="742"/>
      <c r="U266" s="700">
        <v>0</v>
      </c>
    </row>
    <row r="267" spans="1:21" ht="14.4" customHeight="1" x14ac:dyDescent="0.3">
      <c r="A267" s="660">
        <v>50</v>
      </c>
      <c r="B267" s="661" t="s">
        <v>553</v>
      </c>
      <c r="C267" s="661">
        <v>89301502</v>
      </c>
      <c r="D267" s="740" t="s">
        <v>2564</v>
      </c>
      <c r="E267" s="741" t="s">
        <v>1920</v>
      </c>
      <c r="F267" s="661" t="s">
        <v>1907</v>
      </c>
      <c r="G267" s="661" t="s">
        <v>2194</v>
      </c>
      <c r="H267" s="661" t="s">
        <v>995</v>
      </c>
      <c r="I267" s="661" t="s">
        <v>2290</v>
      </c>
      <c r="J267" s="661" t="s">
        <v>2291</v>
      </c>
      <c r="K267" s="661" t="s">
        <v>2292</v>
      </c>
      <c r="L267" s="662">
        <v>10.26</v>
      </c>
      <c r="M267" s="662">
        <v>41.04</v>
      </c>
      <c r="N267" s="661">
        <v>4</v>
      </c>
      <c r="O267" s="742">
        <v>2</v>
      </c>
      <c r="P267" s="662"/>
      <c r="Q267" s="677">
        <v>0</v>
      </c>
      <c r="R267" s="661"/>
      <c r="S267" s="677">
        <v>0</v>
      </c>
      <c r="T267" s="742"/>
      <c r="U267" s="700">
        <v>0</v>
      </c>
    </row>
    <row r="268" spans="1:21" ht="14.4" customHeight="1" x14ac:dyDescent="0.3">
      <c r="A268" s="660">
        <v>50</v>
      </c>
      <c r="B268" s="661" t="s">
        <v>553</v>
      </c>
      <c r="C268" s="661">
        <v>89301502</v>
      </c>
      <c r="D268" s="740" t="s">
        <v>2564</v>
      </c>
      <c r="E268" s="741" t="s">
        <v>1920</v>
      </c>
      <c r="F268" s="661" t="s">
        <v>1907</v>
      </c>
      <c r="G268" s="661" t="s">
        <v>2194</v>
      </c>
      <c r="H268" s="661" t="s">
        <v>995</v>
      </c>
      <c r="I268" s="661" t="s">
        <v>2293</v>
      </c>
      <c r="J268" s="661" t="s">
        <v>2294</v>
      </c>
      <c r="K268" s="661" t="s">
        <v>2295</v>
      </c>
      <c r="L268" s="662">
        <v>16.920000000000002</v>
      </c>
      <c r="M268" s="662">
        <v>16.920000000000002</v>
      </c>
      <c r="N268" s="661">
        <v>1</v>
      </c>
      <c r="O268" s="742">
        <v>0.5</v>
      </c>
      <c r="P268" s="662"/>
      <c r="Q268" s="677">
        <v>0</v>
      </c>
      <c r="R268" s="661"/>
      <c r="S268" s="677">
        <v>0</v>
      </c>
      <c r="T268" s="742"/>
      <c r="U268" s="700">
        <v>0</v>
      </c>
    </row>
    <row r="269" spans="1:21" ht="14.4" customHeight="1" x14ac:dyDescent="0.3">
      <c r="A269" s="660">
        <v>50</v>
      </c>
      <c r="B269" s="661" t="s">
        <v>553</v>
      </c>
      <c r="C269" s="661">
        <v>89301502</v>
      </c>
      <c r="D269" s="740" t="s">
        <v>2564</v>
      </c>
      <c r="E269" s="741" t="s">
        <v>1920</v>
      </c>
      <c r="F269" s="661" t="s">
        <v>1907</v>
      </c>
      <c r="G269" s="661" t="s">
        <v>2296</v>
      </c>
      <c r="H269" s="661" t="s">
        <v>554</v>
      </c>
      <c r="I269" s="661" t="s">
        <v>2297</v>
      </c>
      <c r="J269" s="661" t="s">
        <v>2298</v>
      </c>
      <c r="K269" s="661" t="s">
        <v>2299</v>
      </c>
      <c r="L269" s="662">
        <v>0</v>
      </c>
      <c r="M269" s="662">
        <v>0</v>
      </c>
      <c r="N269" s="661">
        <v>1</v>
      </c>
      <c r="O269" s="742">
        <v>0.5</v>
      </c>
      <c r="P269" s="662">
        <v>0</v>
      </c>
      <c r="Q269" s="677"/>
      <c r="R269" s="661">
        <v>1</v>
      </c>
      <c r="S269" s="677">
        <v>1</v>
      </c>
      <c r="T269" s="742">
        <v>0.5</v>
      </c>
      <c r="U269" s="700">
        <v>1</v>
      </c>
    </row>
    <row r="270" spans="1:21" ht="14.4" customHeight="1" x14ac:dyDescent="0.3">
      <c r="A270" s="660">
        <v>50</v>
      </c>
      <c r="B270" s="661" t="s">
        <v>553</v>
      </c>
      <c r="C270" s="661">
        <v>89301502</v>
      </c>
      <c r="D270" s="740" t="s">
        <v>2564</v>
      </c>
      <c r="E270" s="741" t="s">
        <v>1920</v>
      </c>
      <c r="F270" s="661" t="s">
        <v>1907</v>
      </c>
      <c r="G270" s="661" t="s">
        <v>1930</v>
      </c>
      <c r="H270" s="661" t="s">
        <v>995</v>
      </c>
      <c r="I270" s="661" t="s">
        <v>1010</v>
      </c>
      <c r="J270" s="661" t="s">
        <v>1011</v>
      </c>
      <c r="K270" s="661" t="s">
        <v>1830</v>
      </c>
      <c r="L270" s="662">
        <v>72</v>
      </c>
      <c r="M270" s="662">
        <v>72</v>
      </c>
      <c r="N270" s="661">
        <v>1</v>
      </c>
      <c r="O270" s="742">
        <v>0.5</v>
      </c>
      <c r="P270" s="662">
        <v>72</v>
      </c>
      <c r="Q270" s="677">
        <v>1</v>
      </c>
      <c r="R270" s="661">
        <v>1</v>
      </c>
      <c r="S270" s="677">
        <v>1</v>
      </c>
      <c r="T270" s="742">
        <v>0.5</v>
      </c>
      <c r="U270" s="700">
        <v>1</v>
      </c>
    </row>
    <row r="271" spans="1:21" ht="14.4" customHeight="1" x14ac:dyDescent="0.3">
      <c r="A271" s="660">
        <v>50</v>
      </c>
      <c r="B271" s="661" t="s">
        <v>553</v>
      </c>
      <c r="C271" s="661">
        <v>89301502</v>
      </c>
      <c r="D271" s="740" t="s">
        <v>2564</v>
      </c>
      <c r="E271" s="741" t="s">
        <v>1920</v>
      </c>
      <c r="F271" s="661" t="s">
        <v>1907</v>
      </c>
      <c r="G271" s="661" t="s">
        <v>1930</v>
      </c>
      <c r="H271" s="661" t="s">
        <v>995</v>
      </c>
      <c r="I271" s="661" t="s">
        <v>2181</v>
      </c>
      <c r="J271" s="661" t="s">
        <v>1011</v>
      </c>
      <c r="K271" s="661" t="s">
        <v>2182</v>
      </c>
      <c r="L271" s="662">
        <v>144.01</v>
      </c>
      <c r="M271" s="662">
        <v>576.04</v>
      </c>
      <c r="N271" s="661">
        <v>4</v>
      </c>
      <c r="O271" s="742">
        <v>1.5</v>
      </c>
      <c r="P271" s="662"/>
      <c r="Q271" s="677">
        <v>0</v>
      </c>
      <c r="R271" s="661"/>
      <c r="S271" s="677">
        <v>0</v>
      </c>
      <c r="T271" s="742"/>
      <c r="U271" s="700">
        <v>0</v>
      </c>
    </row>
    <row r="272" spans="1:21" ht="14.4" customHeight="1" x14ac:dyDescent="0.3">
      <c r="A272" s="660">
        <v>50</v>
      </c>
      <c r="B272" s="661" t="s">
        <v>553</v>
      </c>
      <c r="C272" s="661">
        <v>89301502</v>
      </c>
      <c r="D272" s="740" t="s">
        <v>2564</v>
      </c>
      <c r="E272" s="741" t="s">
        <v>1920</v>
      </c>
      <c r="F272" s="661" t="s">
        <v>1907</v>
      </c>
      <c r="G272" s="661" t="s">
        <v>2027</v>
      </c>
      <c r="H272" s="661" t="s">
        <v>554</v>
      </c>
      <c r="I272" s="661" t="s">
        <v>2300</v>
      </c>
      <c r="J272" s="661" t="s">
        <v>2301</v>
      </c>
      <c r="K272" s="661" t="s">
        <v>2257</v>
      </c>
      <c r="L272" s="662">
        <v>0</v>
      </c>
      <c r="M272" s="662">
        <v>0</v>
      </c>
      <c r="N272" s="661">
        <v>1</v>
      </c>
      <c r="O272" s="742">
        <v>0.5</v>
      </c>
      <c r="P272" s="662"/>
      <c r="Q272" s="677"/>
      <c r="R272" s="661"/>
      <c r="S272" s="677">
        <v>0</v>
      </c>
      <c r="T272" s="742"/>
      <c r="U272" s="700">
        <v>0</v>
      </c>
    </row>
    <row r="273" spans="1:21" ht="14.4" customHeight="1" x14ac:dyDescent="0.3">
      <c r="A273" s="660">
        <v>50</v>
      </c>
      <c r="B273" s="661" t="s">
        <v>553</v>
      </c>
      <c r="C273" s="661">
        <v>89301502</v>
      </c>
      <c r="D273" s="740" t="s">
        <v>2564</v>
      </c>
      <c r="E273" s="741" t="s">
        <v>1920</v>
      </c>
      <c r="F273" s="661" t="s">
        <v>1907</v>
      </c>
      <c r="G273" s="661" t="s">
        <v>2027</v>
      </c>
      <c r="H273" s="661" t="s">
        <v>554</v>
      </c>
      <c r="I273" s="661" t="s">
        <v>2302</v>
      </c>
      <c r="J273" s="661" t="s">
        <v>2303</v>
      </c>
      <c r="K273" s="661" t="s">
        <v>2257</v>
      </c>
      <c r="L273" s="662">
        <v>258.92</v>
      </c>
      <c r="M273" s="662">
        <v>517.84</v>
      </c>
      <c r="N273" s="661">
        <v>2</v>
      </c>
      <c r="O273" s="742">
        <v>1</v>
      </c>
      <c r="P273" s="662"/>
      <c r="Q273" s="677">
        <v>0</v>
      </c>
      <c r="R273" s="661"/>
      <c r="S273" s="677">
        <v>0</v>
      </c>
      <c r="T273" s="742"/>
      <c r="U273" s="700">
        <v>0</v>
      </c>
    </row>
    <row r="274" spans="1:21" ht="14.4" customHeight="1" x14ac:dyDescent="0.3">
      <c r="A274" s="660">
        <v>50</v>
      </c>
      <c r="B274" s="661" t="s">
        <v>553</v>
      </c>
      <c r="C274" s="661">
        <v>89301502</v>
      </c>
      <c r="D274" s="740" t="s">
        <v>2564</v>
      </c>
      <c r="E274" s="741" t="s">
        <v>1920</v>
      </c>
      <c r="F274" s="661" t="s">
        <v>1907</v>
      </c>
      <c r="G274" s="661" t="s">
        <v>2027</v>
      </c>
      <c r="H274" s="661" t="s">
        <v>554</v>
      </c>
      <c r="I274" s="661" t="s">
        <v>2304</v>
      </c>
      <c r="J274" s="661" t="s">
        <v>2305</v>
      </c>
      <c r="K274" s="661" t="s">
        <v>1824</v>
      </c>
      <c r="L274" s="662">
        <v>194.24</v>
      </c>
      <c r="M274" s="662">
        <v>388.48</v>
      </c>
      <c r="N274" s="661">
        <v>2</v>
      </c>
      <c r="O274" s="742">
        <v>2</v>
      </c>
      <c r="P274" s="662">
        <v>194.24</v>
      </c>
      <c r="Q274" s="677">
        <v>0.5</v>
      </c>
      <c r="R274" s="661">
        <v>1</v>
      </c>
      <c r="S274" s="677">
        <v>0.5</v>
      </c>
      <c r="T274" s="742">
        <v>1</v>
      </c>
      <c r="U274" s="700">
        <v>0.5</v>
      </c>
    </row>
    <row r="275" spans="1:21" ht="14.4" customHeight="1" x14ac:dyDescent="0.3">
      <c r="A275" s="660">
        <v>50</v>
      </c>
      <c r="B275" s="661" t="s">
        <v>553</v>
      </c>
      <c r="C275" s="661">
        <v>89301502</v>
      </c>
      <c r="D275" s="740" t="s">
        <v>2564</v>
      </c>
      <c r="E275" s="741" t="s">
        <v>1920</v>
      </c>
      <c r="F275" s="661" t="s">
        <v>1907</v>
      </c>
      <c r="G275" s="661" t="s">
        <v>2030</v>
      </c>
      <c r="H275" s="661" t="s">
        <v>995</v>
      </c>
      <c r="I275" s="661" t="s">
        <v>1234</v>
      </c>
      <c r="J275" s="661" t="s">
        <v>1857</v>
      </c>
      <c r="K275" s="661" t="s">
        <v>1858</v>
      </c>
      <c r="L275" s="662">
        <v>150.04</v>
      </c>
      <c r="M275" s="662">
        <v>150.04</v>
      </c>
      <c r="N275" s="661">
        <v>1</v>
      </c>
      <c r="O275" s="742">
        <v>1</v>
      </c>
      <c r="P275" s="662">
        <v>150.04</v>
      </c>
      <c r="Q275" s="677">
        <v>1</v>
      </c>
      <c r="R275" s="661">
        <v>1</v>
      </c>
      <c r="S275" s="677">
        <v>1</v>
      </c>
      <c r="T275" s="742">
        <v>1</v>
      </c>
      <c r="U275" s="700">
        <v>1</v>
      </c>
    </row>
    <row r="276" spans="1:21" ht="14.4" customHeight="1" x14ac:dyDescent="0.3">
      <c r="A276" s="660">
        <v>50</v>
      </c>
      <c r="B276" s="661" t="s">
        <v>553</v>
      </c>
      <c r="C276" s="661">
        <v>89301502</v>
      </c>
      <c r="D276" s="740" t="s">
        <v>2564</v>
      </c>
      <c r="E276" s="741" t="s">
        <v>1920</v>
      </c>
      <c r="F276" s="661" t="s">
        <v>1907</v>
      </c>
      <c r="G276" s="661" t="s">
        <v>2152</v>
      </c>
      <c r="H276" s="661" t="s">
        <v>554</v>
      </c>
      <c r="I276" s="661" t="s">
        <v>2306</v>
      </c>
      <c r="J276" s="661" t="s">
        <v>2154</v>
      </c>
      <c r="K276" s="661" t="s">
        <v>2307</v>
      </c>
      <c r="L276" s="662">
        <v>386.77</v>
      </c>
      <c r="M276" s="662">
        <v>1547.08</v>
      </c>
      <c r="N276" s="661">
        <v>4</v>
      </c>
      <c r="O276" s="742">
        <v>0.5</v>
      </c>
      <c r="P276" s="662"/>
      <c r="Q276" s="677">
        <v>0</v>
      </c>
      <c r="R276" s="661"/>
      <c r="S276" s="677">
        <v>0</v>
      </c>
      <c r="T276" s="742"/>
      <c r="U276" s="700">
        <v>0</v>
      </c>
    </row>
    <row r="277" spans="1:21" ht="14.4" customHeight="1" x14ac:dyDescent="0.3">
      <c r="A277" s="660">
        <v>50</v>
      </c>
      <c r="B277" s="661" t="s">
        <v>553</v>
      </c>
      <c r="C277" s="661">
        <v>89301502</v>
      </c>
      <c r="D277" s="740" t="s">
        <v>2564</v>
      </c>
      <c r="E277" s="741" t="s">
        <v>1920</v>
      </c>
      <c r="F277" s="661" t="s">
        <v>1907</v>
      </c>
      <c r="G277" s="661" t="s">
        <v>1931</v>
      </c>
      <c r="H277" s="661" t="s">
        <v>995</v>
      </c>
      <c r="I277" s="661" t="s">
        <v>2195</v>
      </c>
      <c r="J277" s="661" t="s">
        <v>1844</v>
      </c>
      <c r="K277" s="661" t="s">
        <v>2196</v>
      </c>
      <c r="L277" s="662">
        <v>416.37</v>
      </c>
      <c r="M277" s="662">
        <v>2914.59</v>
      </c>
      <c r="N277" s="661">
        <v>7</v>
      </c>
      <c r="O277" s="742">
        <v>4</v>
      </c>
      <c r="P277" s="662">
        <v>1249.1100000000001</v>
      </c>
      <c r="Q277" s="677">
        <v>0.4285714285714286</v>
      </c>
      <c r="R277" s="661">
        <v>3</v>
      </c>
      <c r="S277" s="677">
        <v>0.42857142857142855</v>
      </c>
      <c r="T277" s="742">
        <v>2</v>
      </c>
      <c r="U277" s="700">
        <v>0.5</v>
      </c>
    </row>
    <row r="278" spans="1:21" ht="14.4" customHeight="1" x14ac:dyDescent="0.3">
      <c r="A278" s="660">
        <v>50</v>
      </c>
      <c r="B278" s="661" t="s">
        <v>553</v>
      </c>
      <c r="C278" s="661">
        <v>89301502</v>
      </c>
      <c r="D278" s="740" t="s">
        <v>2564</v>
      </c>
      <c r="E278" s="741" t="s">
        <v>1920</v>
      </c>
      <c r="F278" s="661" t="s">
        <v>1907</v>
      </c>
      <c r="G278" s="661" t="s">
        <v>1931</v>
      </c>
      <c r="H278" s="661" t="s">
        <v>995</v>
      </c>
      <c r="I278" s="661" t="s">
        <v>1992</v>
      </c>
      <c r="J278" s="661" t="s">
        <v>1845</v>
      </c>
      <c r="K278" s="661" t="s">
        <v>1993</v>
      </c>
      <c r="L278" s="662">
        <v>643.69000000000005</v>
      </c>
      <c r="M278" s="662">
        <v>2574.7600000000002</v>
      </c>
      <c r="N278" s="661">
        <v>4</v>
      </c>
      <c r="O278" s="742">
        <v>2</v>
      </c>
      <c r="P278" s="662">
        <v>643.69000000000005</v>
      </c>
      <c r="Q278" s="677">
        <v>0.25</v>
      </c>
      <c r="R278" s="661">
        <v>1</v>
      </c>
      <c r="S278" s="677">
        <v>0.25</v>
      </c>
      <c r="T278" s="742">
        <v>0.5</v>
      </c>
      <c r="U278" s="700">
        <v>0.25</v>
      </c>
    </row>
    <row r="279" spans="1:21" ht="14.4" customHeight="1" x14ac:dyDescent="0.3">
      <c r="A279" s="660">
        <v>50</v>
      </c>
      <c r="B279" s="661" t="s">
        <v>553</v>
      </c>
      <c r="C279" s="661">
        <v>89301502</v>
      </c>
      <c r="D279" s="740" t="s">
        <v>2564</v>
      </c>
      <c r="E279" s="741" t="s">
        <v>1920</v>
      </c>
      <c r="F279" s="661" t="s">
        <v>1907</v>
      </c>
      <c r="G279" s="661" t="s">
        <v>2308</v>
      </c>
      <c r="H279" s="661" t="s">
        <v>995</v>
      </c>
      <c r="I279" s="661" t="s">
        <v>2309</v>
      </c>
      <c r="J279" s="661" t="s">
        <v>2310</v>
      </c>
      <c r="K279" s="661" t="s">
        <v>1137</v>
      </c>
      <c r="L279" s="662">
        <v>739.33</v>
      </c>
      <c r="M279" s="662">
        <v>739.33</v>
      </c>
      <c r="N279" s="661">
        <v>1</v>
      </c>
      <c r="O279" s="742">
        <v>1</v>
      </c>
      <c r="P279" s="662"/>
      <c r="Q279" s="677">
        <v>0</v>
      </c>
      <c r="R279" s="661"/>
      <c r="S279" s="677">
        <v>0</v>
      </c>
      <c r="T279" s="742"/>
      <c r="U279" s="700">
        <v>0</v>
      </c>
    </row>
    <row r="280" spans="1:21" ht="14.4" customHeight="1" x14ac:dyDescent="0.3">
      <c r="A280" s="660">
        <v>50</v>
      </c>
      <c r="B280" s="661" t="s">
        <v>553</v>
      </c>
      <c r="C280" s="661">
        <v>89301502</v>
      </c>
      <c r="D280" s="740" t="s">
        <v>2564</v>
      </c>
      <c r="E280" s="741" t="s">
        <v>1920</v>
      </c>
      <c r="F280" s="661" t="s">
        <v>1907</v>
      </c>
      <c r="G280" s="661" t="s">
        <v>2308</v>
      </c>
      <c r="H280" s="661" t="s">
        <v>995</v>
      </c>
      <c r="I280" s="661" t="s">
        <v>2311</v>
      </c>
      <c r="J280" s="661" t="s">
        <v>2310</v>
      </c>
      <c r="K280" s="661" t="s">
        <v>1137</v>
      </c>
      <c r="L280" s="662">
        <v>0</v>
      </c>
      <c r="M280" s="662">
        <v>0</v>
      </c>
      <c r="N280" s="661">
        <v>2</v>
      </c>
      <c r="O280" s="742">
        <v>1</v>
      </c>
      <c r="P280" s="662">
        <v>0</v>
      </c>
      <c r="Q280" s="677"/>
      <c r="R280" s="661">
        <v>2</v>
      </c>
      <c r="S280" s="677">
        <v>1</v>
      </c>
      <c r="T280" s="742">
        <v>1</v>
      </c>
      <c r="U280" s="700">
        <v>1</v>
      </c>
    </row>
    <row r="281" spans="1:21" ht="14.4" customHeight="1" x14ac:dyDescent="0.3">
      <c r="A281" s="660">
        <v>50</v>
      </c>
      <c r="B281" s="661" t="s">
        <v>553</v>
      </c>
      <c r="C281" s="661">
        <v>89301502</v>
      </c>
      <c r="D281" s="740" t="s">
        <v>2564</v>
      </c>
      <c r="E281" s="741" t="s">
        <v>1920</v>
      </c>
      <c r="F281" s="661" t="s">
        <v>1907</v>
      </c>
      <c r="G281" s="661" t="s">
        <v>2308</v>
      </c>
      <c r="H281" s="661" t="s">
        <v>995</v>
      </c>
      <c r="I281" s="661" t="s">
        <v>2312</v>
      </c>
      <c r="J281" s="661" t="s">
        <v>2310</v>
      </c>
      <c r="K281" s="661" t="s">
        <v>893</v>
      </c>
      <c r="L281" s="662">
        <v>246.44</v>
      </c>
      <c r="M281" s="662">
        <v>985.76</v>
      </c>
      <c r="N281" s="661">
        <v>4</v>
      </c>
      <c r="O281" s="742">
        <v>1</v>
      </c>
      <c r="P281" s="662">
        <v>985.76</v>
      </c>
      <c r="Q281" s="677">
        <v>1</v>
      </c>
      <c r="R281" s="661">
        <v>4</v>
      </c>
      <c r="S281" s="677">
        <v>1</v>
      </c>
      <c r="T281" s="742">
        <v>1</v>
      </c>
      <c r="U281" s="700">
        <v>1</v>
      </c>
    </row>
    <row r="282" spans="1:21" ht="14.4" customHeight="1" x14ac:dyDescent="0.3">
      <c r="A282" s="660">
        <v>50</v>
      </c>
      <c r="B282" s="661" t="s">
        <v>553</v>
      </c>
      <c r="C282" s="661">
        <v>89301502</v>
      </c>
      <c r="D282" s="740" t="s">
        <v>2564</v>
      </c>
      <c r="E282" s="741" t="s">
        <v>1920</v>
      </c>
      <c r="F282" s="661" t="s">
        <v>1907</v>
      </c>
      <c r="G282" s="661" t="s">
        <v>2308</v>
      </c>
      <c r="H282" s="661" t="s">
        <v>995</v>
      </c>
      <c r="I282" s="661" t="s">
        <v>2313</v>
      </c>
      <c r="J282" s="661" t="s">
        <v>2314</v>
      </c>
      <c r="K282" s="661" t="s">
        <v>1137</v>
      </c>
      <c r="L282" s="662">
        <v>0</v>
      </c>
      <c r="M282" s="662">
        <v>0</v>
      </c>
      <c r="N282" s="661">
        <v>1</v>
      </c>
      <c r="O282" s="742">
        <v>0.5</v>
      </c>
      <c r="P282" s="662"/>
      <c r="Q282" s="677"/>
      <c r="R282" s="661"/>
      <c r="S282" s="677">
        <v>0</v>
      </c>
      <c r="T282" s="742"/>
      <c r="U282" s="700">
        <v>0</v>
      </c>
    </row>
    <row r="283" spans="1:21" ht="14.4" customHeight="1" x14ac:dyDescent="0.3">
      <c r="A283" s="660">
        <v>50</v>
      </c>
      <c r="B283" s="661" t="s">
        <v>553</v>
      </c>
      <c r="C283" s="661">
        <v>89301502</v>
      </c>
      <c r="D283" s="740" t="s">
        <v>2564</v>
      </c>
      <c r="E283" s="741" t="s">
        <v>1920</v>
      </c>
      <c r="F283" s="661" t="s">
        <v>1907</v>
      </c>
      <c r="G283" s="661" t="s">
        <v>2270</v>
      </c>
      <c r="H283" s="661" t="s">
        <v>995</v>
      </c>
      <c r="I283" s="661" t="s">
        <v>1630</v>
      </c>
      <c r="J283" s="661" t="s">
        <v>1631</v>
      </c>
      <c r="K283" s="661" t="s">
        <v>1632</v>
      </c>
      <c r="L283" s="662">
        <v>119.7</v>
      </c>
      <c r="M283" s="662">
        <v>119.7</v>
      </c>
      <c r="N283" s="661">
        <v>1</v>
      </c>
      <c r="O283" s="742">
        <v>0.5</v>
      </c>
      <c r="P283" s="662"/>
      <c r="Q283" s="677">
        <v>0</v>
      </c>
      <c r="R283" s="661"/>
      <c r="S283" s="677">
        <v>0</v>
      </c>
      <c r="T283" s="742"/>
      <c r="U283" s="700">
        <v>0</v>
      </c>
    </row>
    <row r="284" spans="1:21" ht="14.4" customHeight="1" x14ac:dyDescent="0.3">
      <c r="A284" s="660">
        <v>50</v>
      </c>
      <c r="B284" s="661" t="s">
        <v>553</v>
      </c>
      <c r="C284" s="661">
        <v>89301502</v>
      </c>
      <c r="D284" s="740" t="s">
        <v>2564</v>
      </c>
      <c r="E284" s="741" t="s">
        <v>1920</v>
      </c>
      <c r="F284" s="661" t="s">
        <v>1907</v>
      </c>
      <c r="G284" s="661" t="s">
        <v>1932</v>
      </c>
      <c r="H284" s="661" t="s">
        <v>995</v>
      </c>
      <c r="I284" s="661" t="s">
        <v>1060</v>
      </c>
      <c r="J284" s="661" t="s">
        <v>1061</v>
      </c>
      <c r="K284" s="661" t="s">
        <v>974</v>
      </c>
      <c r="L284" s="662">
        <v>65.540000000000006</v>
      </c>
      <c r="M284" s="662">
        <v>131.08000000000001</v>
      </c>
      <c r="N284" s="661">
        <v>2</v>
      </c>
      <c r="O284" s="742">
        <v>0.5</v>
      </c>
      <c r="P284" s="662"/>
      <c r="Q284" s="677">
        <v>0</v>
      </c>
      <c r="R284" s="661"/>
      <c r="S284" s="677">
        <v>0</v>
      </c>
      <c r="T284" s="742"/>
      <c r="U284" s="700">
        <v>0</v>
      </c>
    </row>
    <row r="285" spans="1:21" ht="14.4" customHeight="1" x14ac:dyDescent="0.3">
      <c r="A285" s="660">
        <v>50</v>
      </c>
      <c r="B285" s="661" t="s">
        <v>553</v>
      </c>
      <c r="C285" s="661">
        <v>89301502</v>
      </c>
      <c r="D285" s="740" t="s">
        <v>2564</v>
      </c>
      <c r="E285" s="741" t="s">
        <v>1920</v>
      </c>
      <c r="F285" s="661" t="s">
        <v>1907</v>
      </c>
      <c r="G285" s="661" t="s">
        <v>1932</v>
      </c>
      <c r="H285" s="661" t="s">
        <v>995</v>
      </c>
      <c r="I285" s="661" t="s">
        <v>2315</v>
      </c>
      <c r="J285" s="661" t="s">
        <v>1061</v>
      </c>
      <c r="K285" s="661" t="s">
        <v>2316</v>
      </c>
      <c r="L285" s="662">
        <v>229.38</v>
      </c>
      <c r="M285" s="662">
        <v>229.38</v>
      </c>
      <c r="N285" s="661">
        <v>1</v>
      </c>
      <c r="O285" s="742">
        <v>0.5</v>
      </c>
      <c r="P285" s="662"/>
      <c r="Q285" s="677">
        <v>0</v>
      </c>
      <c r="R285" s="661"/>
      <c r="S285" s="677">
        <v>0</v>
      </c>
      <c r="T285" s="742"/>
      <c r="U285" s="700">
        <v>0</v>
      </c>
    </row>
    <row r="286" spans="1:21" ht="14.4" customHeight="1" x14ac:dyDescent="0.3">
      <c r="A286" s="660">
        <v>50</v>
      </c>
      <c r="B286" s="661" t="s">
        <v>553</v>
      </c>
      <c r="C286" s="661">
        <v>89301502</v>
      </c>
      <c r="D286" s="740" t="s">
        <v>2564</v>
      </c>
      <c r="E286" s="741" t="s">
        <v>1920</v>
      </c>
      <c r="F286" s="661" t="s">
        <v>1907</v>
      </c>
      <c r="G286" s="661" t="s">
        <v>1926</v>
      </c>
      <c r="H286" s="661" t="s">
        <v>554</v>
      </c>
      <c r="I286" s="661" t="s">
        <v>2317</v>
      </c>
      <c r="J286" s="661" t="s">
        <v>1049</v>
      </c>
      <c r="K286" s="661" t="s">
        <v>1095</v>
      </c>
      <c r="L286" s="662">
        <v>105.32</v>
      </c>
      <c r="M286" s="662">
        <v>105.32</v>
      </c>
      <c r="N286" s="661">
        <v>1</v>
      </c>
      <c r="O286" s="742">
        <v>1</v>
      </c>
      <c r="P286" s="662"/>
      <c r="Q286" s="677">
        <v>0</v>
      </c>
      <c r="R286" s="661"/>
      <c r="S286" s="677">
        <v>0</v>
      </c>
      <c r="T286" s="742"/>
      <c r="U286" s="700">
        <v>0</v>
      </c>
    </row>
    <row r="287" spans="1:21" ht="14.4" customHeight="1" x14ac:dyDescent="0.3">
      <c r="A287" s="660">
        <v>50</v>
      </c>
      <c r="B287" s="661" t="s">
        <v>553</v>
      </c>
      <c r="C287" s="661">
        <v>89301502</v>
      </c>
      <c r="D287" s="740" t="s">
        <v>2564</v>
      </c>
      <c r="E287" s="741" t="s">
        <v>1920</v>
      </c>
      <c r="F287" s="661" t="s">
        <v>1907</v>
      </c>
      <c r="G287" s="661" t="s">
        <v>1926</v>
      </c>
      <c r="H287" s="661" t="s">
        <v>554</v>
      </c>
      <c r="I287" s="661" t="s">
        <v>2107</v>
      </c>
      <c r="J287" s="661" t="s">
        <v>2108</v>
      </c>
      <c r="K287" s="661" t="s">
        <v>2109</v>
      </c>
      <c r="L287" s="662">
        <v>16.38</v>
      </c>
      <c r="M287" s="662">
        <v>98.28</v>
      </c>
      <c r="N287" s="661">
        <v>6</v>
      </c>
      <c r="O287" s="742">
        <v>1</v>
      </c>
      <c r="P287" s="662"/>
      <c r="Q287" s="677">
        <v>0</v>
      </c>
      <c r="R287" s="661"/>
      <c r="S287" s="677">
        <v>0</v>
      </c>
      <c r="T287" s="742"/>
      <c r="U287" s="700">
        <v>0</v>
      </c>
    </row>
    <row r="288" spans="1:21" ht="14.4" customHeight="1" x14ac:dyDescent="0.3">
      <c r="A288" s="660">
        <v>50</v>
      </c>
      <c r="B288" s="661" t="s">
        <v>553</v>
      </c>
      <c r="C288" s="661">
        <v>89301502</v>
      </c>
      <c r="D288" s="740" t="s">
        <v>2564</v>
      </c>
      <c r="E288" s="741" t="s">
        <v>1920</v>
      </c>
      <c r="F288" s="661" t="s">
        <v>1907</v>
      </c>
      <c r="G288" s="661" t="s">
        <v>1926</v>
      </c>
      <c r="H288" s="661" t="s">
        <v>554</v>
      </c>
      <c r="I288" s="661" t="s">
        <v>2318</v>
      </c>
      <c r="J288" s="661" t="s">
        <v>2319</v>
      </c>
      <c r="K288" s="661" t="s">
        <v>2320</v>
      </c>
      <c r="L288" s="662">
        <v>32.76</v>
      </c>
      <c r="M288" s="662">
        <v>131.04</v>
      </c>
      <c r="N288" s="661">
        <v>4</v>
      </c>
      <c r="O288" s="742">
        <v>1</v>
      </c>
      <c r="P288" s="662">
        <v>65.52</v>
      </c>
      <c r="Q288" s="677">
        <v>0.5</v>
      </c>
      <c r="R288" s="661">
        <v>2</v>
      </c>
      <c r="S288" s="677">
        <v>0.5</v>
      </c>
      <c r="T288" s="742">
        <v>0.5</v>
      </c>
      <c r="U288" s="700">
        <v>0.5</v>
      </c>
    </row>
    <row r="289" spans="1:21" ht="14.4" customHeight="1" x14ac:dyDescent="0.3">
      <c r="A289" s="660">
        <v>50</v>
      </c>
      <c r="B289" s="661" t="s">
        <v>553</v>
      </c>
      <c r="C289" s="661">
        <v>89301502</v>
      </c>
      <c r="D289" s="740" t="s">
        <v>2564</v>
      </c>
      <c r="E289" s="741" t="s">
        <v>1920</v>
      </c>
      <c r="F289" s="661" t="s">
        <v>1907</v>
      </c>
      <c r="G289" s="661" t="s">
        <v>1926</v>
      </c>
      <c r="H289" s="661" t="s">
        <v>995</v>
      </c>
      <c r="I289" s="661" t="s">
        <v>1048</v>
      </c>
      <c r="J289" s="661" t="s">
        <v>1049</v>
      </c>
      <c r="K289" s="661" t="s">
        <v>1050</v>
      </c>
      <c r="L289" s="662">
        <v>35.11</v>
      </c>
      <c r="M289" s="662">
        <v>421.32</v>
      </c>
      <c r="N289" s="661">
        <v>12</v>
      </c>
      <c r="O289" s="742">
        <v>3.5</v>
      </c>
      <c r="P289" s="662">
        <v>421.32</v>
      </c>
      <c r="Q289" s="677">
        <v>1</v>
      </c>
      <c r="R289" s="661">
        <v>12</v>
      </c>
      <c r="S289" s="677">
        <v>1</v>
      </c>
      <c r="T289" s="742">
        <v>3.5</v>
      </c>
      <c r="U289" s="700">
        <v>1</v>
      </c>
    </row>
    <row r="290" spans="1:21" ht="14.4" customHeight="1" x14ac:dyDescent="0.3">
      <c r="A290" s="660">
        <v>50</v>
      </c>
      <c r="B290" s="661" t="s">
        <v>553</v>
      </c>
      <c r="C290" s="661">
        <v>89301502</v>
      </c>
      <c r="D290" s="740" t="s">
        <v>2564</v>
      </c>
      <c r="E290" s="741" t="s">
        <v>1920</v>
      </c>
      <c r="F290" s="661" t="s">
        <v>1907</v>
      </c>
      <c r="G290" s="661" t="s">
        <v>2321</v>
      </c>
      <c r="H290" s="661" t="s">
        <v>554</v>
      </c>
      <c r="I290" s="661" t="s">
        <v>2322</v>
      </c>
      <c r="J290" s="661" t="s">
        <v>2323</v>
      </c>
      <c r="K290" s="661" t="s">
        <v>2204</v>
      </c>
      <c r="L290" s="662">
        <v>321.79000000000002</v>
      </c>
      <c r="M290" s="662">
        <v>321.79000000000002</v>
      </c>
      <c r="N290" s="661">
        <v>1</v>
      </c>
      <c r="O290" s="742">
        <v>0.5</v>
      </c>
      <c r="P290" s="662"/>
      <c r="Q290" s="677">
        <v>0</v>
      </c>
      <c r="R290" s="661"/>
      <c r="S290" s="677">
        <v>0</v>
      </c>
      <c r="T290" s="742"/>
      <c r="U290" s="700">
        <v>0</v>
      </c>
    </row>
    <row r="291" spans="1:21" ht="14.4" customHeight="1" x14ac:dyDescent="0.3">
      <c r="A291" s="660">
        <v>50</v>
      </c>
      <c r="B291" s="661" t="s">
        <v>553</v>
      </c>
      <c r="C291" s="661">
        <v>89301502</v>
      </c>
      <c r="D291" s="740" t="s">
        <v>2564</v>
      </c>
      <c r="E291" s="741" t="s">
        <v>1920</v>
      </c>
      <c r="F291" s="661" t="s">
        <v>1907</v>
      </c>
      <c r="G291" s="661" t="s">
        <v>2324</v>
      </c>
      <c r="H291" s="661" t="s">
        <v>554</v>
      </c>
      <c r="I291" s="661" t="s">
        <v>2325</v>
      </c>
      <c r="J291" s="661" t="s">
        <v>2326</v>
      </c>
      <c r="K291" s="661" t="s">
        <v>2327</v>
      </c>
      <c r="L291" s="662">
        <v>277.67</v>
      </c>
      <c r="M291" s="662">
        <v>555.34</v>
      </c>
      <c r="N291" s="661">
        <v>2</v>
      </c>
      <c r="O291" s="742">
        <v>0.5</v>
      </c>
      <c r="P291" s="662"/>
      <c r="Q291" s="677">
        <v>0</v>
      </c>
      <c r="R291" s="661"/>
      <c r="S291" s="677">
        <v>0</v>
      </c>
      <c r="T291" s="742"/>
      <c r="U291" s="700">
        <v>0</v>
      </c>
    </row>
    <row r="292" spans="1:21" ht="14.4" customHeight="1" x14ac:dyDescent="0.3">
      <c r="A292" s="660">
        <v>50</v>
      </c>
      <c r="B292" s="661" t="s">
        <v>553</v>
      </c>
      <c r="C292" s="661">
        <v>89301502</v>
      </c>
      <c r="D292" s="740" t="s">
        <v>2564</v>
      </c>
      <c r="E292" s="741" t="s">
        <v>1920</v>
      </c>
      <c r="F292" s="661" t="s">
        <v>1907</v>
      </c>
      <c r="G292" s="661" t="s">
        <v>1933</v>
      </c>
      <c r="H292" s="661" t="s">
        <v>554</v>
      </c>
      <c r="I292" s="661" t="s">
        <v>1223</v>
      </c>
      <c r="J292" s="661" t="s">
        <v>1224</v>
      </c>
      <c r="K292" s="661" t="s">
        <v>1864</v>
      </c>
      <c r="L292" s="662">
        <v>66.819999999999993</v>
      </c>
      <c r="M292" s="662">
        <v>66.819999999999993</v>
      </c>
      <c r="N292" s="661">
        <v>1</v>
      </c>
      <c r="O292" s="742">
        <v>1</v>
      </c>
      <c r="P292" s="662"/>
      <c r="Q292" s="677">
        <v>0</v>
      </c>
      <c r="R292" s="661"/>
      <c r="S292" s="677">
        <v>0</v>
      </c>
      <c r="T292" s="742"/>
      <c r="U292" s="700">
        <v>0</v>
      </c>
    </row>
    <row r="293" spans="1:21" ht="14.4" customHeight="1" x14ac:dyDescent="0.3">
      <c r="A293" s="660">
        <v>50</v>
      </c>
      <c r="B293" s="661" t="s">
        <v>553</v>
      </c>
      <c r="C293" s="661">
        <v>89301502</v>
      </c>
      <c r="D293" s="740" t="s">
        <v>2564</v>
      </c>
      <c r="E293" s="741" t="s">
        <v>1920</v>
      </c>
      <c r="F293" s="661" t="s">
        <v>1907</v>
      </c>
      <c r="G293" s="661" t="s">
        <v>2328</v>
      </c>
      <c r="H293" s="661" t="s">
        <v>995</v>
      </c>
      <c r="I293" s="661" t="s">
        <v>2329</v>
      </c>
      <c r="J293" s="661" t="s">
        <v>2330</v>
      </c>
      <c r="K293" s="661" t="s">
        <v>2331</v>
      </c>
      <c r="L293" s="662">
        <v>2026.32</v>
      </c>
      <c r="M293" s="662">
        <v>8105.28</v>
      </c>
      <c r="N293" s="661">
        <v>4</v>
      </c>
      <c r="O293" s="742">
        <v>2</v>
      </c>
      <c r="P293" s="662">
        <v>8105.28</v>
      </c>
      <c r="Q293" s="677">
        <v>1</v>
      </c>
      <c r="R293" s="661">
        <v>4</v>
      </c>
      <c r="S293" s="677">
        <v>1</v>
      </c>
      <c r="T293" s="742">
        <v>2</v>
      </c>
      <c r="U293" s="700">
        <v>1</v>
      </c>
    </row>
    <row r="294" spans="1:21" ht="14.4" customHeight="1" x14ac:dyDescent="0.3">
      <c r="A294" s="660">
        <v>50</v>
      </c>
      <c r="B294" s="661" t="s">
        <v>553</v>
      </c>
      <c r="C294" s="661">
        <v>89301502</v>
      </c>
      <c r="D294" s="740" t="s">
        <v>2564</v>
      </c>
      <c r="E294" s="741" t="s">
        <v>1920</v>
      </c>
      <c r="F294" s="661" t="s">
        <v>1907</v>
      </c>
      <c r="G294" s="661" t="s">
        <v>2332</v>
      </c>
      <c r="H294" s="661" t="s">
        <v>554</v>
      </c>
      <c r="I294" s="661" t="s">
        <v>2333</v>
      </c>
      <c r="J294" s="661" t="s">
        <v>2334</v>
      </c>
      <c r="K294" s="661" t="s">
        <v>2335</v>
      </c>
      <c r="L294" s="662">
        <v>0</v>
      </c>
      <c r="M294" s="662">
        <v>0</v>
      </c>
      <c r="N294" s="661">
        <v>1</v>
      </c>
      <c r="O294" s="742">
        <v>0.5</v>
      </c>
      <c r="P294" s="662"/>
      <c r="Q294" s="677"/>
      <c r="R294" s="661"/>
      <c r="S294" s="677">
        <v>0</v>
      </c>
      <c r="T294" s="742"/>
      <c r="U294" s="700">
        <v>0</v>
      </c>
    </row>
    <row r="295" spans="1:21" ht="14.4" customHeight="1" x14ac:dyDescent="0.3">
      <c r="A295" s="660">
        <v>50</v>
      </c>
      <c r="B295" s="661" t="s">
        <v>553</v>
      </c>
      <c r="C295" s="661">
        <v>89301502</v>
      </c>
      <c r="D295" s="740" t="s">
        <v>2564</v>
      </c>
      <c r="E295" s="741" t="s">
        <v>1920</v>
      </c>
      <c r="F295" s="661" t="s">
        <v>1907</v>
      </c>
      <c r="G295" s="661" t="s">
        <v>2336</v>
      </c>
      <c r="H295" s="661" t="s">
        <v>554</v>
      </c>
      <c r="I295" s="661" t="s">
        <v>2337</v>
      </c>
      <c r="J295" s="661" t="s">
        <v>765</v>
      </c>
      <c r="K295" s="661" t="s">
        <v>2338</v>
      </c>
      <c r="L295" s="662">
        <v>0</v>
      </c>
      <c r="M295" s="662">
        <v>0</v>
      </c>
      <c r="N295" s="661">
        <v>4</v>
      </c>
      <c r="O295" s="742">
        <v>1.5</v>
      </c>
      <c r="P295" s="662">
        <v>0</v>
      </c>
      <c r="Q295" s="677"/>
      <c r="R295" s="661">
        <v>1</v>
      </c>
      <c r="S295" s="677">
        <v>0.25</v>
      </c>
      <c r="T295" s="742">
        <v>0.5</v>
      </c>
      <c r="U295" s="700">
        <v>0.33333333333333331</v>
      </c>
    </row>
    <row r="296" spans="1:21" ht="14.4" customHeight="1" x14ac:dyDescent="0.3">
      <c r="A296" s="660">
        <v>50</v>
      </c>
      <c r="B296" s="661" t="s">
        <v>553</v>
      </c>
      <c r="C296" s="661">
        <v>89301502</v>
      </c>
      <c r="D296" s="740" t="s">
        <v>2564</v>
      </c>
      <c r="E296" s="741" t="s">
        <v>1920</v>
      </c>
      <c r="F296" s="661" t="s">
        <v>1907</v>
      </c>
      <c r="G296" s="661" t="s">
        <v>2339</v>
      </c>
      <c r="H296" s="661" t="s">
        <v>554</v>
      </c>
      <c r="I296" s="661" t="s">
        <v>744</v>
      </c>
      <c r="J296" s="661" t="s">
        <v>745</v>
      </c>
      <c r="K296" s="661" t="s">
        <v>2001</v>
      </c>
      <c r="L296" s="662">
        <v>0</v>
      </c>
      <c r="M296" s="662">
        <v>0</v>
      </c>
      <c r="N296" s="661">
        <v>2</v>
      </c>
      <c r="O296" s="742">
        <v>0.5</v>
      </c>
      <c r="P296" s="662">
        <v>0</v>
      </c>
      <c r="Q296" s="677"/>
      <c r="R296" s="661">
        <v>2</v>
      </c>
      <c r="S296" s="677">
        <v>1</v>
      </c>
      <c r="T296" s="742">
        <v>0.5</v>
      </c>
      <c r="U296" s="700">
        <v>1</v>
      </c>
    </row>
    <row r="297" spans="1:21" ht="14.4" customHeight="1" x14ac:dyDescent="0.3">
      <c r="A297" s="660">
        <v>50</v>
      </c>
      <c r="B297" s="661" t="s">
        <v>553</v>
      </c>
      <c r="C297" s="661">
        <v>89301502</v>
      </c>
      <c r="D297" s="740" t="s">
        <v>2564</v>
      </c>
      <c r="E297" s="741" t="s">
        <v>1920</v>
      </c>
      <c r="F297" s="661" t="s">
        <v>1907</v>
      </c>
      <c r="G297" s="661" t="s">
        <v>2340</v>
      </c>
      <c r="H297" s="661" t="s">
        <v>554</v>
      </c>
      <c r="I297" s="661" t="s">
        <v>2341</v>
      </c>
      <c r="J297" s="661" t="s">
        <v>2342</v>
      </c>
      <c r="K297" s="661" t="s">
        <v>2343</v>
      </c>
      <c r="L297" s="662">
        <v>58.29</v>
      </c>
      <c r="M297" s="662">
        <v>233.16</v>
      </c>
      <c r="N297" s="661">
        <v>4</v>
      </c>
      <c r="O297" s="742">
        <v>0.5</v>
      </c>
      <c r="P297" s="662"/>
      <c r="Q297" s="677">
        <v>0</v>
      </c>
      <c r="R297" s="661"/>
      <c r="S297" s="677">
        <v>0</v>
      </c>
      <c r="T297" s="742"/>
      <c r="U297" s="700">
        <v>0</v>
      </c>
    </row>
    <row r="298" spans="1:21" ht="14.4" customHeight="1" x14ac:dyDescent="0.3">
      <c r="A298" s="660">
        <v>50</v>
      </c>
      <c r="B298" s="661" t="s">
        <v>553</v>
      </c>
      <c r="C298" s="661">
        <v>89301502</v>
      </c>
      <c r="D298" s="740" t="s">
        <v>2564</v>
      </c>
      <c r="E298" s="741" t="s">
        <v>1920</v>
      </c>
      <c r="F298" s="661" t="s">
        <v>1907</v>
      </c>
      <c r="G298" s="661" t="s">
        <v>1937</v>
      </c>
      <c r="H298" s="661" t="s">
        <v>554</v>
      </c>
      <c r="I298" s="661" t="s">
        <v>768</v>
      </c>
      <c r="J298" s="661" t="s">
        <v>1939</v>
      </c>
      <c r="K298" s="661" t="s">
        <v>1941</v>
      </c>
      <c r="L298" s="662">
        <v>63.7</v>
      </c>
      <c r="M298" s="662">
        <v>254.8</v>
      </c>
      <c r="N298" s="661">
        <v>4</v>
      </c>
      <c r="O298" s="742">
        <v>1.5</v>
      </c>
      <c r="P298" s="662">
        <v>63.7</v>
      </c>
      <c r="Q298" s="677">
        <v>0.25</v>
      </c>
      <c r="R298" s="661">
        <v>1</v>
      </c>
      <c r="S298" s="677">
        <v>0.25</v>
      </c>
      <c r="T298" s="742">
        <v>0.5</v>
      </c>
      <c r="U298" s="700">
        <v>0.33333333333333331</v>
      </c>
    </row>
    <row r="299" spans="1:21" ht="14.4" customHeight="1" x14ac:dyDescent="0.3">
      <c r="A299" s="660">
        <v>50</v>
      </c>
      <c r="B299" s="661" t="s">
        <v>553</v>
      </c>
      <c r="C299" s="661">
        <v>89301502</v>
      </c>
      <c r="D299" s="740" t="s">
        <v>2564</v>
      </c>
      <c r="E299" s="741" t="s">
        <v>1920</v>
      </c>
      <c r="F299" s="661" t="s">
        <v>1907</v>
      </c>
      <c r="G299" s="661" t="s">
        <v>2042</v>
      </c>
      <c r="H299" s="661" t="s">
        <v>554</v>
      </c>
      <c r="I299" s="661" t="s">
        <v>2344</v>
      </c>
      <c r="J299" s="661" t="s">
        <v>2345</v>
      </c>
      <c r="K299" s="661" t="s">
        <v>2346</v>
      </c>
      <c r="L299" s="662">
        <v>46.25</v>
      </c>
      <c r="M299" s="662">
        <v>138.75</v>
      </c>
      <c r="N299" s="661">
        <v>3</v>
      </c>
      <c r="O299" s="742">
        <v>0.5</v>
      </c>
      <c r="P299" s="662"/>
      <c r="Q299" s="677">
        <v>0</v>
      </c>
      <c r="R299" s="661"/>
      <c r="S299" s="677">
        <v>0</v>
      </c>
      <c r="T299" s="742"/>
      <c r="U299" s="700">
        <v>0</v>
      </c>
    </row>
    <row r="300" spans="1:21" ht="14.4" customHeight="1" x14ac:dyDescent="0.3">
      <c r="A300" s="660">
        <v>50</v>
      </c>
      <c r="B300" s="661" t="s">
        <v>553</v>
      </c>
      <c r="C300" s="661">
        <v>89301502</v>
      </c>
      <c r="D300" s="740" t="s">
        <v>2564</v>
      </c>
      <c r="E300" s="741" t="s">
        <v>1920</v>
      </c>
      <c r="F300" s="661" t="s">
        <v>1907</v>
      </c>
      <c r="G300" s="661" t="s">
        <v>2347</v>
      </c>
      <c r="H300" s="661" t="s">
        <v>554</v>
      </c>
      <c r="I300" s="661" t="s">
        <v>732</v>
      </c>
      <c r="J300" s="661" t="s">
        <v>733</v>
      </c>
      <c r="K300" s="661" t="s">
        <v>2348</v>
      </c>
      <c r="L300" s="662">
        <v>156.77000000000001</v>
      </c>
      <c r="M300" s="662">
        <v>12228.060000000003</v>
      </c>
      <c r="N300" s="661">
        <v>78</v>
      </c>
      <c r="O300" s="742">
        <v>17</v>
      </c>
      <c r="P300" s="662">
        <v>4703.1000000000013</v>
      </c>
      <c r="Q300" s="677">
        <v>0.38461538461538464</v>
      </c>
      <c r="R300" s="661">
        <v>30</v>
      </c>
      <c r="S300" s="677">
        <v>0.38461538461538464</v>
      </c>
      <c r="T300" s="742">
        <v>5.5</v>
      </c>
      <c r="U300" s="700">
        <v>0.3235294117647059</v>
      </c>
    </row>
    <row r="301" spans="1:21" ht="14.4" customHeight="1" x14ac:dyDescent="0.3">
      <c r="A301" s="660">
        <v>50</v>
      </c>
      <c r="B301" s="661" t="s">
        <v>553</v>
      </c>
      <c r="C301" s="661">
        <v>89301502</v>
      </c>
      <c r="D301" s="740" t="s">
        <v>2564</v>
      </c>
      <c r="E301" s="741" t="s">
        <v>1920</v>
      </c>
      <c r="F301" s="661" t="s">
        <v>1907</v>
      </c>
      <c r="G301" s="661" t="s">
        <v>2349</v>
      </c>
      <c r="H301" s="661" t="s">
        <v>995</v>
      </c>
      <c r="I301" s="661" t="s">
        <v>2350</v>
      </c>
      <c r="J301" s="661" t="s">
        <v>2351</v>
      </c>
      <c r="K301" s="661" t="s">
        <v>2352</v>
      </c>
      <c r="L301" s="662">
        <v>287.95999999999998</v>
      </c>
      <c r="M301" s="662">
        <v>287.95999999999998</v>
      </c>
      <c r="N301" s="661">
        <v>1</v>
      </c>
      <c r="O301" s="742">
        <v>0.5</v>
      </c>
      <c r="P301" s="662"/>
      <c r="Q301" s="677">
        <v>0</v>
      </c>
      <c r="R301" s="661"/>
      <c r="S301" s="677">
        <v>0</v>
      </c>
      <c r="T301" s="742"/>
      <c r="U301" s="700">
        <v>0</v>
      </c>
    </row>
    <row r="302" spans="1:21" ht="14.4" customHeight="1" x14ac:dyDescent="0.3">
      <c r="A302" s="660">
        <v>50</v>
      </c>
      <c r="B302" s="661" t="s">
        <v>553</v>
      </c>
      <c r="C302" s="661">
        <v>89301502</v>
      </c>
      <c r="D302" s="740" t="s">
        <v>2564</v>
      </c>
      <c r="E302" s="741" t="s">
        <v>1920</v>
      </c>
      <c r="F302" s="661" t="s">
        <v>1907</v>
      </c>
      <c r="G302" s="661" t="s">
        <v>2353</v>
      </c>
      <c r="H302" s="661" t="s">
        <v>554</v>
      </c>
      <c r="I302" s="661" t="s">
        <v>636</v>
      </c>
      <c r="J302" s="661" t="s">
        <v>637</v>
      </c>
      <c r="K302" s="661" t="s">
        <v>2354</v>
      </c>
      <c r="L302" s="662">
        <v>27.28</v>
      </c>
      <c r="M302" s="662">
        <v>54.56</v>
      </c>
      <c r="N302" s="661">
        <v>2</v>
      </c>
      <c r="O302" s="742">
        <v>0.5</v>
      </c>
      <c r="P302" s="662"/>
      <c r="Q302" s="677">
        <v>0</v>
      </c>
      <c r="R302" s="661"/>
      <c r="S302" s="677">
        <v>0</v>
      </c>
      <c r="T302" s="742"/>
      <c r="U302" s="700">
        <v>0</v>
      </c>
    </row>
    <row r="303" spans="1:21" ht="14.4" customHeight="1" x14ac:dyDescent="0.3">
      <c r="A303" s="660">
        <v>50</v>
      </c>
      <c r="B303" s="661" t="s">
        <v>553</v>
      </c>
      <c r="C303" s="661">
        <v>89301502</v>
      </c>
      <c r="D303" s="740" t="s">
        <v>2564</v>
      </c>
      <c r="E303" s="741" t="s">
        <v>1920</v>
      </c>
      <c r="F303" s="661" t="s">
        <v>1907</v>
      </c>
      <c r="G303" s="661" t="s">
        <v>2355</v>
      </c>
      <c r="H303" s="661" t="s">
        <v>554</v>
      </c>
      <c r="I303" s="661" t="s">
        <v>2356</v>
      </c>
      <c r="J303" s="661" t="s">
        <v>2357</v>
      </c>
      <c r="K303" s="661" t="s">
        <v>1884</v>
      </c>
      <c r="L303" s="662">
        <v>0</v>
      </c>
      <c r="M303" s="662">
        <v>0</v>
      </c>
      <c r="N303" s="661">
        <v>2</v>
      </c>
      <c r="O303" s="742">
        <v>1</v>
      </c>
      <c r="P303" s="662">
        <v>0</v>
      </c>
      <c r="Q303" s="677"/>
      <c r="R303" s="661">
        <v>2</v>
      </c>
      <c r="S303" s="677">
        <v>1</v>
      </c>
      <c r="T303" s="742">
        <v>1</v>
      </c>
      <c r="U303" s="700">
        <v>1</v>
      </c>
    </row>
    <row r="304" spans="1:21" ht="14.4" customHeight="1" x14ac:dyDescent="0.3">
      <c r="A304" s="660">
        <v>50</v>
      </c>
      <c r="B304" s="661" t="s">
        <v>553</v>
      </c>
      <c r="C304" s="661">
        <v>89301502</v>
      </c>
      <c r="D304" s="740" t="s">
        <v>2564</v>
      </c>
      <c r="E304" s="741" t="s">
        <v>1920</v>
      </c>
      <c r="F304" s="661" t="s">
        <v>1907</v>
      </c>
      <c r="G304" s="661" t="s">
        <v>2355</v>
      </c>
      <c r="H304" s="661" t="s">
        <v>554</v>
      </c>
      <c r="I304" s="661" t="s">
        <v>1609</v>
      </c>
      <c r="J304" s="661" t="s">
        <v>1610</v>
      </c>
      <c r="K304" s="661" t="s">
        <v>1884</v>
      </c>
      <c r="L304" s="662">
        <v>111.72</v>
      </c>
      <c r="M304" s="662">
        <v>111.72</v>
      </c>
      <c r="N304" s="661">
        <v>1</v>
      </c>
      <c r="O304" s="742">
        <v>1</v>
      </c>
      <c r="P304" s="662"/>
      <c r="Q304" s="677">
        <v>0</v>
      </c>
      <c r="R304" s="661"/>
      <c r="S304" s="677">
        <v>0</v>
      </c>
      <c r="T304" s="742"/>
      <c r="U304" s="700">
        <v>0</v>
      </c>
    </row>
    <row r="305" spans="1:21" ht="14.4" customHeight="1" x14ac:dyDescent="0.3">
      <c r="A305" s="660">
        <v>50</v>
      </c>
      <c r="B305" s="661" t="s">
        <v>553</v>
      </c>
      <c r="C305" s="661">
        <v>89301502</v>
      </c>
      <c r="D305" s="740" t="s">
        <v>2564</v>
      </c>
      <c r="E305" s="741" t="s">
        <v>1920</v>
      </c>
      <c r="F305" s="661" t="s">
        <v>1907</v>
      </c>
      <c r="G305" s="661" t="s">
        <v>2355</v>
      </c>
      <c r="H305" s="661" t="s">
        <v>554</v>
      </c>
      <c r="I305" s="661" t="s">
        <v>2358</v>
      </c>
      <c r="J305" s="661" t="s">
        <v>1610</v>
      </c>
      <c r="K305" s="661" t="s">
        <v>2359</v>
      </c>
      <c r="L305" s="662">
        <v>0</v>
      </c>
      <c r="M305" s="662">
        <v>0</v>
      </c>
      <c r="N305" s="661">
        <v>2</v>
      </c>
      <c r="O305" s="742">
        <v>1</v>
      </c>
      <c r="P305" s="662"/>
      <c r="Q305" s="677"/>
      <c r="R305" s="661"/>
      <c r="S305" s="677">
        <v>0</v>
      </c>
      <c r="T305" s="742"/>
      <c r="U305" s="700">
        <v>0</v>
      </c>
    </row>
    <row r="306" spans="1:21" ht="14.4" customHeight="1" x14ac:dyDescent="0.3">
      <c r="A306" s="660">
        <v>50</v>
      </c>
      <c r="B306" s="661" t="s">
        <v>553</v>
      </c>
      <c r="C306" s="661">
        <v>89301502</v>
      </c>
      <c r="D306" s="740" t="s">
        <v>2564</v>
      </c>
      <c r="E306" s="741" t="s">
        <v>1920</v>
      </c>
      <c r="F306" s="661" t="s">
        <v>1907</v>
      </c>
      <c r="G306" s="661" t="s">
        <v>1927</v>
      </c>
      <c r="H306" s="661" t="s">
        <v>995</v>
      </c>
      <c r="I306" s="661" t="s">
        <v>1998</v>
      </c>
      <c r="J306" s="661" t="s">
        <v>1165</v>
      </c>
      <c r="K306" s="661" t="s">
        <v>1999</v>
      </c>
      <c r="L306" s="662">
        <v>186.87</v>
      </c>
      <c r="M306" s="662">
        <v>747.48</v>
      </c>
      <c r="N306" s="661">
        <v>4</v>
      </c>
      <c r="O306" s="742">
        <v>2</v>
      </c>
      <c r="P306" s="662"/>
      <c r="Q306" s="677">
        <v>0</v>
      </c>
      <c r="R306" s="661"/>
      <c r="S306" s="677">
        <v>0</v>
      </c>
      <c r="T306" s="742"/>
      <c r="U306" s="700">
        <v>0</v>
      </c>
    </row>
    <row r="307" spans="1:21" ht="14.4" customHeight="1" x14ac:dyDescent="0.3">
      <c r="A307" s="660">
        <v>50</v>
      </c>
      <c r="B307" s="661" t="s">
        <v>553</v>
      </c>
      <c r="C307" s="661">
        <v>89301502</v>
      </c>
      <c r="D307" s="740" t="s">
        <v>2564</v>
      </c>
      <c r="E307" s="741" t="s">
        <v>1920</v>
      </c>
      <c r="F307" s="661" t="s">
        <v>1907</v>
      </c>
      <c r="G307" s="661" t="s">
        <v>2360</v>
      </c>
      <c r="H307" s="661" t="s">
        <v>554</v>
      </c>
      <c r="I307" s="661" t="s">
        <v>2361</v>
      </c>
      <c r="J307" s="661" t="s">
        <v>2362</v>
      </c>
      <c r="K307" s="661" t="s">
        <v>2363</v>
      </c>
      <c r="L307" s="662">
        <v>0</v>
      </c>
      <c r="M307" s="662">
        <v>0</v>
      </c>
      <c r="N307" s="661">
        <v>6</v>
      </c>
      <c r="O307" s="742">
        <v>2.5</v>
      </c>
      <c r="P307" s="662">
        <v>0</v>
      </c>
      <c r="Q307" s="677"/>
      <c r="R307" s="661">
        <v>2</v>
      </c>
      <c r="S307" s="677">
        <v>0.33333333333333331</v>
      </c>
      <c r="T307" s="742">
        <v>0.5</v>
      </c>
      <c r="U307" s="700">
        <v>0.2</v>
      </c>
    </row>
    <row r="308" spans="1:21" ht="14.4" customHeight="1" x14ac:dyDescent="0.3">
      <c r="A308" s="660">
        <v>50</v>
      </c>
      <c r="B308" s="661" t="s">
        <v>553</v>
      </c>
      <c r="C308" s="661">
        <v>89301502</v>
      </c>
      <c r="D308" s="740" t="s">
        <v>2564</v>
      </c>
      <c r="E308" s="741" t="s">
        <v>1920</v>
      </c>
      <c r="F308" s="661" t="s">
        <v>1907</v>
      </c>
      <c r="G308" s="661" t="s">
        <v>1953</v>
      </c>
      <c r="H308" s="661" t="s">
        <v>554</v>
      </c>
      <c r="I308" s="661" t="s">
        <v>2000</v>
      </c>
      <c r="J308" s="661" t="s">
        <v>827</v>
      </c>
      <c r="K308" s="661" t="s">
        <v>2001</v>
      </c>
      <c r="L308" s="662">
        <v>52.75</v>
      </c>
      <c r="M308" s="662">
        <v>263.75</v>
      </c>
      <c r="N308" s="661">
        <v>5</v>
      </c>
      <c r="O308" s="742">
        <v>3.5</v>
      </c>
      <c r="P308" s="662">
        <v>52.75</v>
      </c>
      <c r="Q308" s="677">
        <v>0.2</v>
      </c>
      <c r="R308" s="661">
        <v>1</v>
      </c>
      <c r="S308" s="677">
        <v>0.2</v>
      </c>
      <c r="T308" s="742">
        <v>0.5</v>
      </c>
      <c r="U308" s="700">
        <v>0.14285714285714285</v>
      </c>
    </row>
    <row r="309" spans="1:21" ht="14.4" customHeight="1" x14ac:dyDescent="0.3">
      <c r="A309" s="660">
        <v>50</v>
      </c>
      <c r="B309" s="661" t="s">
        <v>553</v>
      </c>
      <c r="C309" s="661">
        <v>89301502</v>
      </c>
      <c r="D309" s="740" t="s">
        <v>2564</v>
      </c>
      <c r="E309" s="741" t="s">
        <v>1920</v>
      </c>
      <c r="F309" s="661" t="s">
        <v>1907</v>
      </c>
      <c r="G309" s="661" t="s">
        <v>2364</v>
      </c>
      <c r="H309" s="661" t="s">
        <v>554</v>
      </c>
      <c r="I309" s="661" t="s">
        <v>2365</v>
      </c>
      <c r="J309" s="661" t="s">
        <v>2366</v>
      </c>
      <c r="K309" s="661" t="s">
        <v>2367</v>
      </c>
      <c r="L309" s="662">
        <v>49.45</v>
      </c>
      <c r="M309" s="662">
        <v>247.25</v>
      </c>
      <c r="N309" s="661">
        <v>5</v>
      </c>
      <c r="O309" s="742">
        <v>0.5</v>
      </c>
      <c r="P309" s="662"/>
      <c r="Q309" s="677">
        <v>0</v>
      </c>
      <c r="R309" s="661"/>
      <c r="S309" s="677">
        <v>0</v>
      </c>
      <c r="T309" s="742"/>
      <c r="U309" s="700">
        <v>0</v>
      </c>
    </row>
    <row r="310" spans="1:21" ht="14.4" customHeight="1" x14ac:dyDescent="0.3">
      <c r="A310" s="660">
        <v>50</v>
      </c>
      <c r="B310" s="661" t="s">
        <v>553</v>
      </c>
      <c r="C310" s="661">
        <v>89301502</v>
      </c>
      <c r="D310" s="740" t="s">
        <v>2564</v>
      </c>
      <c r="E310" s="741" t="s">
        <v>1920</v>
      </c>
      <c r="F310" s="661" t="s">
        <v>1907</v>
      </c>
      <c r="G310" s="661" t="s">
        <v>2368</v>
      </c>
      <c r="H310" s="661" t="s">
        <v>554</v>
      </c>
      <c r="I310" s="661" t="s">
        <v>2369</v>
      </c>
      <c r="J310" s="661" t="s">
        <v>2370</v>
      </c>
      <c r="K310" s="661" t="s">
        <v>1095</v>
      </c>
      <c r="L310" s="662">
        <v>340.97</v>
      </c>
      <c r="M310" s="662">
        <v>340.97</v>
      </c>
      <c r="N310" s="661">
        <v>1</v>
      </c>
      <c r="O310" s="742">
        <v>0.5</v>
      </c>
      <c r="P310" s="662"/>
      <c r="Q310" s="677">
        <v>0</v>
      </c>
      <c r="R310" s="661"/>
      <c r="S310" s="677">
        <v>0</v>
      </c>
      <c r="T310" s="742"/>
      <c r="U310" s="700">
        <v>0</v>
      </c>
    </row>
    <row r="311" spans="1:21" ht="14.4" customHeight="1" x14ac:dyDescent="0.3">
      <c r="A311" s="660">
        <v>50</v>
      </c>
      <c r="B311" s="661" t="s">
        <v>553</v>
      </c>
      <c r="C311" s="661">
        <v>89301502</v>
      </c>
      <c r="D311" s="740" t="s">
        <v>2564</v>
      </c>
      <c r="E311" s="741" t="s">
        <v>1920</v>
      </c>
      <c r="F311" s="661" t="s">
        <v>1907</v>
      </c>
      <c r="G311" s="661" t="s">
        <v>2049</v>
      </c>
      <c r="H311" s="661" t="s">
        <v>995</v>
      </c>
      <c r="I311" s="661" t="s">
        <v>2050</v>
      </c>
      <c r="J311" s="661" t="s">
        <v>1560</v>
      </c>
      <c r="K311" s="661" t="s">
        <v>2051</v>
      </c>
      <c r="L311" s="662">
        <v>62.24</v>
      </c>
      <c r="M311" s="662">
        <v>62.24</v>
      </c>
      <c r="N311" s="661">
        <v>1</v>
      </c>
      <c r="O311" s="742">
        <v>0.5</v>
      </c>
      <c r="P311" s="662"/>
      <c r="Q311" s="677">
        <v>0</v>
      </c>
      <c r="R311" s="661"/>
      <c r="S311" s="677">
        <v>0</v>
      </c>
      <c r="T311" s="742"/>
      <c r="U311" s="700">
        <v>0</v>
      </c>
    </row>
    <row r="312" spans="1:21" ht="14.4" customHeight="1" x14ac:dyDescent="0.3">
      <c r="A312" s="660">
        <v>50</v>
      </c>
      <c r="B312" s="661" t="s">
        <v>553</v>
      </c>
      <c r="C312" s="661">
        <v>89301502</v>
      </c>
      <c r="D312" s="740" t="s">
        <v>2564</v>
      </c>
      <c r="E312" s="741" t="s">
        <v>1920</v>
      </c>
      <c r="F312" s="661" t="s">
        <v>1907</v>
      </c>
      <c r="G312" s="661" t="s">
        <v>2049</v>
      </c>
      <c r="H312" s="661" t="s">
        <v>995</v>
      </c>
      <c r="I312" s="661" t="s">
        <v>1538</v>
      </c>
      <c r="J312" s="661" t="s">
        <v>1539</v>
      </c>
      <c r="K312" s="661" t="s">
        <v>1882</v>
      </c>
      <c r="L312" s="662">
        <v>82.99</v>
      </c>
      <c r="M312" s="662">
        <v>82.99</v>
      </c>
      <c r="N312" s="661">
        <v>1</v>
      </c>
      <c r="O312" s="742">
        <v>1</v>
      </c>
      <c r="P312" s="662">
        <v>82.99</v>
      </c>
      <c r="Q312" s="677">
        <v>1</v>
      </c>
      <c r="R312" s="661">
        <v>1</v>
      </c>
      <c r="S312" s="677">
        <v>1</v>
      </c>
      <c r="T312" s="742">
        <v>1</v>
      </c>
      <c r="U312" s="700">
        <v>1</v>
      </c>
    </row>
    <row r="313" spans="1:21" ht="14.4" customHeight="1" x14ac:dyDescent="0.3">
      <c r="A313" s="660">
        <v>50</v>
      </c>
      <c r="B313" s="661" t="s">
        <v>553</v>
      </c>
      <c r="C313" s="661">
        <v>89301502</v>
      </c>
      <c r="D313" s="740" t="s">
        <v>2564</v>
      </c>
      <c r="E313" s="741" t="s">
        <v>1920</v>
      </c>
      <c r="F313" s="661" t="s">
        <v>1907</v>
      </c>
      <c r="G313" s="661" t="s">
        <v>2371</v>
      </c>
      <c r="H313" s="661" t="s">
        <v>554</v>
      </c>
      <c r="I313" s="661" t="s">
        <v>2372</v>
      </c>
      <c r="J313" s="661" t="s">
        <v>2373</v>
      </c>
      <c r="K313" s="661" t="s">
        <v>2374</v>
      </c>
      <c r="L313" s="662">
        <v>90.95</v>
      </c>
      <c r="M313" s="662">
        <v>181.9</v>
      </c>
      <c r="N313" s="661">
        <v>2</v>
      </c>
      <c r="O313" s="742">
        <v>1</v>
      </c>
      <c r="P313" s="662">
        <v>181.9</v>
      </c>
      <c r="Q313" s="677">
        <v>1</v>
      </c>
      <c r="R313" s="661">
        <v>2</v>
      </c>
      <c r="S313" s="677">
        <v>1</v>
      </c>
      <c r="T313" s="742">
        <v>1</v>
      </c>
      <c r="U313" s="700">
        <v>1</v>
      </c>
    </row>
    <row r="314" spans="1:21" ht="14.4" customHeight="1" x14ac:dyDescent="0.3">
      <c r="A314" s="660">
        <v>50</v>
      </c>
      <c r="B314" s="661" t="s">
        <v>553</v>
      </c>
      <c r="C314" s="661">
        <v>89301502</v>
      </c>
      <c r="D314" s="740" t="s">
        <v>2564</v>
      </c>
      <c r="E314" s="741" t="s">
        <v>1920</v>
      </c>
      <c r="F314" s="661" t="s">
        <v>1907</v>
      </c>
      <c r="G314" s="661" t="s">
        <v>2057</v>
      </c>
      <c r="H314" s="661" t="s">
        <v>554</v>
      </c>
      <c r="I314" s="661" t="s">
        <v>2375</v>
      </c>
      <c r="J314" s="661" t="s">
        <v>2376</v>
      </c>
      <c r="K314" s="661" t="s">
        <v>2377</v>
      </c>
      <c r="L314" s="662">
        <v>0</v>
      </c>
      <c r="M314" s="662">
        <v>0</v>
      </c>
      <c r="N314" s="661">
        <v>2</v>
      </c>
      <c r="O314" s="742">
        <v>0.5</v>
      </c>
      <c r="P314" s="662"/>
      <c r="Q314" s="677"/>
      <c r="R314" s="661"/>
      <c r="S314" s="677">
        <v>0</v>
      </c>
      <c r="T314" s="742"/>
      <c r="U314" s="700">
        <v>0</v>
      </c>
    </row>
    <row r="315" spans="1:21" ht="14.4" customHeight="1" x14ac:dyDescent="0.3">
      <c r="A315" s="660">
        <v>50</v>
      </c>
      <c r="B315" s="661" t="s">
        <v>553</v>
      </c>
      <c r="C315" s="661">
        <v>89301502</v>
      </c>
      <c r="D315" s="740" t="s">
        <v>2564</v>
      </c>
      <c r="E315" s="741" t="s">
        <v>1920</v>
      </c>
      <c r="F315" s="661" t="s">
        <v>1907</v>
      </c>
      <c r="G315" s="661" t="s">
        <v>2378</v>
      </c>
      <c r="H315" s="661" t="s">
        <v>554</v>
      </c>
      <c r="I315" s="661" t="s">
        <v>2379</v>
      </c>
      <c r="J315" s="661" t="s">
        <v>2380</v>
      </c>
      <c r="K315" s="661" t="s">
        <v>2381</v>
      </c>
      <c r="L315" s="662">
        <v>152.24</v>
      </c>
      <c r="M315" s="662">
        <v>456.72</v>
      </c>
      <c r="N315" s="661">
        <v>3</v>
      </c>
      <c r="O315" s="742">
        <v>0.5</v>
      </c>
      <c r="P315" s="662">
        <v>456.72</v>
      </c>
      <c r="Q315" s="677">
        <v>1</v>
      </c>
      <c r="R315" s="661">
        <v>3</v>
      </c>
      <c r="S315" s="677">
        <v>1</v>
      </c>
      <c r="T315" s="742">
        <v>0.5</v>
      </c>
      <c r="U315" s="700">
        <v>1</v>
      </c>
    </row>
    <row r="316" spans="1:21" ht="14.4" customHeight="1" x14ac:dyDescent="0.3">
      <c r="A316" s="660">
        <v>50</v>
      </c>
      <c r="B316" s="661" t="s">
        <v>553</v>
      </c>
      <c r="C316" s="661">
        <v>89301502</v>
      </c>
      <c r="D316" s="740" t="s">
        <v>2564</v>
      </c>
      <c r="E316" s="741" t="s">
        <v>1920</v>
      </c>
      <c r="F316" s="661" t="s">
        <v>1907</v>
      </c>
      <c r="G316" s="661" t="s">
        <v>1957</v>
      </c>
      <c r="H316" s="661" t="s">
        <v>554</v>
      </c>
      <c r="I316" s="661" t="s">
        <v>2382</v>
      </c>
      <c r="J316" s="661" t="s">
        <v>2383</v>
      </c>
      <c r="K316" s="661" t="s">
        <v>2384</v>
      </c>
      <c r="L316" s="662">
        <v>117.03</v>
      </c>
      <c r="M316" s="662">
        <v>117.03</v>
      </c>
      <c r="N316" s="661">
        <v>1</v>
      </c>
      <c r="O316" s="742">
        <v>0.5</v>
      </c>
      <c r="P316" s="662"/>
      <c r="Q316" s="677">
        <v>0</v>
      </c>
      <c r="R316" s="661"/>
      <c r="S316" s="677">
        <v>0</v>
      </c>
      <c r="T316" s="742"/>
      <c r="U316" s="700">
        <v>0</v>
      </c>
    </row>
    <row r="317" spans="1:21" ht="14.4" customHeight="1" x14ac:dyDescent="0.3">
      <c r="A317" s="660">
        <v>50</v>
      </c>
      <c r="B317" s="661" t="s">
        <v>553</v>
      </c>
      <c r="C317" s="661">
        <v>89301502</v>
      </c>
      <c r="D317" s="740" t="s">
        <v>2564</v>
      </c>
      <c r="E317" s="741" t="s">
        <v>1920</v>
      </c>
      <c r="F317" s="661" t="s">
        <v>1907</v>
      </c>
      <c r="G317" s="661" t="s">
        <v>1957</v>
      </c>
      <c r="H317" s="661" t="s">
        <v>554</v>
      </c>
      <c r="I317" s="661" t="s">
        <v>2385</v>
      </c>
      <c r="J317" s="661" t="s">
        <v>1959</v>
      </c>
      <c r="K317" s="661" t="s">
        <v>2386</v>
      </c>
      <c r="L317" s="662">
        <v>234.07</v>
      </c>
      <c r="M317" s="662">
        <v>468.14</v>
      </c>
      <c r="N317" s="661">
        <v>2</v>
      </c>
      <c r="O317" s="742">
        <v>1</v>
      </c>
      <c r="P317" s="662">
        <v>234.07</v>
      </c>
      <c r="Q317" s="677">
        <v>0.5</v>
      </c>
      <c r="R317" s="661">
        <v>1</v>
      </c>
      <c r="S317" s="677">
        <v>0.5</v>
      </c>
      <c r="T317" s="742">
        <v>0.5</v>
      </c>
      <c r="U317" s="700">
        <v>0.5</v>
      </c>
    </row>
    <row r="318" spans="1:21" ht="14.4" customHeight="1" x14ac:dyDescent="0.3">
      <c r="A318" s="660">
        <v>50</v>
      </c>
      <c r="B318" s="661" t="s">
        <v>553</v>
      </c>
      <c r="C318" s="661">
        <v>89301502</v>
      </c>
      <c r="D318" s="740" t="s">
        <v>2564</v>
      </c>
      <c r="E318" s="741" t="s">
        <v>1920</v>
      </c>
      <c r="F318" s="661" t="s">
        <v>1907</v>
      </c>
      <c r="G318" s="661" t="s">
        <v>1957</v>
      </c>
      <c r="H318" s="661" t="s">
        <v>554</v>
      </c>
      <c r="I318" s="661" t="s">
        <v>1958</v>
      </c>
      <c r="J318" s="661" t="s">
        <v>1959</v>
      </c>
      <c r="K318" s="661" t="s">
        <v>1960</v>
      </c>
      <c r="L318" s="662">
        <v>70.23</v>
      </c>
      <c r="M318" s="662">
        <v>280.92</v>
      </c>
      <c r="N318" s="661">
        <v>4</v>
      </c>
      <c r="O318" s="742">
        <v>1</v>
      </c>
      <c r="P318" s="662"/>
      <c r="Q318" s="677">
        <v>0</v>
      </c>
      <c r="R318" s="661"/>
      <c r="S318" s="677">
        <v>0</v>
      </c>
      <c r="T318" s="742"/>
      <c r="U318" s="700">
        <v>0</v>
      </c>
    </row>
    <row r="319" spans="1:21" ht="14.4" customHeight="1" x14ac:dyDescent="0.3">
      <c r="A319" s="660">
        <v>50</v>
      </c>
      <c r="B319" s="661" t="s">
        <v>553</v>
      </c>
      <c r="C319" s="661">
        <v>89301502</v>
      </c>
      <c r="D319" s="740" t="s">
        <v>2564</v>
      </c>
      <c r="E319" s="741" t="s">
        <v>1920</v>
      </c>
      <c r="F319" s="661" t="s">
        <v>1907</v>
      </c>
      <c r="G319" s="661" t="s">
        <v>1957</v>
      </c>
      <c r="H319" s="661" t="s">
        <v>554</v>
      </c>
      <c r="I319" s="661" t="s">
        <v>728</v>
      </c>
      <c r="J319" s="661" t="s">
        <v>2221</v>
      </c>
      <c r="K319" s="661" t="s">
        <v>2222</v>
      </c>
      <c r="L319" s="662">
        <v>17.559999999999999</v>
      </c>
      <c r="M319" s="662">
        <v>35.119999999999997</v>
      </c>
      <c r="N319" s="661">
        <v>2</v>
      </c>
      <c r="O319" s="742">
        <v>0.5</v>
      </c>
      <c r="P319" s="662"/>
      <c r="Q319" s="677">
        <v>0</v>
      </c>
      <c r="R319" s="661"/>
      <c r="S319" s="677">
        <v>0</v>
      </c>
      <c r="T319" s="742"/>
      <c r="U319" s="700">
        <v>0</v>
      </c>
    </row>
    <row r="320" spans="1:21" ht="14.4" customHeight="1" x14ac:dyDescent="0.3">
      <c r="A320" s="660">
        <v>50</v>
      </c>
      <c r="B320" s="661" t="s">
        <v>553</v>
      </c>
      <c r="C320" s="661">
        <v>89301502</v>
      </c>
      <c r="D320" s="740" t="s">
        <v>2564</v>
      </c>
      <c r="E320" s="741" t="s">
        <v>1920</v>
      </c>
      <c r="F320" s="661" t="s">
        <v>1907</v>
      </c>
      <c r="G320" s="661" t="s">
        <v>1957</v>
      </c>
      <c r="H320" s="661" t="s">
        <v>554</v>
      </c>
      <c r="I320" s="661" t="s">
        <v>2387</v>
      </c>
      <c r="J320" s="661" t="s">
        <v>2221</v>
      </c>
      <c r="K320" s="661" t="s">
        <v>2388</v>
      </c>
      <c r="L320" s="662">
        <v>58.52</v>
      </c>
      <c r="M320" s="662">
        <v>58.52</v>
      </c>
      <c r="N320" s="661">
        <v>1</v>
      </c>
      <c r="O320" s="742">
        <v>0.5</v>
      </c>
      <c r="P320" s="662"/>
      <c r="Q320" s="677">
        <v>0</v>
      </c>
      <c r="R320" s="661"/>
      <c r="S320" s="677">
        <v>0</v>
      </c>
      <c r="T320" s="742"/>
      <c r="U320" s="700">
        <v>0</v>
      </c>
    </row>
    <row r="321" spans="1:21" ht="14.4" customHeight="1" x14ac:dyDescent="0.3">
      <c r="A321" s="660">
        <v>50</v>
      </c>
      <c r="B321" s="661" t="s">
        <v>553</v>
      </c>
      <c r="C321" s="661">
        <v>89301502</v>
      </c>
      <c r="D321" s="740" t="s">
        <v>2564</v>
      </c>
      <c r="E321" s="741" t="s">
        <v>1920</v>
      </c>
      <c r="F321" s="661" t="s">
        <v>1907</v>
      </c>
      <c r="G321" s="661" t="s">
        <v>2389</v>
      </c>
      <c r="H321" s="661" t="s">
        <v>554</v>
      </c>
      <c r="I321" s="661" t="s">
        <v>2390</v>
      </c>
      <c r="J321" s="661" t="s">
        <v>2391</v>
      </c>
      <c r="K321" s="661" t="s">
        <v>2392</v>
      </c>
      <c r="L321" s="662">
        <v>459.3</v>
      </c>
      <c r="M321" s="662">
        <v>459.3</v>
      </c>
      <c r="N321" s="661">
        <v>1</v>
      </c>
      <c r="O321" s="742">
        <v>0.5</v>
      </c>
      <c r="P321" s="662"/>
      <c r="Q321" s="677">
        <v>0</v>
      </c>
      <c r="R321" s="661"/>
      <c r="S321" s="677">
        <v>0</v>
      </c>
      <c r="T321" s="742"/>
      <c r="U321" s="700">
        <v>0</v>
      </c>
    </row>
    <row r="322" spans="1:21" ht="14.4" customHeight="1" x14ac:dyDescent="0.3">
      <c r="A322" s="660">
        <v>50</v>
      </c>
      <c r="B322" s="661" t="s">
        <v>553</v>
      </c>
      <c r="C322" s="661">
        <v>89301502</v>
      </c>
      <c r="D322" s="740" t="s">
        <v>2564</v>
      </c>
      <c r="E322" s="741" t="s">
        <v>1920</v>
      </c>
      <c r="F322" s="661" t="s">
        <v>1907</v>
      </c>
      <c r="G322" s="661" t="s">
        <v>2177</v>
      </c>
      <c r="H322" s="661" t="s">
        <v>995</v>
      </c>
      <c r="I322" s="661" t="s">
        <v>1071</v>
      </c>
      <c r="J322" s="661" t="s">
        <v>1072</v>
      </c>
      <c r="K322" s="661" t="s">
        <v>1036</v>
      </c>
      <c r="L322" s="662">
        <v>1385.62</v>
      </c>
      <c r="M322" s="662">
        <v>1385.62</v>
      </c>
      <c r="N322" s="661">
        <v>1</v>
      </c>
      <c r="O322" s="742">
        <v>1</v>
      </c>
      <c r="P322" s="662">
        <v>1385.62</v>
      </c>
      <c r="Q322" s="677">
        <v>1</v>
      </c>
      <c r="R322" s="661">
        <v>1</v>
      </c>
      <c r="S322" s="677">
        <v>1</v>
      </c>
      <c r="T322" s="742">
        <v>1</v>
      </c>
      <c r="U322" s="700">
        <v>1</v>
      </c>
    </row>
    <row r="323" spans="1:21" ht="14.4" customHeight="1" x14ac:dyDescent="0.3">
      <c r="A323" s="660">
        <v>50</v>
      </c>
      <c r="B323" s="661" t="s">
        <v>553</v>
      </c>
      <c r="C323" s="661">
        <v>89301502</v>
      </c>
      <c r="D323" s="740" t="s">
        <v>2564</v>
      </c>
      <c r="E323" s="741" t="s">
        <v>1920</v>
      </c>
      <c r="F323" s="661" t="s">
        <v>1907</v>
      </c>
      <c r="G323" s="661" t="s">
        <v>2393</v>
      </c>
      <c r="H323" s="661" t="s">
        <v>554</v>
      </c>
      <c r="I323" s="661" t="s">
        <v>2394</v>
      </c>
      <c r="J323" s="661" t="s">
        <v>2395</v>
      </c>
      <c r="K323" s="661" t="s">
        <v>2396</v>
      </c>
      <c r="L323" s="662">
        <v>48.42</v>
      </c>
      <c r="M323" s="662">
        <v>96.84</v>
      </c>
      <c r="N323" s="661">
        <v>2</v>
      </c>
      <c r="O323" s="742">
        <v>1</v>
      </c>
      <c r="P323" s="662">
        <v>96.84</v>
      </c>
      <c r="Q323" s="677">
        <v>1</v>
      </c>
      <c r="R323" s="661">
        <v>2</v>
      </c>
      <c r="S323" s="677">
        <v>1</v>
      </c>
      <c r="T323" s="742">
        <v>1</v>
      </c>
      <c r="U323" s="700">
        <v>1</v>
      </c>
    </row>
    <row r="324" spans="1:21" ht="14.4" customHeight="1" x14ac:dyDescent="0.3">
      <c r="A324" s="660">
        <v>50</v>
      </c>
      <c r="B324" s="661" t="s">
        <v>553</v>
      </c>
      <c r="C324" s="661">
        <v>89301502</v>
      </c>
      <c r="D324" s="740" t="s">
        <v>2564</v>
      </c>
      <c r="E324" s="741" t="s">
        <v>1920</v>
      </c>
      <c r="F324" s="661" t="s">
        <v>1907</v>
      </c>
      <c r="G324" s="661" t="s">
        <v>2393</v>
      </c>
      <c r="H324" s="661" t="s">
        <v>554</v>
      </c>
      <c r="I324" s="661" t="s">
        <v>2397</v>
      </c>
      <c r="J324" s="661" t="s">
        <v>2398</v>
      </c>
      <c r="K324" s="661" t="s">
        <v>2399</v>
      </c>
      <c r="L324" s="662">
        <v>48.42</v>
      </c>
      <c r="M324" s="662">
        <v>193.68</v>
      </c>
      <c r="N324" s="661">
        <v>4</v>
      </c>
      <c r="O324" s="742">
        <v>1.5</v>
      </c>
      <c r="P324" s="662">
        <v>193.68</v>
      </c>
      <c r="Q324" s="677">
        <v>1</v>
      </c>
      <c r="R324" s="661">
        <v>4</v>
      </c>
      <c r="S324" s="677">
        <v>1</v>
      </c>
      <c r="T324" s="742">
        <v>1.5</v>
      </c>
      <c r="U324" s="700">
        <v>1</v>
      </c>
    </row>
    <row r="325" spans="1:21" ht="14.4" customHeight="1" x14ac:dyDescent="0.3">
      <c r="A325" s="660">
        <v>50</v>
      </c>
      <c r="B325" s="661" t="s">
        <v>553</v>
      </c>
      <c r="C325" s="661">
        <v>89301502</v>
      </c>
      <c r="D325" s="740" t="s">
        <v>2564</v>
      </c>
      <c r="E325" s="741" t="s">
        <v>1920</v>
      </c>
      <c r="F325" s="661" t="s">
        <v>1907</v>
      </c>
      <c r="G325" s="661" t="s">
        <v>2400</v>
      </c>
      <c r="H325" s="661" t="s">
        <v>554</v>
      </c>
      <c r="I325" s="661" t="s">
        <v>2401</v>
      </c>
      <c r="J325" s="661" t="s">
        <v>2402</v>
      </c>
      <c r="K325" s="661" t="s">
        <v>2403</v>
      </c>
      <c r="L325" s="662">
        <v>146.84</v>
      </c>
      <c r="M325" s="662">
        <v>293.68</v>
      </c>
      <c r="N325" s="661">
        <v>2</v>
      </c>
      <c r="O325" s="742">
        <v>0.5</v>
      </c>
      <c r="P325" s="662">
        <v>293.68</v>
      </c>
      <c r="Q325" s="677">
        <v>1</v>
      </c>
      <c r="R325" s="661">
        <v>2</v>
      </c>
      <c r="S325" s="677">
        <v>1</v>
      </c>
      <c r="T325" s="742">
        <v>0.5</v>
      </c>
      <c r="U325" s="700">
        <v>1</v>
      </c>
    </row>
    <row r="326" spans="1:21" ht="14.4" customHeight="1" x14ac:dyDescent="0.3">
      <c r="A326" s="660">
        <v>50</v>
      </c>
      <c r="B326" s="661" t="s">
        <v>553</v>
      </c>
      <c r="C326" s="661">
        <v>89301502</v>
      </c>
      <c r="D326" s="740" t="s">
        <v>2564</v>
      </c>
      <c r="E326" s="741" t="s">
        <v>1920</v>
      </c>
      <c r="F326" s="661" t="s">
        <v>1907</v>
      </c>
      <c r="G326" s="661" t="s">
        <v>2404</v>
      </c>
      <c r="H326" s="661" t="s">
        <v>554</v>
      </c>
      <c r="I326" s="661" t="s">
        <v>2405</v>
      </c>
      <c r="J326" s="661" t="s">
        <v>2406</v>
      </c>
      <c r="K326" s="661" t="s">
        <v>2407</v>
      </c>
      <c r="L326" s="662">
        <v>66.819999999999993</v>
      </c>
      <c r="M326" s="662">
        <v>66.819999999999993</v>
      </c>
      <c r="N326" s="661">
        <v>1</v>
      </c>
      <c r="O326" s="742">
        <v>1</v>
      </c>
      <c r="P326" s="662"/>
      <c r="Q326" s="677">
        <v>0</v>
      </c>
      <c r="R326" s="661"/>
      <c r="S326" s="677">
        <v>0</v>
      </c>
      <c r="T326" s="742"/>
      <c r="U326" s="700">
        <v>0</v>
      </c>
    </row>
    <row r="327" spans="1:21" ht="14.4" customHeight="1" x14ac:dyDescent="0.3">
      <c r="A327" s="660">
        <v>50</v>
      </c>
      <c r="B327" s="661" t="s">
        <v>553</v>
      </c>
      <c r="C327" s="661">
        <v>89301502</v>
      </c>
      <c r="D327" s="740" t="s">
        <v>2564</v>
      </c>
      <c r="E327" s="741" t="s">
        <v>1920</v>
      </c>
      <c r="F327" s="661" t="s">
        <v>1907</v>
      </c>
      <c r="G327" s="661" t="s">
        <v>2408</v>
      </c>
      <c r="H327" s="661" t="s">
        <v>554</v>
      </c>
      <c r="I327" s="661" t="s">
        <v>2409</v>
      </c>
      <c r="J327" s="661" t="s">
        <v>2410</v>
      </c>
      <c r="K327" s="661" t="s">
        <v>681</v>
      </c>
      <c r="L327" s="662">
        <v>301.2</v>
      </c>
      <c r="M327" s="662">
        <v>903.59999999999991</v>
      </c>
      <c r="N327" s="661">
        <v>3</v>
      </c>
      <c r="O327" s="742">
        <v>1.5</v>
      </c>
      <c r="P327" s="662"/>
      <c r="Q327" s="677">
        <v>0</v>
      </c>
      <c r="R327" s="661"/>
      <c r="S327" s="677">
        <v>0</v>
      </c>
      <c r="T327" s="742"/>
      <c r="U327" s="700">
        <v>0</v>
      </c>
    </row>
    <row r="328" spans="1:21" ht="14.4" customHeight="1" x14ac:dyDescent="0.3">
      <c r="A328" s="660">
        <v>50</v>
      </c>
      <c r="B328" s="661" t="s">
        <v>553</v>
      </c>
      <c r="C328" s="661">
        <v>89301502</v>
      </c>
      <c r="D328" s="740" t="s">
        <v>2564</v>
      </c>
      <c r="E328" s="741" t="s">
        <v>1920</v>
      </c>
      <c r="F328" s="661" t="s">
        <v>1907</v>
      </c>
      <c r="G328" s="661" t="s">
        <v>2128</v>
      </c>
      <c r="H328" s="661" t="s">
        <v>995</v>
      </c>
      <c r="I328" s="661" t="s">
        <v>1157</v>
      </c>
      <c r="J328" s="661" t="s">
        <v>1057</v>
      </c>
      <c r="K328" s="661" t="s">
        <v>1812</v>
      </c>
      <c r="L328" s="662">
        <v>334.66</v>
      </c>
      <c r="M328" s="662">
        <v>1338.64</v>
      </c>
      <c r="N328" s="661">
        <v>4</v>
      </c>
      <c r="O328" s="742">
        <v>2</v>
      </c>
      <c r="P328" s="662">
        <v>334.66</v>
      </c>
      <c r="Q328" s="677">
        <v>0.25</v>
      </c>
      <c r="R328" s="661">
        <v>1</v>
      </c>
      <c r="S328" s="677">
        <v>0.25</v>
      </c>
      <c r="T328" s="742">
        <v>0.5</v>
      </c>
      <c r="U328" s="700">
        <v>0.25</v>
      </c>
    </row>
    <row r="329" spans="1:21" ht="14.4" customHeight="1" x14ac:dyDescent="0.3">
      <c r="A329" s="660">
        <v>50</v>
      </c>
      <c r="B329" s="661" t="s">
        <v>553</v>
      </c>
      <c r="C329" s="661">
        <v>89301502</v>
      </c>
      <c r="D329" s="740" t="s">
        <v>2564</v>
      </c>
      <c r="E329" s="741" t="s">
        <v>1920</v>
      </c>
      <c r="F329" s="661" t="s">
        <v>1907</v>
      </c>
      <c r="G329" s="661" t="s">
        <v>2128</v>
      </c>
      <c r="H329" s="661" t="s">
        <v>995</v>
      </c>
      <c r="I329" s="661" t="s">
        <v>2411</v>
      </c>
      <c r="J329" s="661" t="s">
        <v>1057</v>
      </c>
      <c r="K329" s="661" t="s">
        <v>2412</v>
      </c>
      <c r="L329" s="662">
        <v>0</v>
      </c>
      <c r="M329" s="662">
        <v>0</v>
      </c>
      <c r="N329" s="661">
        <v>1</v>
      </c>
      <c r="O329" s="742">
        <v>1</v>
      </c>
      <c r="P329" s="662"/>
      <c r="Q329" s="677"/>
      <c r="R329" s="661"/>
      <c r="S329" s="677">
        <v>0</v>
      </c>
      <c r="T329" s="742"/>
      <c r="U329" s="700">
        <v>0</v>
      </c>
    </row>
    <row r="330" spans="1:21" ht="14.4" customHeight="1" x14ac:dyDescent="0.3">
      <c r="A330" s="660">
        <v>50</v>
      </c>
      <c r="B330" s="661" t="s">
        <v>553</v>
      </c>
      <c r="C330" s="661">
        <v>89301502</v>
      </c>
      <c r="D330" s="740" t="s">
        <v>2564</v>
      </c>
      <c r="E330" s="741" t="s">
        <v>1920</v>
      </c>
      <c r="F330" s="661" t="s">
        <v>1907</v>
      </c>
      <c r="G330" s="661" t="s">
        <v>1962</v>
      </c>
      <c r="H330" s="661" t="s">
        <v>995</v>
      </c>
      <c r="I330" s="661" t="s">
        <v>1963</v>
      </c>
      <c r="J330" s="661" t="s">
        <v>1094</v>
      </c>
      <c r="K330" s="661" t="s">
        <v>1050</v>
      </c>
      <c r="L330" s="662">
        <v>48.27</v>
      </c>
      <c r="M330" s="662">
        <v>193.08</v>
      </c>
      <c r="N330" s="661">
        <v>4</v>
      </c>
      <c r="O330" s="742">
        <v>0.5</v>
      </c>
      <c r="P330" s="662"/>
      <c r="Q330" s="677">
        <v>0</v>
      </c>
      <c r="R330" s="661"/>
      <c r="S330" s="677">
        <v>0</v>
      </c>
      <c r="T330" s="742"/>
      <c r="U330" s="700">
        <v>0</v>
      </c>
    </row>
    <row r="331" spans="1:21" ht="14.4" customHeight="1" x14ac:dyDescent="0.3">
      <c r="A331" s="660">
        <v>50</v>
      </c>
      <c r="B331" s="661" t="s">
        <v>553</v>
      </c>
      <c r="C331" s="661">
        <v>89301502</v>
      </c>
      <c r="D331" s="740" t="s">
        <v>2564</v>
      </c>
      <c r="E331" s="741" t="s">
        <v>1920</v>
      </c>
      <c r="F331" s="661" t="s">
        <v>1907</v>
      </c>
      <c r="G331" s="661" t="s">
        <v>1962</v>
      </c>
      <c r="H331" s="661" t="s">
        <v>995</v>
      </c>
      <c r="I331" s="661" t="s">
        <v>1093</v>
      </c>
      <c r="J331" s="661" t="s">
        <v>1094</v>
      </c>
      <c r="K331" s="661" t="s">
        <v>1095</v>
      </c>
      <c r="L331" s="662">
        <v>144.81</v>
      </c>
      <c r="M331" s="662">
        <v>289.62</v>
      </c>
      <c r="N331" s="661">
        <v>2</v>
      </c>
      <c r="O331" s="742">
        <v>1</v>
      </c>
      <c r="P331" s="662"/>
      <c r="Q331" s="677">
        <v>0</v>
      </c>
      <c r="R331" s="661"/>
      <c r="S331" s="677">
        <v>0</v>
      </c>
      <c r="T331" s="742"/>
      <c r="U331" s="700">
        <v>0</v>
      </c>
    </row>
    <row r="332" spans="1:21" ht="14.4" customHeight="1" x14ac:dyDescent="0.3">
      <c r="A332" s="660">
        <v>50</v>
      </c>
      <c r="B332" s="661" t="s">
        <v>553</v>
      </c>
      <c r="C332" s="661">
        <v>89301502</v>
      </c>
      <c r="D332" s="740" t="s">
        <v>2564</v>
      </c>
      <c r="E332" s="741" t="s">
        <v>1920</v>
      </c>
      <c r="F332" s="661" t="s">
        <v>1907</v>
      </c>
      <c r="G332" s="661" t="s">
        <v>1962</v>
      </c>
      <c r="H332" s="661" t="s">
        <v>995</v>
      </c>
      <c r="I332" s="661" t="s">
        <v>2413</v>
      </c>
      <c r="J332" s="661" t="s">
        <v>2414</v>
      </c>
      <c r="K332" s="661" t="s">
        <v>2415</v>
      </c>
      <c r="L332" s="662">
        <v>321.79000000000002</v>
      </c>
      <c r="M332" s="662">
        <v>643.58000000000004</v>
      </c>
      <c r="N332" s="661">
        <v>2</v>
      </c>
      <c r="O332" s="742">
        <v>1</v>
      </c>
      <c r="P332" s="662"/>
      <c r="Q332" s="677">
        <v>0</v>
      </c>
      <c r="R332" s="661"/>
      <c r="S332" s="677">
        <v>0</v>
      </c>
      <c r="T332" s="742"/>
      <c r="U332" s="700">
        <v>0</v>
      </c>
    </row>
    <row r="333" spans="1:21" ht="14.4" customHeight="1" x14ac:dyDescent="0.3">
      <c r="A333" s="660">
        <v>50</v>
      </c>
      <c r="B333" s="661" t="s">
        <v>553</v>
      </c>
      <c r="C333" s="661">
        <v>89301502</v>
      </c>
      <c r="D333" s="740" t="s">
        <v>2564</v>
      </c>
      <c r="E333" s="741" t="s">
        <v>1920</v>
      </c>
      <c r="F333" s="661" t="s">
        <v>1907</v>
      </c>
      <c r="G333" s="661" t="s">
        <v>1966</v>
      </c>
      <c r="H333" s="661" t="s">
        <v>995</v>
      </c>
      <c r="I333" s="661" t="s">
        <v>1135</v>
      </c>
      <c r="J333" s="661" t="s">
        <v>1841</v>
      </c>
      <c r="K333" s="661" t="s">
        <v>1137</v>
      </c>
      <c r="L333" s="662">
        <v>291.82</v>
      </c>
      <c r="M333" s="662">
        <v>291.82</v>
      </c>
      <c r="N333" s="661">
        <v>1</v>
      </c>
      <c r="O333" s="742">
        <v>0.5</v>
      </c>
      <c r="P333" s="662"/>
      <c r="Q333" s="677">
        <v>0</v>
      </c>
      <c r="R333" s="661"/>
      <c r="S333" s="677">
        <v>0</v>
      </c>
      <c r="T333" s="742"/>
      <c r="U333" s="700">
        <v>0</v>
      </c>
    </row>
    <row r="334" spans="1:21" ht="14.4" customHeight="1" x14ac:dyDescent="0.3">
      <c r="A334" s="660">
        <v>50</v>
      </c>
      <c r="B334" s="661" t="s">
        <v>553</v>
      </c>
      <c r="C334" s="661">
        <v>89301502</v>
      </c>
      <c r="D334" s="740" t="s">
        <v>2564</v>
      </c>
      <c r="E334" s="741" t="s">
        <v>1920</v>
      </c>
      <c r="F334" s="661" t="s">
        <v>1907</v>
      </c>
      <c r="G334" s="661" t="s">
        <v>1966</v>
      </c>
      <c r="H334" s="661" t="s">
        <v>995</v>
      </c>
      <c r="I334" s="661" t="s">
        <v>2416</v>
      </c>
      <c r="J334" s="661" t="s">
        <v>1968</v>
      </c>
      <c r="K334" s="661" t="s">
        <v>1137</v>
      </c>
      <c r="L334" s="662">
        <v>583.62</v>
      </c>
      <c r="M334" s="662">
        <v>583.62</v>
      </c>
      <c r="N334" s="661">
        <v>1</v>
      </c>
      <c r="O334" s="742">
        <v>0.5</v>
      </c>
      <c r="P334" s="662">
        <v>583.62</v>
      </c>
      <c r="Q334" s="677">
        <v>1</v>
      </c>
      <c r="R334" s="661">
        <v>1</v>
      </c>
      <c r="S334" s="677">
        <v>1</v>
      </c>
      <c r="T334" s="742">
        <v>0.5</v>
      </c>
      <c r="U334" s="700">
        <v>1</v>
      </c>
    </row>
    <row r="335" spans="1:21" ht="14.4" customHeight="1" x14ac:dyDescent="0.3">
      <c r="A335" s="660">
        <v>50</v>
      </c>
      <c r="B335" s="661" t="s">
        <v>553</v>
      </c>
      <c r="C335" s="661">
        <v>89301502</v>
      </c>
      <c r="D335" s="740" t="s">
        <v>2564</v>
      </c>
      <c r="E335" s="741" t="s">
        <v>1920</v>
      </c>
      <c r="F335" s="661" t="s">
        <v>1907</v>
      </c>
      <c r="G335" s="661" t="s">
        <v>2417</v>
      </c>
      <c r="H335" s="661" t="s">
        <v>554</v>
      </c>
      <c r="I335" s="661" t="s">
        <v>2418</v>
      </c>
      <c r="J335" s="661" t="s">
        <v>2419</v>
      </c>
      <c r="K335" s="661" t="s">
        <v>2420</v>
      </c>
      <c r="L335" s="662">
        <v>187.41</v>
      </c>
      <c r="M335" s="662">
        <v>374.82</v>
      </c>
      <c r="N335" s="661">
        <v>2</v>
      </c>
      <c r="O335" s="742">
        <v>1</v>
      </c>
      <c r="P335" s="662">
        <v>374.82</v>
      </c>
      <c r="Q335" s="677">
        <v>1</v>
      </c>
      <c r="R335" s="661">
        <v>2</v>
      </c>
      <c r="S335" s="677">
        <v>1</v>
      </c>
      <c r="T335" s="742">
        <v>1</v>
      </c>
      <c r="U335" s="700">
        <v>1</v>
      </c>
    </row>
    <row r="336" spans="1:21" ht="14.4" customHeight="1" x14ac:dyDescent="0.3">
      <c r="A336" s="660">
        <v>50</v>
      </c>
      <c r="B336" s="661" t="s">
        <v>553</v>
      </c>
      <c r="C336" s="661">
        <v>89301502</v>
      </c>
      <c r="D336" s="740" t="s">
        <v>2564</v>
      </c>
      <c r="E336" s="741" t="s">
        <v>1920</v>
      </c>
      <c r="F336" s="661" t="s">
        <v>1907</v>
      </c>
      <c r="G336" s="661" t="s">
        <v>1969</v>
      </c>
      <c r="H336" s="661" t="s">
        <v>995</v>
      </c>
      <c r="I336" s="661" t="s">
        <v>1018</v>
      </c>
      <c r="J336" s="661" t="s">
        <v>1838</v>
      </c>
      <c r="K336" s="661" t="s">
        <v>1020</v>
      </c>
      <c r="L336" s="662">
        <v>96.53</v>
      </c>
      <c r="M336" s="662">
        <v>675.71</v>
      </c>
      <c r="N336" s="661">
        <v>7</v>
      </c>
      <c r="O336" s="742">
        <v>1</v>
      </c>
      <c r="P336" s="662">
        <v>675.71</v>
      </c>
      <c r="Q336" s="677">
        <v>1</v>
      </c>
      <c r="R336" s="661">
        <v>7</v>
      </c>
      <c r="S336" s="677">
        <v>1</v>
      </c>
      <c r="T336" s="742">
        <v>1</v>
      </c>
      <c r="U336" s="700">
        <v>1</v>
      </c>
    </row>
    <row r="337" spans="1:21" ht="14.4" customHeight="1" x14ac:dyDescent="0.3">
      <c r="A337" s="660">
        <v>50</v>
      </c>
      <c r="B337" s="661" t="s">
        <v>553</v>
      </c>
      <c r="C337" s="661">
        <v>89301502</v>
      </c>
      <c r="D337" s="740" t="s">
        <v>2564</v>
      </c>
      <c r="E337" s="741" t="s">
        <v>1920</v>
      </c>
      <c r="F337" s="661" t="s">
        <v>1907</v>
      </c>
      <c r="G337" s="661" t="s">
        <v>1969</v>
      </c>
      <c r="H337" s="661" t="s">
        <v>995</v>
      </c>
      <c r="I337" s="661" t="s">
        <v>999</v>
      </c>
      <c r="J337" s="661" t="s">
        <v>1000</v>
      </c>
      <c r="K337" s="661" t="s">
        <v>1001</v>
      </c>
      <c r="L337" s="662">
        <v>10.41</v>
      </c>
      <c r="M337" s="662">
        <v>52.05</v>
      </c>
      <c r="N337" s="661">
        <v>5</v>
      </c>
      <c r="O337" s="742">
        <v>0.5</v>
      </c>
      <c r="P337" s="662"/>
      <c r="Q337" s="677">
        <v>0</v>
      </c>
      <c r="R337" s="661"/>
      <c r="S337" s="677">
        <v>0</v>
      </c>
      <c r="T337" s="742"/>
      <c r="U337" s="700">
        <v>0</v>
      </c>
    </row>
    <row r="338" spans="1:21" ht="14.4" customHeight="1" x14ac:dyDescent="0.3">
      <c r="A338" s="660">
        <v>50</v>
      </c>
      <c r="B338" s="661" t="s">
        <v>553</v>
      </c>
      <c r="C338" s="661">
        <v>89301502</v>
      </c>
      <c r="D338" s="740" t="s">
        <v>2564</v>
      </c>
      <c r="E338" s="741" t="s">
        <v>1920</v>
      </c>
      <c r="F338" s="661" t="s">
        <v>1907</v>
      </c>
      <c r="G338" s="661" t="s">
        <v>1969</v>
      </c>
      <c r="H338" s="661" t="s">
        <v>995</v>
      </c>
      <c r="I338" s="661" t="s">
        <v>2014</v>
      </c>
      <c r="J338" s="661" t="s">
        <v>1839</v>
      </c>
      <c r="K338" s="661" t="s">
        <v>2015</v>
      </c>
      <c r="L338" s="662">
        <v>80.45</v>
      </c>
      <c r="M338" s="662">
        <v>160.9</v>
      </c>
      <c r="N338" s="661">
        <v>2</v>
      </c>
      <c r="O338" s="742">
        <v>0.5</v>
      </c>
      <c r="P338" s="662"/>
      <c r="Q338" s="677">
        <v>0</v>
      </c>
      <c r="R338" s="661"/>
      <c r="S338" s="677">
        <v>0</v>
      </c>
      <c r="T338" s="742"/>
      <c r="U338" s="700">
        <v>0</v>
      </c>
    </row>
    <row r="339" spans="1:21" ht="14.4" customHeight="1" x14ac:dyDescent="0.3">
      <c r="A339" s="660">
        <v>50</v>
      </c>
      <c r="B339" s="661" t="s">
        <v>553</v>
      </c>
      <c r="C339" s="661">
        <v>89301502</v>
      </c>
      <c r="D339" s="740" t="s">
        <v>2564</v>
      </c>
      <c r="E339" s="741" t="s">
        <v>1920</v>
      </c>
      <c r="F339" s="661" t="s">
        <v>1907</v>
      </c>
      <c r="G339" s="661" t="s">
        <v>2421</v>
      </c>
      <c r="H339" s="661" t="s">
        <v>995</v>
      </c>
      <c r="I339" s="661" t="s">
        <v>2422</v>
      </c>
      <c r="J339" s="661" t="s">
        <v>2423</v>
      </c>
      <c r="K339" s="661" t="s">
        <v>2001</v>
      </c>
      <c r="L339" s="662">
        <v>432.31</v>
      </c>
      <c r="M339" s="662">
        <v>432.31</v>
      </c>
      <c r="N339" s="661">
        <v>1</v>
      </c>
      <c r="O339" s="742">
        <v>0.5</v>
      </c>
      <c r="P339" s="662"/>
      <c r="Q339" s="677">
        <v>0</v>
      </c>
      <c r="R339" s="661"/>
      <c r="S339" s="677">
        <v>0</v>
      </c>
      <c r="T339" s="742"/>
      <c r="U339" s="700">
        <v>0</v>
      </c>
    </row>
    <row r="340" spans="1:21" ht="14.4" customHeight="1" x14ac:dyDescent="0.3">
      <c r="A340" s="660">
        <v>50</v>
      </c>
      <c r="B340" s="661" t="s">
        <v>553</v>
      </c>
      <c r="C340" s="661">
        <v>89301502</v>
      </c>
      <c r="D340" s="740" t="s">
        <v>2564</v>
      </c>
      <c r="E340" s="741" t="s">
        <v>1920</v>
      </c>
      <c r="F340" s="661" t="s">
        <v>1907</v>
      </c>
      <c r="G340" s="661" t="s">
        <v>1972</v>
      </c>
      <c r="H340" s="661" t="s">
        <v>995</v>
      </c>
      <c r="I340" s="661" t="s">
        <v>2424</v>
      </c>
      <c r="J340" s="661" t="s">
        <v>2425</v>
      </c>
      <c r="K340" s="661" t="s">
        <v>2426</v>
      </c>
      <c r="L340" s="662">
        <v>374.74</v>
      </c>
      <c r="M340" s="662">
        <v>749.48</v>
      </c>
      <c r="N340" s="661">
        <v>2</v>
      </c>
      <c r="O340" s="742">
        <v>1.5</v>
      </c>
      <c r="P340" s="662">
        <v>374.74</v>
      </c>
      <c r="Q340" s="677">
        <v>0.5</v>
      </c>
      <c r="R340" s="661">
        <v>1</v>
      </c>
      <c r="S340" s="677">
        <v>0.5</v>
      </c>
      <c r="T340" s="742">
        <v>0.5</v>
      </c>
      <c r="U340" s="700">
        <v>0.33333333333333331</v>
      </c>
    </row>
    <row r="341" spans="1:21" ht="14.4" customHeight="1" x14ac:dyDescent="0.3">
      <c r="A341" s="660">
        <v>50</v>
      </c>
      <c r="B341" s="661" t="s">
        <v>553</v>
      </c>
      <c r="C341" s="661">
        <v>89301502</v>
      </c>
      <c r="D341" s="740" t="s">
        <v>2564</v>
      </c>
      <c r="E341" s="741" t="s">
        <v>1920</v>
      </c>
      <c r="F341" s="661" t="s">
        <v>1907</v>
      </c>
      <c r="G341" s="661" t="s">
        <v>1972</v>
      </c>
      <c r="H341" s="661" t="s">
        <v>995</v>
      </c>
      <c r="I341" s="661" t="s">
        <v>2427</v>
      </c>
      <c r="J341" s="661" t="s">
        <v>1974</v>
      </c>
      <c r="K341" s="661" t="s">
        <v>2428</v>
      </c>
      <c r="L341" s="662">
        <v>579.30999999999995</v>
      </c>
      <c r="M341" s="662">
        <v>1158.6199999999999</v>
      </c>
      <c r="N341" s="661">
        <v>2</v>
      </c>
      <c r="O341" s="742">
        <v>1.5</v>
      </c>
      <c r="P341" s="662"/>
      <c r="Q341" s="677">
        <v>0</v>
      </c>
      <c r="R341" s="661"/>
      <c r="S341" s="677">
        <v>0</v>
      </c>
      <c r="T341" s="742"/>
      <c r="U341" s="700">
        <v>0</v>
      </c>
    </row>
    <row r="342" spans="1:21" ht="14.4" customHeight="1" x14ac:dyDescent="0.3">
      <c r="A342" s="660">
        <v>50</v>
      </c>
      <c r="B342" s="661" t="s">
        <v>553</v>
      </c>
      <c r="C342" s="661">
        <v>89301502</v>
      </c>
      <c r="D342" s="740" t="s">
        <v>2564</v>
      </c>
      <c r="E342" s="741" t="s">
        <v>1920</v>
      </c>
      <c r="F342" s="661" t="s">
        <v>1907</v>
      </c>
      <c r="G342" s="661" t="s">
        <v>2429</v>
      </c>
      <c r="H342" s="661" t="s">
        <v>554</v>
      </c>
      <c r="I342" s="661" t="s">
        <v>2430</v>
      </c>
      <c r="J342" s="661" t="s">
        <v>2431</v>
      </c>
      <c r="K342" s="661" t="s">
        <v>2432</v>
      </c>
      <c r="L342" s="662">
        <v>0</v>
      </c>
      <c r="M342" s="662">
        <v>0</v>
      </c>
      <c r="N342" s="661">
        <v>7</v>
      </c>
      <c r="O342" s="742">
        <v>3</v>
      </c>
      <c r="P342" s="662"/>
      <c r="Q342" s="677"/>
      <c r="R342" s="661"/>
      <c r="S342" s="677">
        <v>0</v>
      </c>
      <c r="T342" s="742"/>
      <c r="U342" s="700">
        <v>0</v>
      </c>
    </row>
    <row r="343" spans="1:21" ht="14.4" customHeight="1" x14ac:dyDescent="0.3">
      <c r="A343" s="660">
        <v>50</v>
      </c>
      <c r="B343" s="661" t="s">
        <v>553</v>
      </c>
      <c r="C343" s="661">
        <v>89301502</v>
      </c>
      <c r="D343" s="740" t="s">
        <v>2564</v>
      </c>
      <c r="E343" s="741" t="s">
        <v>1920</v>
      </c>
      <c r="F343" s="661" t="s">
        <v>1907</v>
      </c>
      <c r="G343" s="661" t="s">
        <v>2433</v>
      </c>
      <c r="H343" s="661" t="s">
        <v>554</v>
      </c>
      <c r="I343" s="661" t="s">
        <v>2434</v>
      </c>
      <c r="J343" s="661" t="s">
        <v>2435</v>
      </c>
      <c r="K343" s="661" t="s">
        <v>2436</v>
      </c>
      <c r="L343" s="662">
        <v>121.96</v>
      </c>
      <c r="M343" s="662">
        <v>121.96</v>
      </c>
      <c r="N343" s="661">
        <v>1</v>
      </c>
      <c r="O343" s="742">
        <v>0.5</v>
      </c>
      <c r="P343" s="662">
        <v>121.96</v>
      </c>
      <c r="Q343" s="677">
        <v>1</v>
      </c>
      <c r="R343" s="661">
        <v>1</v>
      </c>
      <c r="S343" s="677">
        <v>1</v>
      </c>
      <c r="T343" s="742">
        <v>0.5</v>
      </c>
      <c r="U343" s="700">
        <v>1</v>
      </c>
    </row>
    <row r="344" spans="1:21" ht="14.4" customHeight="1" x14ac:dyDescent="0.3">
      <c r="A344" s="660">
        <v>50</v>
      </c>
      <c r="B344" s="661" t="s">
        <v>553</v>
      </c>
      <c r="C344" s="661">
        <v>89301502</v>
      </c>
      <c r="D344" s="740" t="s">
        <v>2564</v>
      </c>
      <c r="E344" s="741" t="s">
        <v>1920</v>
      </c>
      <c r="F344" s="661" t="s">
        <v>1907</v>
      </c>
      <c r="G344" s="661" t="s">
        <v>2273</v>
      </c>
      <c r="H344" s="661" t="s">
        <v>554</v>
      </c>
      <c r="I344" s="661" t="s">
        <v>717</v>
      </c>
      <c r="J344" s="661" t="s">
        <v>2274</v>
      </c>
      <c r="K344" s="661" t="s">
        <v>2275</v>
      </c>
      <c r="L344" s="662">
        <v>0</v>
      </c>
      <c r="M344" s="662">
        <v>0</v>
      </c>
      <c r="N344" s="661">
        <v>3</v>
      </c>
      <c r="O344" s="742">
        <v>0.5</v>
      </c>
      <c r="P344" s="662"/>
      <c r="Q344" s="677"/>
      <c r="R344" s="661"/>
      <c r="S344" s="677">
        <v>0</v>
      </c>
      <c r="T344" s="742"/>
      <c r="U344" s="700">
        <v>0</v>
      </c>
    </row>
    <row r="345" spans="1:21" ht="14.4" customHeight="1" x14ac:dyDescent="0.3">
      <c r="A345" s="660">
        <v>50</v>
      </c>
      <c r="B345" s="661" t="s">
        <v>553</v>
      </c>
      <c r="C345" s="661">
        <v>89301502</v>
      </c>
      <c r="D345" s="740" t="s">
        <v>2564</v>
      </c>
      <c r="E345" s="741" t="s">
        <v>1920</v>
      </c>
      <c r="F345" s="661" t="s">
        <v>1907</v>
      </c>
      <c r="G345" s="661" t="s">
        <v>1978</v>
      </c>
      <c r="H345" s="661" t="s">
        <v>554</v>
      </c>
      <c r="I345" s="661" t="s">
        <v>687</v>
      </c>
      <c r="J345" s="661" t="s">
        <v>688</v>
      </c>
      <c r="K345" s="661" t="s">
        <v>2189</v>
      </c>
      <c r="L345" s="662">
        <v>152.33000000000001</v>
      </c>
      <c r="M345" s="662">
        <v>152.33000000000001</v>
      </c>
      <c r="N345" s="661">
        <v>1</v>
      </c>
      <c r="O345" s="742">
        <v>1</v>
      </c>
      <c r="P345" s="662"/>
      <c r="Q345" s="677">
        <v>0</v>
      </c>
      <c r="R345" s="661"/>
      <c r="S345" s="677">
        <v>0</v>
      </c>
      <c r="T345" s="742"/>
      <c r="U345" s="700">
        <v>0</v>
      </c>
    </row>
    <row r="346" spans="1:21" ht="14.4" customHeight="1" x14ac:dyDescent="0.3">
      <c r="A346" s="660">
        <v>50</v>
      </c>
      <c r="B346" s="661" t="s">
        <v>553</v>
      </c>
      <c r="C346" s="661">
        <v>89301502</v>
      </c>
      <c r="D346" s="740" t="s">
        <v>2564</v>
      </c>
      <c r="E346" s="741" t="s">
        <v>1920</v>
      </c>
      <c r="F346" s="661" t="s">
        <v>1907</v>
      </c>
      <c r="G346" s="661" t="s">
        <v>2080</v>
      </c>
      <c r="H346" s="661" t="s">
        <v>554</v>
      </c>
      <c r="I346" s="661" t="s">
        <v>2437</v>
      </c>
      <c r="J346" s="661" t="s">
        <v>2082</v>
      </c>
      <c r="K346" s="661" t="s">
        <v>2438</v>
      </c>
      <c r="L346" s="662">
        <v>523.38</v>
      </c>
      <c r="M346" s="662">
        <v>523.38</v>
      </c>
      <c r="N346" s="661">
        <v>1</v>
      </c>
      <c r="O346" s="742">
        <v>0.5</v>
      </c>
      <c r="P346" s="662"/>
      <c r="Q346" s="677">
        <v>0</v>
      </c>
      <c r="R346" s="661"/>
      <c r="S346" s="677">
        <v>0</v>
      </c>
      <c r="T346" s="742"/>
      <c r="U346" s="700">
        <v>0</v>
      </c>
    </row>
    <row r="347" spans="1:21" ht="14.4" customHeight="1" x14ac:dyDescent="0.3">
      <c r="A347" s="660">
        <v>50</v>
      </c>
      <c r="B347" s="661" t="s">
        <v>553</v>
      </c>
      <c r="C347" s="661">
        <v>89301502</v>
      </c>
      <c r="D347" s="740" t="s">
        <v>2564</v>
      </c>
      <c r="E347" s="741" t="s">
        <v>1920</v>
      </c>
      <c r="F347" s="661" t="s">
        <v>1907</v>
      </c>
      <c r="G347" s="661" t="s">
        <v>2084</v>
      </c>
      <c r="H347" s="661" t="s">
        <v>995</v>
      </c>
      <c r="I347" s="661" t="s">
        <v>2229</v>
      </c>
      <c r="J347" s="661" t="s">
        <v>1124</v>
      </c>
      <c r="K347" s="661" t="s">
        <v>2230</v>
      </c>
      <c r="L347" s="662">
        <v>366.53</v>
      </c>
      <c r="M347" s="662">
        <v>1466.12</v>
      </c>
      <c r="N347" s="661">
        <v>4</v>
      </c>
      <c r="O347" s="742">
        <v>2</v>
      </c>
      <c r="P347" s="662"/>
      <c r="Q347" s="677">
        <v>0</v>
      </c>
      <c r="R347" s="661"/>
      <c r="S347" s="677">
        <v>0</v>
      </c>
      <c r="T347" s="742"/>
      <c r="U347" s="700">
        <v>0</v>
      </c>
    </row>
    <row r="348" spans="1:21" ht="14.4" customHeight="1" x14ac:dyDescent="0.3">
      <c r="A348" s="660">
        <v>50</v>
      </c>
      <c r="B348" s="661" t="s">
        <v>553</v>
      </c>
      <c r="C348" s="661">
        <v>89301502</v>
      </c>
      <c r="D348" s="740" t="s">
        <v>2564</v>
      </c>
      <c r="E348" s="741" t="s">
        <v>1920</v>
      </c>
      <c r="F348" s="661" t="s">
        <v>1907</v>
      </c>
      <c r="G348" s="661" t="s">
        <v>2168</v>
      </c>
      <c r="H348" s="661" t="s">
        <v>554</v>
      </c>
      <c r="I348" s="661" t="s">
        <v>1336</v>
      </c>
      <c r="J348" s="661" t="s">
        <v>1337</v>
      </c>
      <c r="K348" s="661" t="s">
        <v>685</v>
      </c>
      <c r="L348" s="662">
        <v>246.88</v>
      </c>
      <c r="M348" s="662">
        <v>2221.92</v>
      </c>
      <c r="N348" s="661">
        <v>9</v>
      </c>
      <c r="O348" s="742">
        <v>2</v>
      </c>
      <c r="P348" s="662">
        <v>1234.4000000000001</v>
      </c>
      <c r="Q348" s="677">
        <v>0.55555555555555558</v>
      </c>
      <c r="R348" s="661">
        <v>5</v>
      </c>
      <c r="S348" s="677">
        <v>0.55555555555555558</v>
      </c>
      <c r="T348" s="742">
        <v>1</v>
      </c>
      <c r="U348" s="700">
        <v>0.5</v>
      </c>
    </row>
    <row r="349" spans="1:21" ht="14.4" customHeight="1" x14ac:dyDescent="0.3">
      <c r="A349" s="660">
        <v>50</v>
      </c>
      <c r="B349" s="661" t="s">
        <v>553</v>
      </c>
      <c r="C349" s="661">
        <v>89301502</v>
      </c>
      <c r="D349" s="740" t="s">
        <v>2564</v>
      </c>
      <c r="E349" s="741" t="s">
        <v>1920</v>
      </c>
      <c r="F349" s="661" t="s">
        <v>1907</v>
      </c>
      <c r="G349" s="661" t="s">
        <v>2144</v>
      </c>
      <c r="H349" s="661" t="s">
        <v>554</v>
      </c>
      <c r="I349" s="661" t="s">
        <v>2439</v>
      </c>
      <c r="J349" s="661" t="s">
        <v>2146</v>
      </c>
      <c r="K349" s="661" t="s">
        <v>2440</v>
      </c>
      <c r="L349" s="662">
        <v>0</v>
      </c>
      <c r="M349" s="662">
        <v>0</v>
      </c>
      <c r="N349" s="661">
        <v>4</v>
      </c>
      <c r="O349" s="742">
        <v>0.5</v>
      </c>
      <c r="P349" s="662">
        <v>0</v>
      </c>
      <c r="Q349" s="677"/>
      <c r="R349" s="661">
        <v>4</v>
      </c>
      <c r="S349" s="677">
        <v>1</v>
      </c>
      <c r="T349" s="742">
        <v>0.5</v>
      </c>
      <c r="U349" s="700">
        <v>1</v>
      </c>
    </row>
    <row r="350" spans="1:21" ht="14.4" customHeight="1" x14ac:dyDescent="0.3">
      <c r="A350" s="660">
        <v>50</v>
      </c>
      <c r="B350" s="661" t="s">
        <v>553</v>
      </c>
      <c r="C350" s="661">
        <v>89301502</v>
      </c>
      <c r="D350" s="740" t="s">
        <v>2564</v>
      </c>
      <c r="E350" s="741" t="s">
        <v>1920</v>
      </c>
      <c r="F350" s="661" t="s">
        <v>1907</v>
      </c>
      <c r="G350" s="661" t="s">
        <v>2144</v>
      </c>
      <c r="H350" s="661" t="s">
        <v>554</v>
      </c>
      <c r="I350" s="661" t="s">
        <v>683</v>
      </c>
      <c r="J350" s="661" t="s">
        <v>2146</v>
      </c>
      <c r="K350" s="661" t="s">
        <v>685</v>
      </c>
      <c r="L350" s="662">
        <v>124.3</v>
      </c>
      <c r="M350" s="662">
        <v>248.6</v>
      </c>
      <c r="N350" s="661">
        <v>2</v>
      </c>
      <c r="O350" s="742">
        <v>0.5</v>
      </c>
      <c r="P350" s="662"/>
      <c r="Q350" s="677">
        <v>0</v>
      </c>
      <c r="R350" s="661"/>
      <c r="S350" s="677">
        <v>0</v>
      </c>
      <c r="T350" s="742"/>
      <c r="U350" s="700">
        <v>0</v>
      </c>
    </row>
    <row r="351" spans="1:21" ht="14.4" customHeight="1" x14ac:dyDescent="0.3">
      <c r="A351" s="660">
        <v>50</v>
      </c>
      <c r="B351" s="661" t="s">
        <v>553</v>
      </c>
      <c r="C351" s="661">
        <v>89301502</v>
      </c>
      <c r="D351" s="740" t="s">
        <v>2564</v>
      </c>
      <c r="E351" s="741" t="s">
        <v>1920</v>
      </c>
      <c r="F351" s="661" t="s">
        <v>1907</v>
      </c>
      <c r="G351" s="661" t="s">
        <v>2144</v>
      </c>
      <c r="H351" s="661" t="s">
        <v>554</v>
      </c>
      <c r="I351" s="661" t="s">
        <v>2441</v>
      </c>
      <c r="J351" s="661" t="s">
        <v>2442</v>
      </c>
      <c r="K351" s="661" t="s">
        <v>685</v>
      </c>
      <c r="L351" s="662">
        <v>124.3</v>
      </c>
      <c r="M351" s="662">
        <v>1491.6</v>
      </c>
      <c r="N351" s="661">
        <v>12</v>
      </c>
      <c r="O351" s="742">
        <v>2</v>
      </c>
      <c r="P351" s="662">
        <v>994.4</v>
      </c>
      <c r="Q351" s="677">
        <v>0.66666666666666674</v>
      </c>
      <c r="R351" s="661">
        <v>8</v>
      </c>
      <c r="S351" s="677">
        <v>0.66666666666666663</v>
      </c>
      <c r="T351" s="742">
        <v>1.5</v>
      </c>
      <c r="U351" s="700">
        <v>0.75</v>
      </c>
    </row>
    <row r="352" spans="1:21" ht="14.4" customHeight="1" x14ac:dyDescent="0.3">
      <c r="A352" s="660">
        <v>50</v>
      </c>
      <c r="B352" s="661" t="s">
        <v>553</v>
      </c>
      <c r="C352" s="661">
        <v>89301502</v>
      </c>
      <c r="D352" s="740" t="s">
        <v>2564</v>
      </c>
      <c r="E352" s="741" t="s">
        <v>1920</v>
      </c>
      <c r="F352" s="661" t="s">
        <v>1907</v>
      </c>
      <c r="G352" s="661" t="s">
        <v>2443</v>
      </c>
      <c r="H352" s="661" t="s">
        <v>554</v>
      </c>
      <c r="I352" s="661" t="s">
        <v>2444</v>
      </c>
      <c r="J352" s="661" t="s">
        <v>2445</v>
      </c>
      <c r="K352" s="661" t="s">
        <v>2446</v>
      </c>
      <c r="L352" s="662">
        <v>36.97</v>
      </c>
      <c r="M352" s="662">
        <v>36.97</v>
      </c>
      <c r="N352" s="661">
        <v>1</v>
      </c>
      <c r="O352" s="742">
        <v>0.5</v>
      </c>
      <c r="P352" s="662"/>
      <c r="Q352" s="677">
        <v>0</v>
      </c>
      <c r="R352" s="661"/>
      <c r="S352" s="677">
        <v>0</v>
      </c>
      <c r="T352" s="742"/>
      <c r="U352" s="700">
        <v>0</v>
      </c>
    </row>
    <row r="353" spans="1:21" ht="14.4" customHeight="1" x14ac:dyDescent="0.3">
      <c r="A353" s="660">
        <v>50</v>
      </c>
      <c r="B353" s="661" t="s">
        <v>553</v>
      </c>
      <c r="C353" s="661">
        <v>89301502</v>
      </c>
      <c r="D353" s="740" t="s">
        <v>2564</v>
      </c>
      <c r="E353" s="741" t="s">
        <v>1920</v>
      </c>
      <c r="F353" s="661" t="s">
        <v>1907</v>
      </c>
      <c r="G353" s="661" t="s">
        <v>2443</v>
      </c>
      <c r="H353" s="661" t="s">
        <v>554</v>
      </c>
      <c r="I353" s="661" t="s">
        <v>2447</v>
      </c>
      <c r="J353" s="661" t="s">
        <v>2445</v>
      </c>
      <c r="K353" s="661" t="s">
        <v>2448</v>
      </c>
      <c r="L353" s="662">
        <v>36.97</v>
      </c>
      <c r="M353" s="662">
        <v>36.97</v>
      </c>
      <c r="N353" s="661">
        <v>1</v>
      </c>
      <c r="O353" s="742">
        <v>0.5</v>
      </c>
      <c r="P353" s="662"/>
      <c r="Q353" s="677">
        <v>0</v>
      </c>
      <c r="R353" s="661"/>
      <c r="S353" s="677">
        <v>0</v>
      </c>
      <c r="T353" s="742"/>
      <c r="U353" s="700">
        <v>0</v>
      </c>
    </row>
    <row r="354" spans="1:21" ht="14.4" customHeight="1" x14ac:dyDescent="0.3">
      <c r="A354" s="660">
        <v>50</v>
      </c>
      <c r="B354" s="661" t="s">
        <v>553</v>
      </c>
      <c r="C354" s="661">
        <v>89301502</v>
      </c>
      <c r="D354" s="740" t="s">
        <v>2564</v>
      </c>
      <c r="E354" s="741" t="s">
        <v>1920</v>
      </c>
      <c r="F354" s="661" t="s">
        <v>1907</v>
      </c>
      <c r="G354" s="661" t="s">
        <v>2449</v>
      </c>
      <c r="H354" s="661" t="s">
        <v>554</v>
      </c>
      <c r="I354" s="661" t="s">
        <v>2450</v>
      </c>
      <c r="J354" s="661" t="s">
        <v>2451</v>
      </c>
      <c r="K354" s="661" t="s">
        <v>2452</v>
      </c>
      <c r="L354" s="662">
        <v>81.78</v>
      </c>
      <c r="M354" s="662">
        <v>163.56</v>
      </c>
      <c r="N354" s="661">
        <v>2</v>
      </c>
      <c r="O354" s="742">
        <v>1</v>
      </c>
      <c r="P354" s="662"/>
      <c r="Q354" s="677">
        <v>0</v>
      </c>
      <c r="R354" s="661"/>
      <c r="S354" s="677">
        <v>0</v>
      </c>
      <c r="T354" s="742"/>
      <c r="U354" s="700">
        <v>0</v>
      </c>
    </row>
    <row r="355" spans="1:21" ht="14.4" customHeight="1" x14ac:dyDescent="0.3">
      <c r="A355" s="660">
        <v>50</v>
      </c>
      <c r="B355" s="661" t="s">
        <v>553</v>
      </c>
      <c r="C355" s="661">
        <v>89301502</v>
      </c>
      <c r="D355" s="740" t="s">
        <v>2564</v>
      </c>
      <c r="E355" s="741" t="s">
        <v>1920</v>
      </c>
      <c r="F355" s="661" t="s">
        <v>1907</v>
      </c>
      <c r="G355" s="661" t="s">
        <v>2238</v>
      </c>
      <c r="H355" s="661" t="s">
        <v>554</v>
      </c>
      <c r="I355" s="661" t="s">
        <v>2453</v>
      </c>
      <c r="J355" s="661" t="s">
        <v>2454</v>
      </c>
      <c r="K355" s="661" t="s">
        <v>2455</v>
      </c>
      <c r="L355" s="662">
        <v>503.02</v>
      </c>
      <c r="M355" s="662">
        <v>1006.04</v>
      </c>
      <c r="N355" s="661">
        <v>2</v>
      </c>
      <c r="O355" s="742">
        <v>1</v>
      </c>
      <c r="P355" s="662"/>
      <c r="Q355" s="677">
        <v>0</v>
      </c>
      <c r="R355" s="661"/>
      <c r="S355" s="677">
        <v>0</v>
      </c>
      <c r="T355" s="742"/>
      <c r="U355" s="700">
        <v>0</v>
      </c>
    </row>
    <row r="356" spans="1:21" ht="14.4" customHeight="1" x14ac:dyDescent="0.3">
      <c r="A356" s="660">
        <v>50</v>
      </c>
      <c r="B356" s="661" t="s">
        <v>553</v>
      </c>
      <c r="C356" s="661">
        <v>89301502</v>
      </c>
      <c r="D356" s="740" t="s">
        <v>2564</v>
      </c>
      <c r="E356" s="741" t="s">
        <v>1920</v>
      </c>
      <c r="F356" s="661" t="s">
        <v>1907</v>
      </c>
      <c r="G356" s="661" t="s">
        <v>1988</v>
      </c>
      <c r="H356" s="661" t="s">
        <v>995</v>
      </c>
      <c r="I356" s="661" t="s">
        <v>2020</v>
      </c>
      <c r="J356" s="661" t="s">
        <v>2021</v>
      </c>
      <c r="K356" s="661" t="s">
        <v>2022</v>
      </c>
      <c r="L356" s="662">
        <v>120.61</v>
      </c>
      <c r="M356" s="662">
        <v>482.44</v>
      </c>
      <c r="N356" s="661">
        <v>4</v>
      </c>
      <c r="O356" s="742">
        <v>2.5</v>
      </c>
      <c r="P356" s="662">
        <v>361.83</v>
      </c>
      <c r="Q356" s="677">
        <v>0.75</v>
      </c>
      <c r="R356" s="661">
        <v>3</v>
      </c>
      <c r="S356" s="677">
        <v>0.75</v>
      </c>
      <c r="T356" s="742">
        <v>1.5</v>
      </c>
      <c r="U356" s="700">
        <v>0.6</v>
      </c>
    </row>
    <row r="357" spans="1:21" ht="14.4" customHeight="1" x14ac:dyDescent="0.3">
      <c r="A357" s="660">
        <v>50</v>
      </c>
      <c r="B357" s="661" t="s">
        <v>553</v>
      </c>
      <c r="C357" s="661">
        <v>89301502</v>
      </c>
      <c r="D357" s="740" t="s">
        <v>2564</v>
      </c>
      <c r="E357" s="741" t="s">
        <v>1920</v>
      </c>
      <c r="F357" s="661" t="s">
        <v>1907</v>
      </c>
      <c r="G357" s="661" t="s">
        <v>1988</v>
      </c>
      <c r="H357" s="661" t="s">
        <v>995</v>
      </c>
      <c r="I357" s="661" t="s">
        <v>1089</v>
      </c>
      <c r="J357" s="661" t="s">
        <v>1823</v>
      </c>
      <c r="K357" s="661" t="s">
        <v>1824</v>
      </c>
      <c r="L357" s="662">
        <v>184.74</v>
      </c>
      <c r="M357" s="662">
        <v>923.7</v>
      </c>
      <c r="N357" s="661">
        <v>5</v>
      </c>
      <c r="O357" s="742">
        <v>2</v>
      </c>
      <c r="P357" s="662">
        <v>369.48</v>
      </c>
      <c r="Q357" s="677">
        <v>0.4</v>
      </c>
      <c r="R357" s="661">
        <v>2</v>
      </c>
      <c r="S357" s="677">
        <v>0.4</v>
      </c>
      <c r="T357" s="742">
        <v>1</v>
      </c>
      <c r="U357" s="700">
        <v>0.5</v>
      </c>
    </row>
    <row r="358" spans="1:21" ht="14.4" customHeight="1" x14ac:dyDescent="0.3">
      <c r="A358" s="660">
        <v>50</v>
      </c>
      <c r="B358" s="661" t="s">
        <v>553</v>
      </c>
      <c r="C358" s="661">
        <v>89301502</v>
      </c>
      <c r="D358" s="740" t="s">
        <v>2564</v>
      </c>
      <c r="E358" s="741" t="s">
        <v>1920</v>
      </c>
      <c r="F358" s="661" t="s">
        <v>1907</v>
      </c>
      <c r="G358" s="661" t="s">
        <v>2276</v>
      </c>
      <c r="H358" s="661" t="s">
        <v>554</v>
      </c>
      <c r="I358" s="661" t="s">
        <v>2456</v>
      </c>
      <c r="J358" s="661" t="s">
        <v>2278</v>
      </c>
      <c r="K358" s="661" t="s">
        <v>1528</v>
      </c>
      <c r="L358" s="662">
        <v>0</v>
      </c>
      <c r="M358" s="662">
        <v>0</v>
      </c>
      <c r="N358" s="661">
        <v>7</v>
      </c>
      <c r="O358" s="742">
        <v>2</v>
      </c>
      <c r="P358" s="662"/>
      <c r="Q358" s="677"/>
      <c r="R358" s="661"/>
      <c r="S358" s="677">
        <v>0</v>
      </c>
      <c r="T358" s="742"/>
      <c r="U358" s="700">
        <v>0</v>
      </c>
    </row>
    <row r="359" spans="1:21" ht="14.4" customHeight="1" x14ac:dyDescent="0.3">
      <c r="A359" s="660">
        <v>50</v>
      </c>
      <c r="B359" s="661" t="s">
        <v>553</v>
      </c>
      <c r="C359" s="661">
        <v>89301502</v>
      </c>
      <c r="D359" s="740" t="s">
        <v>2564</v>
      </c>
      <c r="E359" s="741" t="s">
        <v>1920</v>
      </c>
      <c r="F359" s="661" t="s">
        <v>1907</v>
      </c>
      <c r="G359" s="661" t="s">
        <v>2457</v>
      </c>
      <c r="H359" s="661" t="s">
        <v>554</v>
      </c>
      <c r="I359" s="661" t="s">
        <v>2458</v>
      </c>
      <c r="J359" s="661" t="s">
        <v>2459</v>
      </c>
      <c r="K359" s="661" t="s">
        <v>2460</v>
      </c>
      <c r="L359" s="662">
        <v>0</v>
      </c>
      <c r="M359" s="662">
        <v>0</v>
      </c>
      <c r="N359" s="661">
        <v>1</v>
      </c>
      <c r="O359" s="742">
        <v>0.5</v>
      </c>
      <c r="P359" s="662"/>
      <c r="Q359" s="677"/>
      <c r="R359" s="661"/>
      <c r="S359" s="677">
        <v>0</v>
      </c>
      <c r="T359" s="742"/>
      <c r="U359" s="700">
        <v>0</v>
      </c>
    </row>
    <row r="360" spans="1:21" ht="14.4" customHeight="1" x14ac:dyDescent="0.3">
      <c r="A360" s="660">
        <v>50</v>
      </c>
      <c r="B360" s="661" t="s">
        <v>553</v>
      </c>
      <c r="C360" s="661">
        <v>89301502</v>
      </c>
      <c r="D360" s="740" t="s">
        <v>2564</v>
      </c>
      <c r="E360" s="741" t="s">
        <v>1920</v>
      </c>
      <c r="F360" s="661" t="s">
        <v>1907</v>
      </c>
      <c r="G360" s="661" t="s">
        <v>2461</v>
      </c>
      <c r="H360" s="661" t="s">
        <v>554</v>
      </c>
      <c r="I360" s="661" t="s">
        <v>2462</v>
      </c>
      <c r="J360" s="661" t="s">
        <v>2463</v>
      </c>
      <c r="K360" s="661" t="s">
        <v>2464</v>
      </c>
      <c r="L360" s="662">
        <v>5339.52</v>
      </c>
      <c r="M360" s="662">
        <v>16018.560000000001</v>
      </c>
      <c r="N360" s="661">
        <v>3</v>
      </c>
      <c r="O360" s="742">
        <v>2</v>
      </c>
      <c r="P360" s="662">
        <v>10679.04</v>
      </c>
      <c r="Q360" s="677">
        <v>0.66666666666666663</v>
      </c>
      <c r="R360" s="661">
        <v>2</v>
      </c>
      <c r="S360" s="677">
        <v>0.66666666666666663</v>
      </c>
      <c r="T360" s="742">
        <v>1.5</v>
      </c>
      <c r="U360" s="700">
        <v>0.75</v>
      </c>
    </row>
    <row r="361" spans="1:21" ht="14.4" customHeight="1" x14ac:dyDescent="0.3">
      <c r="A361" s="660">
        <v>50</v>
      </c>
      <c r="B361" s="661" t="s">
        <v>553</v>
      </c>
      <c r="C361" s="661">
        <v>89301502</v>
      </c>
      <c r="D361" s="740" t="s">
        <v>2564</v>
      </c>
      <c r="E361" s="741" t="s">
        <v>1920</v>
      </c>
      <c r="F361" s="661" t="s">
        <v>1907</v>
      </c>
      <c r="G361" s="661" t="s">
        <v>2465</v>
      </c>
      <c r="H361" s="661" t="s">
        <v>995</v>
      </c>
      <c r="I361" s="661" t="s">
        <v>2466</v>
      </c>
      <c r="J361" s="661" t="s">
        <v>2467</v>
      </c>
      <c r="K361" s="661" t="s">
        <v>2468</v>
      </c>
      <c r="L361" s="662">
        <v>1252.54</v>
      </c>
      <c r="M361" s="662">
        <v>1252.54</v>
      </c>
      <c r="N361" s="661">
        <v>1</v>
      </c>
      <c r="O361" s="742">
        <v>0.5</v>
      </c>
      <c r="P361" s="662"/>
      <c r="Q361" s="677">
        <v>0</v>
      </c>
      <c r="R361" s="661"/>
      <c r="S361" s="677">
        <v>0</v>
      </c>
      <c r="T361" s="742"/>
      <c r="U361" s="700">
        <v>0</v>
      </c>
    </row>
    <row r="362" spans="1:21" ht="14.4" customHeight="1" x14ac:dyDescent="0.3">
      <c r="A362" s="660">
        <v>50</v>
      </c>
      <c r="B362" s="661" t="s">
        <v>553</v>
      </c>
      <c r="C362" s="661">
        <v>89301502</v>
      </c>
      <c r="D362" s="740" t="s">
        <v>2564</v>
      </c>
      <c r="E362" s="741" t="s">
        <v>1920</v>
      </c>
      <c r="F362" s="661" t="s">
        <v>1907</v>
      </c>
      <c r="G362" s="661" t="s">
        <v>2469</v>
      </c>
      <c r="H362" s="661" t="s">
        <v>995</v>
      </c>
      <c r="I362" s="661" t="s">
        <v>2470</v>
      </c>
      <c r="J362" s="661" t="s">
        <v>1078</v>
      </c>
      <c r="K362" s="661" t="s">
        <v>2471</v>
      </c>
      <c r="L362" s="662">
        <v>133.94</v>
      </c>
      <c r="M362" s="662">
        <v>535.76</v>
      </c>
      <c r="N362" s="661">
        <v>4</v>
      </c>
      <c r="O362" s="742">
        <v>1</v>
      </c>
      <c r="P362" s="662"/>
      <c r="Q362" s="677">
        <v>0</v>
      </c>
      <c r="R362" s="661"/>
      <c r="S362" s="677">
        <v>0</v>
      </c>
      <c r="T362" s="742"/>
      <c r="U362" s="700">
        <v>0</v>
      </c>
    </row>
    <row r="363" spans="1:21" ht="14.4" customHeight="1" x14ac:dyDescent="0.3">
      <c r="A363" s="660">
        <v>50</v>
      </c>
      <c r="B363" s="661" t="s">
        <v>553</v>
      </c>
      <c r="C363" s="661">
        <v>89301502</v>
      </c>
      <c r="D363" s="740" t="s">
        <v>2564</v>
      </c>
      <c r="E363" s="741" t="s">
        <v>1920</v>
      </c>
      <c r="F363" s="661" t="s">
        <v>1908</v>
      </c>
      <c r="G363" s="661" t="s">
        <v>2472</v>
      </c>
      <c r="H363" s="661" t="s">
        <v>554</v>
      </c>
      <c r="I363" s="661" t="s">
        <v>2473</v>
      </c>
      <c r="J363" s="661" t="s">
        <v>2474</v>
      </c>
      <c r="K363" s="661"/>
      <c r="L363" s="662">
        <v>0</v>
      </c>
      <c r="M363" s="662">
        <v>0</v>
      </c>
      <c r="N363" s="661">
        <v>1</v>
      </c>
      <c r="O363" s="742">
        <v>0.5</v>
      </c>
      <c r="P363" s="662">
        <v>0</v>
      </c>
      <c r="Q363" s="677"/>
      <c r="R363" s="661">
        <v>1</v>
      </c>
      <c r="S363" s="677">
        <v>1</v>
      </c>
      <c r="T363" s="742">
        <v>0.5</v>
      </c>
      <c r="U363" s="700">
        <v>1</v>
      </c>
    </row>
    <row r="364" spans="1:21" ht="14.4" customHeight="1" x14ac:dyDescent="0.3">
      <c r="A364" s="660">
        <v>50</v>
      </c>
      <c r="B364" s="661" t="s">
        <v>553</v>
      </c>
      <c r="C364" s="661">
        <v>89301502</v>
      </c>
      <c r="D364" s="740" t="s">
        <v>2564</v>
      </c>
      <c r="E364" s="741" t="s">
        <v>1920</v>
      </c>
      <c r="F364" s="661" t="s">
        <v>1908</v>
      </c>
      <c r="G364" s="661" t="s">
        <v>2472</v>
      </c>
      <c r="H364" s="661" t="s">
        <v>554</v>
      </c>
      <c r="I364" s="661" t="s">
        <v>2475</v>
      </c>
      <c r="J364" s="661" t="s">
        <v>2474</v>
      </c>
      <c r="K364" s="661"/>
      <c r="L364" s="662">
        <v>0</v>
      </c>
      <c r="M364" s="662">
        <v>0</v>
      </c>
      <c r="N364" s="661">
        <v>1</v>
      </c>
      <c r="O364" s="742">
        <v>1</v>
      </c>
      <c r="P364" s="662"/>
      <c r="Q364" s="677"/>
      <c r="R364" s="661"/>
      <c r="S364" s="677">
        <v>0</v>
      </c>
      <c r="T364" s="742"/>
      <c r="U364" s="700">
        <v>0</v>
      </c>
    </row>
    <row r="365" spans="1:21" ht="14.4" customHeight="1" x14ac:dyDescent="0.3">
      <c r="A365" s="660">
        <v>50</v>
      </c>
      <c r="B365" s="661" t="s">
        <v>553</v>
      </c>
      <c r="C365" s="661">
        <v>89301502</v>
      </c>
      <c r="D365" s="740" t="s">
        <v>2564</v>
      </c>
      <c r="E365" s="741" t="s">
        <v>1920</v>
      </c>
      <c r="F365" s="661" t="s">
        <v>1909</v>
      </c>
      <c r="G365" s="661" t="s">
        <v>2243</v>
      </c>
      <c r="H365" s="661" t="s">
        <v>554</v>
      </c>
      <c r="I365" s="661" t="s">
        <v>2244</v>
      </c>
      <c r="J365" s="661" t="s">
        <v>2245</v>
      </c>
      <c r="K365" s="661" t="s">
        <v>2246</v>
      </c>
      <c r="L365" s="662">
        <v>38.97</v>
      </c>
      <c r="M365" s="662">
        <v>779.4</v>
      </c>
      <c r="N365" s="661">
        <v>20</v>
      </c>
      <c r="O365" s="742">
        <v>5</v>
      </c>
      <c r="P365" s="662">
        <v>779.4</v>
      </c>
      <c r="Q365" s="677">
        <v>1</v>
      </c>
      <c r="R365" s="661">
        <v>20</v>
      </c>
      <c r="S365" s="677">
        <v>1</v>
      </c>
      <c r="T365" s="742">
        <v>5</v>
      </c>
      <c r="U365" s="700">
        <v>1</v>
      </c>
    </row>
    <row r="366" spans="1:21" ht="14.4" customHeight="1" x14ac:dyDescent="0.3">
      <c r="A366" s="660">
        <v>50</v>
      </c>
      <c r="B366" s="661" t="s">
        <v>553</v>
      </c>
      <c r="C366" s="661">
        <v>89301502</v>
      </c>
      <c r="D366" s="740" t="s">
        <v>2564</v>
      </c>
      <c r="E366" s="741" t="s">
        <v>1920</v>
      </c>
      <c r="F366" s="661" t="s">
        <v>1909</v>
      </c>
      <c r="G366" s="661" t="s">
        <v>2476</v>
      </c>
      <c r="H366" s="661" t="s">
        <v>554</v>
      </c>
      <c r="I366" s="661" t="s">
        <v>2477</v>
      </c>
      <c r="J366" s="661" t="s">
        <v>2478</v>
      </c>
      <c r="K366" s="661" t="s">
        <v>2479</v>
      </c>
      <c r="L366" s="662">
        <v>566</v>
      </c>
      <c r="M366" s="662">
        <v>566</v>
      </c>
      <c r="N366" s="661">
        <v>1</v>
      </c>
      <c r="O366" s="742">
        <v>1</v>
      </c>
      <c r="P366" s="662">
        <v>566</v>
      </c>
      <c r="Q366" s="677">
        <v>1</v>
      </c>
      <c r="R366" s="661">
        <v>1</v>
      </c>
      <c r="S366" s="677">
        <v>1</v>
      </c>
      <c r="T366" s="742">
        <v>1</v>
      </c>
      <c r="U366" s="700">
        <v>1</v>
      </c>
    </row>
    <row r="367" spans="1:21" ht="14.4" customHeight="1" x14ac:dyDescent="0.3">
      <c r="A367" s="660">
        <v>50</v>
      </c>
      <c r="B367" s="661" t="s">
        <v>553</v>
      </c>
      <c r="C367" s="661">
        <v>89301502</v>
      </c>
      <c r="D367" s="740" t="s">
        <v>2564</v>
      </c>
      <c r="E367" s="741" t="s">
        <v>1920</v>
      </c>
      <c r="F367" s="661" t="s">
        <v>1909</v>
      </c>
      <c r="G367" s="661" t="s">
        <v>2247</v>
      </c>
      <c r="H367" s="661" t="s">
        <v>554</v>
      </c>
      <c r="I367" s="661" t="s">
        <v>2248</v>
      </c>
      <c r="J367" s="661" t="s">
        <v>2249</v>
      </c>
      <c r="K367" s="661" t="s">
        <v>2250</v>
      </c>
      <c r="L367" s="662">
        <v>378.48</v>
      </c>
      <c r="M367" s="662">
        <v>378.48</v>
      </c>
      <c r="N367" s="661">
        <v>1</v>
      </c>
      <c r="O367" s="742">
        <v>1</v>
      </c>
      <c r="P367" s="662">
        <v>378.48</v>
      </c>
      <c r="Q367" s="677">
        <v>1</v>
      </c>
      <c r="R367" s="661">
        <v>1</v>
      </c>
      <c r="S367" s="677">
        <v>1</v>
      </c>
      <c r="T367" s="742">
        <v>1</v>
      </c>
      <c r="U367" s="700">
        <v>1</v>
      </c>
    </row>
    <row r="368" spans="1:21" ht="14.4" customHeight="1" x14ac:dyDescent="0.3">
      <c r="A368" s="660">
        <v>50</v>
      </c>
      <c r="B368" s="661" t="s">
        <v>553</v>
      </c>
      <c r="C368" s="661">
        <v>89301502</v>
      </c>
      <c r="D368" s="740" t="s">
        <v>2564</v>
      </c>
      <c r="E368" s="741" t="s">
        <v>1920</v>
      </c>
      <c r="F368" s="661" t="s">
        <v>1909</v>
      </c>
      <c r="G368" s="661" t="s">
        <v>2247</v>
      </c>
      <c r="H368" s="661" t="s">
        <v>554</v>
      </c>
      <c r="I368" s="661" t="s">
        <v>2251</v>
      </c>
      <c r="J368" s="661" t="s">
        <v>2252</v>
      </c>
      <c r="K368" s="661" t="s">
        <v>2253</v>
      </c>
      <c r="L368" s="662">
        <v>378.48</v>
      </c>
      <c r="M368" s="662">
        <v>756.96</v>
      </c>
      <c r="N368" s="661">
        <v>2</v>
      </c>
      <c r="O368" s="742">
        <v>2</v>
      </c>
      <c r="P368" s="662">
        <v>756.96</v>
      </c>
      <c r="Q368" s="677">
        <v>1</v>
      </c>
      <c r="R368" s="661">
        <v>2</v>
      </c>
      <c r="S368" s="677">
        <v>1</v>
      </c>
      <c r="T368" s="742">
        <v>2</v>
      </c>
      <c r="U368" s="700">
        <v>1</v>
      </c>
    </row>
    <row r="369" spans="1:21" ht="14.4" customHeight="1" x14ac:dyDescent="0.3">
      <c r="A369" s="660">
        <v>50</v>
      </c>
      <c r="B369" s="661" t="s">
        <v>553</v>
      </c>
      <c r="C369" s="661">
        <v>89301502</v>
      </c>
      <c r="D369" s="740" t="s">
        <v>2564</v>
      </c>
      <c r="E369" s="741" t="s">
        <v>1921</v>
      </c>
      <c r="F369" s="661" t="s">
        <v>1907</v>
      </c>
      <c r="G369" s="661" t="s">
        <v>1930</v>
      </c>
      <c r="H369" s="661" t="s">
        <v>995</v>
      </c>
      <c r="I369" s="661" t="s">
        <v>2181</v>
      </c>
      <c r="J369" s="661" t="s">
        <v>1011</v>
      </c>
      <c r="K369" s="661" t="s">
        <v>2182</v>
      </c>
      <c r="L369" s="662">
        <v>144.01</v>
      </c>
      <c r="M369" s="662">
        <v>144.01</v>
      </c>
      <c r="N369" s="661">
        <v>1</v>
      </c>
      <c r="O369" s="742">
        <v>1</v>
      </c>
      <c r="P369" s="662"/>
      <c r="Q369" s="677">
        <v>0</v>
      </c>
      <c r="R369" s="661"/>
      <c r="S369" s="677">
        <v>0</v>
      </c>
      <c r="T369" s="742"/>
      <c r="U369" s="700">
        <v>0</v>
      </c>
    </row>
    <row r="370" spans="1:21" ht="14.4" customHeight="1" x14ac:dyDescent="0.3">
      <c r="A370" s="660">
        <v>50</v>
      </c>
      <c r="B370" s="661" t="s">
        <v>553</v>
      </c>
      <c r="C370" s="661">
        <v>89301502</v>
      </c>
      <c r="D370" s="740" t="s">
        <v>2564</v>
      </c>
      <c r="E370" s="741" t="s">
        <v>1921</v>
      </c>
      <c r="F370" s="661" t="s">
        <v>1907</v>
      </c>
      <c r="G370" s="661" t="s">
        <v>2030</v>
      </c>
      <c r="H370" s="661" t="s">
        <v>554</v>
      </c>
      <c r="I370" s="661" t="s">
        <v>2480</v>
      </c>
      <c r="J370" s="661" t="s">
        <v>2481</v>
      </c>
      <c r="K370" s="661" t="s">
        <v>2482</v>
      </c>
      <c r="L370" s="662">
        <v>154.36000000000001</v>
      </c>
      <c r="M370" s="662">
        <v>154.36000000000001</v>
      </c>
      <c r="N370" s="661">
        <v>1</v>
      </c>
      <c r="O370" s="742">
        <v>1</v>
      </c>
      <c r="P370" s="662"/>
      <c r="Q370" s="677">
        <v>0</v>
      </c>
      <c r="R370" s="661"/>
      <c r="S370" s="677">
        <v>0</v>
      </c>
      <c r="T370" s="742"/>
      <c r="U370" s="700">
        <v>0</v>
      </c>
    </row>
    <row r="371" spans="1:21" ht="14.4" customHeight="1" x14ac:dyDescent="0.3">
      <c r="A371" s="660">
        <v>50</v>
      </c>
      <c r="B371" s="661" t="s">
        <v>553</v>
      </c>
      <c r="C371" s="661">
        <v>89301502</v>
      </c>
      <c r="D371" s="740" t="s">
        <v>2564</v>
      </c>
      <c r="E371" s="741" t="s">
        <v>1921</v>
      </c>
      <c r="F371" s="661" t="s">
        <v>1907</v>
      </c>
      <c r="G371" s="661" t="s">
        <v>1926</v>
      </c>
      <c r="H371" s="661" t="s">
        <v>995</v>
      </c>
      <c r="I371" s="661" t="s">
        <v>1048</v>
      </c>
      <c r="J371" s="661" t="s">
        <v>1049</v>
      </c>
      <c r="K371" s="661" t="s">
        <v>1050</v>
      </c>
      <c r="L371" s="662">
        <v>35.11</v>
      </c>
      <c r="M371" s="662">
        <v>35.11</v>
      </c>
      <c r="N371" s="661">
        <v>1</v>
      </c>
      <c r="O371" s="742">
        <v>1</v>
      </c>
      <c r="P371" s="662">
        <v>35.11</v>
      </c>
      <c r="Q371" s="677">
        <v>1</v>
      </c>
      <c r="R371" s="661">
        <v>1</v>
      </c>
      <c r="S371" s="677">
        <v>1</v>
      </c>
      <c r="T371" s="742">
        <v>1</v>
      </c>
      <c r="U371" s="700">
        <v>1</v>
      </c>
    </row>
    <row r="372" spans="1:21" ht="14.4" customHeight="1" x14ac:dyDescent="0.3">
      <c r="A372" s="660">
        <v>50</v>
      </c>
      <c r="B372" s="661" t="s">
        <v>553</v>
      </c>
      <c r="C372" s="661">
        <v>89301502</v>
      </c>
      <c r="D372" s="740" t="s">
        <v>2564</v>
      </c>
      <c r="E372" s="741" t="s">
        <v>1921</v>
      </c>
      <c r="F372" s="661" t="s">
        <v>1907</v>
      </c>
      <c r="G372" s="661" t="s">
        <v>2483</v>
      </c>
      <c r="H372" s="661" t="s">
        <v>554</v>
      </c>
      <c r="I372" s="661" t="s">
        <v>2484</v>
      </c>
      <c r="J372" s="661" t="s">
        <v>2485</v>
      </c>
      <c r="K372" s="661" t="s">
        <v>2486</v>
      </c>
      <c r="L372" s="662">
        <v>0</v>
      </c>
      <c r="M372" s="662">
        <v>0</v>
      </c>
      <c r="N372" s="661">
        <v>1</v>
      </c>
      <c r="O372" s="742">
        <v>1</v>
      </c>
      <c r="P372" s="662">
        <v>0</v>
      </c>
      <c r="Q372" s="677"/>
      <c r="R372" s="661">
        <v>1</v>
      </c>
      <c r="S372" s="677">
        <v>1</v>
      </c>
      <c r="T372" s="742">
        <v>1</v>
      </c>
      <c r="U372" s="700">
        <v>1</v>
      </c>
    </row>
    <row r="373" spans="1:21" ht="14.4" customHeight="1" x14ac:dyDescent="0.3">
      <c r="A373" s="660">
        <v>50</v>
      </c>
      <c r="B373" s="661" t="s">
        <v>553</v>
      </c>
      <c r="C373" s="661">
        <v>89301502</v>
      </c>
      <c r="D373" s="740" t="s">
        <v>2564</v>
      </c>
      <c r="E373" s="741" t="s">
        <v>1921</v>
      </c>
      <c r="F373" s="661" t="s">
        <v>1907</v>
      </c>
      <c r="G373" s="661" t="s">
        <v>2273</v>
      </c>
      <c r="H373" s="661" t="s">
        <v>554</v>
      </c>
      <c r="I373" s="661" t="s">
        <v>717</v>
      </c>
      <c r="J373" s="661" t="s">
        <v>2274</v>
      </c>
      <c r="K373" s="661" t="s">
        <v>2275</v>
      </c>
      <c r="L373" s="662">
        <v>0</v>
      </c>
      <c r="M373" s="662">
        <v>0</v>
      </c>
      <c r="N373" s="661">
        <v>1</v>
      </c>
      <c r="O373" s="742">
        <v>1</v>
      </c>
      <c r="P373" s="662">
        <v>0</v>
      </c>
      <c r="Q373" s="677"/>
      <c r="R373" s="661">
        <v>1</v>
      </c>
      <c r="S373" s="677">
        <v>1</v>
      </c>
      <c r="T373" s="742">
        <v>1</v>
      </c>
      <c r="U373" s="700">
        <v>1</v>
      </c>
    </row>
    <row r="374" spans="1:21" ht="14.4" customHeight="1" x14ac:dyDescent="0.3">
      <c r="A374" s="660">
        <v>50</v>
      </c>
      <c r="B374" s="661" t="s">
        <v>553</v>
      </c>
      <c r="C374" s="661">
        <v>89301502</v>
      </c>
      <c r="D374" s="740" t="s">
        <v>2564</v>
      </c>
      <c r="E374" s="741" t="s">
        <v>1921</v>
      </c>
      <c r="F374" s="661" t="s">
        <v>1907</v>
      </c>
      <c r="G374" s="661" t="s">
        <v>2487</v>
      </c>
      <c r="H374" s="661" t="s">
        <v>995</v>
      </c>
      <c r="I374" s="661" t="s">
        <v>2488</v>
      </c>
      <c r="J374" s="661" t="s">
        <v>2489</v>
      </c>
      <c r="K374" s="661" t="s">
        <v>2490</v>
      </c>
      <c r="L374" s="662">
        <v>40.25</v>
      </c>
      <c r="M374" s="662">
        <v>120.75</v>
      </c>
      <c r="N374" s="661">
        <v>3</v>
      </c>
      <c r="O374" s="742">
        <v>1</v>
      </c>
      <c r="P374" s="662"/>
      <c r="Q374" s="677">
        <v>0</v>
      </c>
      <c r="R374" s="661"/>
      <c r="S374" s="677">
        <v>0</v>
      </c>
      <c r="T374" s="742"/>
      <c r="U374" s="700">
        <v>0</v>
      </c>
    </row>
    <row r="375" spans="1:21" ht="14.4" customHeight="1" x14ac:dyDescent="0.3">
      <c r="A375" s="660">
        <v>50</v>
      </c>
      <c r="B375" s="661" t="s">
        <v>553</v>
      </c>
      <c r="C375" s="661">
        <v>89301502</v>
      </c>
      <c r="D375" s="740" t="s">
        <v>2564</v>
      </c>
      <c r="E375" s="741" t="s">
        <v>1921</v>
      </c>
      <c r="F375" s="661" t="s">
        <v>1909</v>
      </c>
      <c r="G375" s="661" t="s">
        <v>2243</v>
      </c>
      <c r="H375" s="661" t="s">
        <v>554</v>
      </c>
      <c r="I375" s="661" t="s">
        <v>2244</v>
      </c>
      <c r="J375" s="661" t="s">
        <v>2245</v>
      </c>
      <c r="K375" s="661" t="s">
        <v>2246</v>
      </c>
      <c r="L375" s="662">
        <v>38.97</v>
      </c>
      <c r="M375" s="662">
        <v>1247.04</v>
      </c>
      <c r="N375" s="661">
        <v>32</v>
      </c>
      <c r="O375" s="742">
        <v>8</v>
      </c>
      <c r="P375" s="662">
        <v>1247.04</v>
      </c>
      <c r="Q375" s="677">
        <v>1</v>
      </c>
      <c r="R375" s="661">
        <v>32</v>
      </c>
      <c r="S375" s="677">
        <v>1</v>
      </c>
      <c r="T375" s="742">
        <v>8</v>
      </c>
      <c r="U375" s="700">
        <v>1</v>
      </c>
    </row>
    <row r="376" spans="1:21" ht="14.4" customHeight="1" x14ac:dyDescent="0.3">
      <c r="A376" s="660">
        <v>50</v>
      </c>
      <c r="B376" s="661" t="s">
        <v>553</v>
      </c>
      <c r="C376" s="661">
        <v>89301502</v>
      </c>
      <c r="D376" s="740" t="s">
        <v>2564</v>
      </c>
      <c r="E376" s="741" t="s">
        <v>1921</v>
      </c>
      <c r="F376" s="661" t="s">
        <v>1909</v>
      </c>
      <c r="G376" s="661" t="s">
        <v>2476</v>
      </c>
      <c r="H376" s="661" t="s">
        <v>554</v>
      </c>
      <c r="I376" s="661" t="s">
        <v>2491</v>
      </c>
      <c r="J376" s="661" t="s">
        <v>2492</v>
      </c>
      <c r="K376" s="661" t="s">
        <v>2493</v>
      </c>
      <c r="L376" s="662">
        <v>410</v>
      </c>
      <c r="M376" s="662">
        <v>1230</v>
      </c>
      <c r="N376" s="661">
        <v>3</v>
      </c>
      <c r="O376" s="742">
        <v>3</v>
      </c>
      <c r="P376" s="662"/>
      <c r="Q376" s="677">
        <v>0</v>
      </c>
      <c r="R376" s="661"/>
      <c r="S376" s="677">
        <v>0</v>
      </c>
      <c r="T376" s="742"/>
      <c r="U376" s="700">
        <v>0</v>
      </c>
    </row>
    <row r="377" spans="1:21" ht="14.4" customHeight="1" x14ac:dyDescent="0.3">
      <c r="A377" s="660">
        <v>50</v>
      </c>
      <c r="B377" s="661" t="s">
        <v>553</v>
      </c>
      <c r="C377" s="661">
        <v>89301502</v>
      </c>
      <c r="D377" s="740" t="s">
        <v>2564</v>
      </c>
      <c r="E377" s="741" t="s">
        <v>1921</v>
      </c>
      <c r="F377" s="661" t="s">
        <v>1909</v>
      </c>
      <c r="G377" s="661" t="s">
        <v>2247</v>
      </c>
      <c r="H377" s="661" t="s">
        <v>554</v>
      </c>
      <c r="I377" s="661" t="s">
        <v>2248</v>
      </c>
      <c r="J377" s="661" t="s">
        <v>2249</v>
      </c>
      <c r="K377" s="661" t="s">
        <v>2250</v>
      </c>
      <c r="L377" s="662">
        <v>378.48</v>
      </c>
      <c r="M377" s="662">
        <v>1135.44</v>
      </c>
      <c r="N377" s="661">
        <v>3</v>
      </c>
      <c r="O377" s="742">
        <v>3</v>
      </c>
      <c r="P377" s="662">
        <v>1135.44</v>
      </c>
      <c r="Q377" s="677">
        <v>1</v>
      </c>
      <c r="R377" s="661">
        <v>3</v>
      </c>
      <c r="S377" s="677">
        <v>1</v>
      </c>
      <c r="T377" s="742">
        <v>3</v>
      </c>
      <c r="U377" s="700">
        <v>1</v>
      </c>
    </row>
    <row r="378" spans="1:21" ht="14.4" customHeight="1" x14ac:dyDescent="0.3">
      <c r="A378" s="660">
        <v>50</v>
      </c>
      <c r="B378" s="661" t="s">
        <v>553</v>
      </c>
      <c r="C378" s="661">
        <v>89301502</v>
      </c>
      <c r="D378" s="740" t="s">
        <v>2564</v>
      </c>
      <c r="E378" s="741" t="s">
        <v>1921</v>
      </c>
      <c r="F378" s="661" t="s">
        <v>1909</v>
      </c>
      <c r="G378" s="661" t="s">
        <v>2247</v>
      </c>
      <c r="H378" s="661" t="s">
        <v>554</v>
      </c>
      <c r="I378" s="661" t="s">
        <v>2251</v>
      </c>
      <c r="J378" s="661" t="s">
        <v>2252</v>
      </c>
      <c r="K378" s="661" t="s">
        <v>2253</v>
      </c>
      <c r="L378" s="662">
        <v>378.48</v>
      </c>
      <c r="M378" s="662">
        <v>756.96</v>
      </c>
      <c r="N378" s="661">
        <v>2</v>
      </c>
      <c r="O378" s="742">
        <v>2</v>
      </c>
      <c r="P378" s="662">
        <v>756.96</v>
      </c>
      <c r="Q378" s="677">
        <v>1</v>
      </c>
      <c r="R378" s="661">
        <v>2</v>
      </c>
      <c r="S378" s="677">
        <v>1</v>
      </c>
      <c r="T378" s="742">
        <v>2</v>
      </c>
      <c r="U378" s="700">
        <v>1</v>
      </c>
    </row>
    <row r="379" spans="1:21" ht="14.4" customHeight="1" x14ac:dyDescent="0.3">
      <c r="A379" s="660">
        <v>50</v>
      </c>
      <c r="B379" s="661" t="s">
        <v>553</v>
      </c>
      <c r="C379" s="661">
        <v>89301502</v>
      </c>
      <c r="D379" s="740" t="s">
        <v>2564</v>
      </c>
      <c r="E379" s="741" t="s">
        <v>1922</v>
      </c>
      <c r="F379" s="661" t="s">
        <v>1907</v>
      </c>
      <c r="G379" s="661" t="s">
        <v>2494</v>
      </c>
      <c r="H379" s="661" t="s">
        <v>554</v>
      </c>
      <c r="I379" s="661" t="s">
        <v>2495</v>
      </c>
      <c r="J379" s="661" t="s">
        <v>2496</v>
      </c>
      <c r="K379" s="661" t="s">
        <v>2497</v>
      </c>
      <c r="L379" s="662">
        <v>0</v>
      </c>
      <c r="M379" s="662">
        <v>0</v>
      </c>
      <c r="N379" s="661">
        <v>7</v>
      </c>
      <c r="O379" s="742">
        <v>1</v>
      </c>
      <c r="P379" s="662">
        <v>0</v>
      </c>
      <c r="Q379" s="677"/>
      <c r="R379" s="661">
        <v>7</v>
      </c>
      <c r="S379" s="677">
        <v>1</v>
      </c>
      <c r="T379" s="742">
        <v>1</v>
      </c>
      <c r="U379" s="700">
        <v>1</v>
      </c>
    </row>
    <row r="380" spans="1:21" ht="14.4" customHeight="1" x14ac:dyDescent="0.3">
      <c r="A380" s="660">
        <v>50</v>
      </c>
      <c r="B380" s="661" t="s">
        <v>553</v>
      </c>
      <c r="C380" s="661">
        <v>89301502</v>
      </c>
      <c r="D380" s="740" t="s">
        <v>2564</v>
      </c>
      <c r="E380" s="741" t="s">
        <v>1922</v>
      </c>
      <c r="F380" s="661" t="s">
        <v>1907</v>
      </c>
      <c r="G380" s="661" t="s">
        <v>1981</v>
      </c>
      <c r="H380" s="661" t="s">
        <v>554</v>
      </c>
      <c r="I380" s="661" t="s">
        <v>2498</v>
      </c>
      <c r="J380" s="661" t="s">
        <v>2499</v>
      </c>
      <c r="K380" s="661" t="s">
        <v>2500</v>
      </c>
      <c r="L380" s="662">
        <v>51.21</v>
      </c>
      <c r="M380" s="662">
        <v>51.21</v>
      </c>
      <c r="N380" s="661">
        <v>1</v>
      </c>
      <c r="O380" s="742">
        <v>1</v>
      </c>
      <c r="P380" s="662">
        <v>51.21</v>
      </c>
      <c r="Q380" s="677">
        <v>1</v>
      </c>
      <c r="R380" s="661">
        <v>1</v>
      </c>
      <c r="S380" s="677">
        <v>1</v>
      </c>
      <c r="T380" s="742">
        <v>1</v>
      </c>
      <c r="U380" s="700">
        <v>1</v>
      </c>
    </row>
    <row r="381" spans="1:21" ht="14.4" customHeight="1" x14ac:dyDescent="0.3">
      <c r="A381" s="660">
        <v>50</v>
      </c>
      <c r="B381" s="661" t="s">
        <v>553</v>
      </c>
      <c r="C381" s="661">
        <v>89301502</v>
      </c>
      <c r="D381" s="740" t="s">
        <v>2564</v>
      </c>
      <c r="E381" s="741" t="s">
        <v>1924</v>
      </c>
      <c r="F381" s="661" t="s">
        <v>1907</v>
      </c>
      <c r="G381" s="661" t="s">
        <v>1957</v>
      </c>
      <c r="H381" s="661" t="s">
        <v>554</v>
      </c>
      <c r="I381" s="661" t="s">
        <v>2385</v>
      </c>
      <c r="J381" s="661" t="s">
        <v>1959</v>
      </c>
      <c r="K381" s="661" t="s">
        <v>2386</v>
      </c>
      <c r="L381" s="662">
        <v>234.07</v>
      </c>
      <c r="M381" s="662">
        <v>234.07</v>
      </c>
      <c r="N381" s="661">
        <v>1</v>
      </c>
      <c r="O381" s="742">
        <v>1</v>
      </c>
      <c r="P381" s="662"/>
      <c r="Q381" s="677">
        <v>0</v>
      </c>
      <c r="R381" s="661"/>
      <c r="S381" s="677">
        <v>0</v>
      </c>
      <c r="T381" s="742"/>
      <c r="U381" s="700">
        <v>0</v>
      </c>
    </row>
    <row r="382" spans="1:21" ht="14.4" customHeight="1" x14ac:dyDescent="0.3">
      <c r="A382" s="660">
        <v>50</v>
      </c>
      <c r="B382" s="661" t="s">
        <v>553</v>
      </c>
      <c r="C382" s="661">
        <v>89301502</v>
      </c>
      <c r="D382" s="740" t="s">
        <v>2564</v>
      </c>
      <c r="E382" s="741" t="s">
        <v>1925</v>
      </c>
      <c r="F382" s="661" t="s">
        <v>1907</v>
      </c>
      <c r="G382" s="661" t="s">
        <v>1930</v>
      </c>
      <c r="H382" s="661" t="s">
        <v>995</v>
      </c>
      <c r="I382" s="661" t="s">
        <v>1010</v>
      </c>
      <c r="J382" s="661" t="s">
        <v>1011</v>
      </c>
      <c r="K382" s="661" t="s">
        <v>1830</v>
      </c>
      <c r="L382" s="662">
        <v>72</v>
      </c>
      <c r="M382" s="662">
        <v>72</v>
      </c>
      <c r="N382" s="661">
        <v>1</v>
      </c>
      <c r="O382" s="742">
        <v>1</v>
      </c>
      <c r="P382" s="662">
        <v>72</v>
      </c>
      <c r="Q382" s="677">
        <v>1</v>
      </c>
      <c r="R382" s="661">
        <v>1</v>
      </c>
      <c r="S382" s="677">
        <v>1</v>
      </c>
      <c r="T382" s="742">
        <v>1</v>
      </c>
      <c r="U382" s="700">
        <v>1</v>
      </c>
    </row>
    <row r="383" spans="1:21" ht="14.4" customHeight="1" x14ac:dyDescent="0.3">
      <c r="A383" s="660">
        <v>50</v>
      </c>
      <c r="B383" s="661" t="s">
        <v>553</v>
      </c>
      <c r="C383" s="661">
        <v>89301502</v>
      </c>
      <c r="D383" s="740" t="s">
        <v>2564</v>
      </c>
      <c r="E383" s="741" t="s">
        <v>1925</v>
      </c>
      <c r="F383" s="661" t="s">
        <v>1907</v>
      </c>
      <c r="G383" s="661" t="s">
        <v>1930</v>
      </c>
      <c r="H383" s="661" t="s">
        <v>995</v>
      </c>
      <c r="I383" s="661" t="s">
        <v>2181</v>
      </c>
      <c r="J383" s="661" t="s">
        <v>1011</v>
      </c>
      <c r="K383" s="661" t="s">
        <v>2182</v>
      </c>
      <c r="L383" s="662">
        <v>144.01</v>
      </c>
      <c r="M383" s="662">
        <v>144.01</v>
      </c>
      <c r="N383" s="661">
        <v>1</v>
      </c>
      <c r="O383" s="742">
        <v>1</v>
      </c>
      <c r="P383" s="662"/>
      <c r="Q383" s="677">
        <v>0</v>
      </c>
      <c r="R383" s="661"/>
      <c r="S383" s="677">
        <v>0</v>
      </c>
      <c r="T383" s="742"/>
      <c r="U383" s="700">
        <v>0</v>
      </c>
    </row>
    <row r="384" spans="1:21" ht="14.4" customHeight="1" x14ac:dyDescent="0.3">
      <c r="A384" s="660">
        <v>50</v>
      </c>
      <c r="B384" s="661" t="s">
        <v>553</v>
      </c>
      <c r="C384" s="661">
        <v>89301502</v>
      </c>
      <c r="D384" s="740" t="s">
        <v>2564</v>
      </c>
      <c r="E384" s="741" t="s">
        <v>1925</v>
      </c>
      <c r="F384" s="661" t="s">
        <v>1907</v>
      </c>
      <c r="G384" s="661" t="s">
        <v>2027</v>
      </c>
      <c r="H384" s="661" t="s">
        <v>554</v>
      </c>
      <c r="I384" s="661" t="s">
        <v>2501</v>
      </c>
      <c r="J384" s="661" t="s">
        <v>2301</v>
      </c>
      <c r="K384" s="661" t="s">
        <v>2502</v>
      </c>
      <c r="L384" s="662">
        <v>0</v>
      </c>
      <c r="M384" s="662">
        <v>0</v>
      </c>
      <c r="N384" s="661">
        <v>1</v>
      </c>
      <c r="O384" s="742">
        <v>1</v>
      </c>
      <c r="P384" s="662">
        <v>0</v>
      </c>
      <c r="Q384" s="677"/>
      <c r="R384" s="661">
        <v>1</v>
      </c>
      <c r="S384" s="677">
        <v>1</v>
      </c>
      <c r="T384" s="742">
        <v>1</v>
      </c>
      <c r="U384" s="700">
        <v>1</v>
      </c>
    </row>
    <row r="385" spans="1:21" ht="14.4" customHeight="1" x14ac:dyDescent="0.3">
      <c r="A385" s="660">
        <v>50</v>
      </c>
      <c r="B385" s="661" t="s">
        <v>553</v>
      </c>
      <c r="C385" s="661">
        <v>89301502</v>
      </c>
      <c r="D385" s="740" t="s">
        <v>2564</v>
      </c>
      <c r="E385" s="741" t="s">
        <v>1925</v>
      </c>
      <c r="F385" s="661" t="s">
        <v>1907</v>
      </c>
      <c r="G385" s="661" t="s">
        <v>1931</v>
      </c>
      <c r="H385" s="661" t="s">
        <v>995</v>
      </c>
      <c r="I385" s="661" t="s">
        <v>2195</v>
      </c>
      <c r="J385" s="661" t="s">
        <v>1844</v>
      </c>
      <c r="K385" s="661" t="s">
        <v>2196</v>
      </c>
      <c r="L385" s="662">
        <v>416.37</v>
      </c>
      <c r="M385" s="662">
        <v>832.74</v>
      </c>
      <c r="N385" s="661">
        <v>2</v>
      </c>
      <c r="O385" s="742">
        <v>1</v>
      </c>
      <c r="P385" s="662"/>
      <c r="Q385" s="677">
        <v>0</v>
      </c>
      <c r="R385" s="661"/>
      <c r="S385" s="677">
        <v>0</v>
      </c>
      <c r="T385" s="742"/>
      <c r="U385" s="700">
        <v>0</v>
      </c>
    </row>
    <row r="386" spans="1:21" ht="14.4" customHeight="1" x14ac:dyDescent="0.3">
      <c r="A386" s="660">
        <v>50</v>
      </c>
      <c r="B386" s="661" t="s">
        <v>553</v>
      </c>
      <c r="C386" s="661">
        <v>89301502</v>
      </c>
      <c r="D386" s="740" t="s">
        <v>2564</v>
      </c>
      <c r="E386" s="741" t="s">
        <v>1925</v>
      </c>
      <c r="F386" s="661" t="s">
        <v>1907</v>
      </c>
      <c r="G386" s="661" t="s">
        <v>2503</v>
      </c>
      <c r="H386" s="661" t="s">
        <v>554</v>
      </c>
      <c r="I386" s="661" t="s">
        <v>2504</v>
      </c>
      <c r="J386" s="661" t="s">
        <v>2505</v>
      </c>
      <c r="K386" s="661" t="s">
        <v>2506</v>
      </c>
      <c r="L386" s="662">
        <v>59.16</v>
      </c>
      <c r="M386" s="662">
        <v>59.16</v>
      </c>
      <c r="N386" s="661">
        <v>1</v>
      </c>
      <c r="O386" s="742">
        <v>0.5</v>
      </c>
      <c r="P386" s="662">
        <v>59.16</v>
      </c>
      <c r="Q386" s="677">
        <v>1</v>
      </c>
      <c r="R386" s="661">
        <v>1</v>
      </c>
      <c r="S386" s="677">
        <v>1</v>
      </c>
      <c r="T386" s="742">
        <v>0.5</v>
      </c>
      <c r="U386" s="700">
        <v>1</v>
      </c>
    </row>
    <row r="387" spans="1:21" ht="14.4" customHeight="1" x14ac:dyDescent="0.3">
      <c r="A387" s="660">
        <v>50</v>
      </c>
      <c r="B387" s="661" t="s">
        <v>553</v>
      </c>
      <c r="C387" s="661">
        <v>89301502</v>
      </c>
      <c r="D387" s="740" t="s">
        <v>2564</v>
      </c>
      <c r="E387" s="741" t="s">
        <v>1925</v>
      </c>
      <c r="F387" s="661" t="s">
        <v>1907</v>
      </c>
      <c r="G387" s="661" t="s">
        <v>1926</v>
      </c>
      <c r="H387" s="661" t="s">
        <v>554</v>
      </c>
      <c r="I387" s="661" t="s">
        <v>2317</v>
      </c>
      <c r="J387" s="661" t="s">
        <v>1049</v>
      </c>
      <c r="K387" s="661" t="s">
        <v>1095</v>
      </c>
      <c r="L387" s="662">
        <v>105.32</v>
      </c>
      <c r="M387" s="662">
        <v>105.32</v>
      </c>
      <c r="N387" s="661">
        <v>1</v>
      </c>
      <c r="O387" s="742">
        <v>0.5</v>
      </c>
      <c r="P387" s="662">
        <v>105.32</v>
      </c>
      <c r="Q387" s="677">
        <v>1</v>
      </c>
      <c r="R387" s="661">
        <v>1</v>
      </c>
      <c r="S387" s="677">
        <v>1</v>
      </c>
      <c r="T387" s="742">
        <v>0.5</v>
      </c>
      <c r="U387" s="700">
        <v>1</v>
      </c>
    </row>
    <row r="388" spans="1:21" ht="14.4" customHeight="1" x14ac:dyDescent="0.3">
      <c r="A388" s="660">
        <v>50</v>
      </c>
      <c r="B388" s="661" t="s">
        <v>553</v>
      </c>
      <c r="C388" s="661">
        <v>89301502</v>
      </c>
      <c r="D388" s="740" t="s">
        <v>2564</v>
      </c>
      <c r="E388" s="741" t="s">
        <v>1925</v>
      </c>
      <c r="F388" s="661" t="s">
        <v>1907</v>
      </c>
      <c r="G388" s="661" t="s">
        <v>1926</v>
      </c>
      <c r="H388" s="661" t="s">
        <v>554</v>
      </c>
      <c r="I388" s="661" t="s">
        <v>2038</v>
      </c>
      <c r="J388" s="661" t="s">
        <v>2039</v>
      </c>
      <c r="K388" s="661" t="s">
        <v>1050</v>
      </c>
      <c r="L388" s="662">
        <v>35.11</v>
      </c>
      <c r="M388" s="662">
        <v>105.33</v>
      </c>
      <c r="N388" s="661">
        <v>3</v>
      </c>
      <c r="O388" s="742">
        <v>0.5</v>
      </c>
      <c r="P388" s="662"/>
      <c r="Q388" s="677">
        <v>0</v>
      </c>
      <c r="R388" s="661"/>
      <c r="S388" s="677">
        <v>0</v>
      </c>
      <c r="T388" s="742"/>
      <c r="U388" s="700">
        <v>0</v>
      </c>
    </row>
    <row r="389" spans="1:21" ht="14.4" customHeight="1" x14ac:dyDescent="0.3">
      <c r="A389" s="660">
        <v>50</v>
      </c>
      <c r="B389" s="661" t="s">
        <v>553</v>
      </c>
      <c r="C389" s="661">
        <v>89301502</v>
      </c>
      <c r="D389" s="740" t="s">
        <v>2564</v>
      </c>
      <c r="E389" s="741" t="s">
        <v>1925</v>
      </c>
      <c r="F389" s="661" t="s">
        <v>1907</v>
      </c>
      <c r="G389" s="661" t="s">
        <v>2507</v>
      </c>
      <c r="H389" s="661" t="s">
        <v>554</v>
      </c>
      <c r="I389" s="661" t="s">
        <v>740</v>
      </c>
      <c r="J389" s="661" t="s">
        <v>2508</v>
      </c>
      <c r="K389" s="661" t="s">
        <v>2346</v>
      </c>
      <c r="L389" s="662">
        <v>0</v>
      </c>
      <c r="M389" s="662">
        <v>0</v>
      </c>
      <c r="N389" s="661">
        <v>2</v>
      </c>
      <c r="O389" s="742">
        <v>0.5</v>
      </c>
      <c r="P389" s="662"/>
      <c r="Q389" s="677"/>
      <c r="R389" s="661"/>
      <c r="S389" s="677">
        <v>0</v>
      </c>
      <c r="T389" s="742"/>
      <c r="U389" s="700">
        <v>0</v>
      </c>
    </row>
    <row r="390" spans="1:21" ht="14.4" customHeight="1" x14ac:dyDescent="0.3">
      <c r="A390" s="660">
        <v>50</v>
      </c>
      <c r="B390" s="661" t="s">
        <v>553</v>
      </c>
      <c r="C390" s="661">
        <v>89301502</v>
      </c>
      <c r="D390" s="740" t="s">
        <v>2564</v>
      </c>
      <c r="E390" s="741" t="s">
        <v>1925</v>
      </c>
      <c r="F390" s="661" t="s">
        <v>1907</v>
      </c>
      <c r="G390" s="661" t="s">
        <v>2328</v>
      </c>
      <c r="H390" s="661" t="s">
        <v>554</v>
      </c>
      <c r="I390" s="661" t="s">
        <v>2509</v>
      </c>
      <c r="J390" s="661" t="s">
        <v>2510</v>
      </c>
      <c r="K390" s="661" t="s">
        <v>2511</v>
      </c>
      <c r="L390" s="662">
        <v>0</v>
      </c>
      <c r="M390" s="662">
        <v>0</v>
      </c>
      <c r="N390" s="661">
        <v>1</v>
      </c>
      <c r="O390" s="742">
        <v>1</v>
      </c>
      <c r="P390" s="662">
        <v>0</v>
      </c>
      <c r="Q390" s="677"/>
      <c r="R390" s="661">
        <v>1</v>
      </c>
      <c r="S390" s="677">
        <v>1</v>
      </c>
      <c r="T390" s="742">
        <v>1</v>
      </c>
      <c r="U390" s="700">
        <v>1</v>
      </c>
    </row>
    <row r="391" spans="1:21" ht="14.4" customHeight="1" x14ac:dyDescent="0.3">
      <c r="A391" s="660">
        <v>50</v>
      </c>
      <c r="B391" s="661" t="s">
        <v>553</v>
      </c>
      <c r="C391" s="661">
        <v>89301502</v>
      </c>
      <c r="D391" s="740" t="s">
        <v>2564</v>
      </c>
      <c r="E391" s="741" t="s">
        <v>1925</v>
      </c>
      <c r="F391" s="661" t="s">
        <v>1907</v>
      </c>
      <c r="G391" s="661" t="s">
        <v>2201</v>
      </c>
      <c r="H391" s="661" t="s">
        <v>554</v>
      </c>
      <c r="I391" s="661" t="s">
        <v>2512</v>
      </c>
      <c r="J391" s="661" t="s">
        <v>2513</v>
      </c>
      <c r="K391" s="661" t="s">
        <v>2514</v>
      </c>
      <c r="L391" s="662">
        <v>56.83</v>
      </c>
      <c r="M391" s="662">
        <v>56.83</v>
      </c>
      <c r="N391" s="661">
        <v>1</v>
      </c>
      <c r="O391" s="742">
        <v>0.5</v>
      </c>
      <c r="P391" s="662">
        <v>56.83</v>
      </c>
      <c r="Q391" s="677">
        <v>1</v>
      </c>
      <c r="R391" s="661">
        <v>1</v>
      </c>
      <c r="S391" s="677">
        <v>1</v>
      </c>
      <c r="T391" s="742">
        <v>0.5</v>
      </c>
      <c r="U391" s="700">
        <v>1</v>
      </c>
    </row>
    <row r="392" spans="1:21" ht="14.4" customHeight="1" x14ac:dyDescent="0.3">
      <c r="A392" s="660">
        <v>50</v>
      </c>
      <c r="B392" s="661" t="s">
        <v>553</v>
      </c>
      <c r="C392" s="661">
        <v>89301502</v>
      </c>
      <c r="D392" s="740" t="s">
        <v>2564</v>
      </c>
      <c r="E392" s="741" t="s">
        <v>1925</v>
      </c>
      <c r="F392" s="661" t="s">
        <v>1907</v>
      </c>
      <c r="G392" s="661" t="s">
        <v>2515</v>
      </c>
      <c r="H392" s="661" t="s">
        <v>554</v>
      </c>
      <c r="I392" s="661" t="s">
        <v>1444</v>
      </c>
      <c r="J392" s="661" t="s">
        <v>1445</v>
      </c>
      <c r="K392" s="661" t="s">
        <v>1446</v>
      </c>
      <c r="L392" s="662">
        <v>64.56</v>
      </c>
      <c r="M392" s="662">
        <v>64.56</v>
      </c>
      <c r="N392" s="661">
        <v>1</v>
      </c>
      <c r="O392" s="742">
        <v>0.5</v>
      </c>
      <c r="P392" s="662">
        <v>64.56</v>
      </c>
      <c r="Q392" s="677">
        <v>1</v>
      </c>
      <c r="R392" s="661">
        <v>1</v>
      </c>
      <c r="S392" s="677">
        <v>1</v>
      </c>
      <c r="T392" s="742">
        <v>0.5</v>
      </c>
      <c r="U392" s="700">
        <v>1</v>
      </c>
    </row>
    <row r="393" spans="1:21" ht="14.4" customHeight="1" x14ac:dyDescent="0.3">
      <c r="A393" s="660">
        <v>50</v>
      </c>
      <c r="B393" s="661" t="s">
        <v>553</v>
      </c>
      <c r="C393" s="661">
        <v>89301502</v>
      </c>
      <c r="D393" s="740" t="s">
        <v>2564</v>
      </c>
      <c r="E393" s="741" t="s">
        <v>1925</v>
      </c>
      <c r="F393" s="661" t="s">
        <v>1907</v>
      </c>
      <c r="G393" s="661" t="s">
        <v>2516</v>
      </c>
      <c r="H393" s="661" t="s">
        <v>554</v>
      </c>
      <c r="I393" s="661" t="s">
        <v>2517</v>
      </c>
      <c r="J393" s="661" t="s">
        <v>2518</v>
      </c>
      <c r="K393" s="661" t="s">
        <v>2519</v>
      </c>
      <c r="L393" s="662">
        <v>0</v>
      </c>
      <c r="M393" s="662">
        <v>0</v>
      </c>
      <c r="N393" s="661">
        <v>1</v>
      </c>
      <c r="O393" s="742">
        <v>1</v>
      </c>
      <c r="P393" s="662"/>
      <c r="Q393" s="677"/>
      <c r="R393" s="661"/>
      <c r="S393" s="677">
        <v>0</v>
      </c>
      <c r="T393" s="742"/>
      <c r="U393" s="700">
        <v>0</v>
      </c>
    </row>
    <row r="394" spans="1:21" ht="14.4" customHeight="1" x14ac:dyDescent="0.3">
      <c r="A394" s="660">
        <v>50</v>
      </c>
      <c r="B394" s="661" t="s">
        <v>553</v>
      </c>
      <c r="C394" s="661">
        <v>89301502</v>
      </c>
      <c r="D394" s="740" t="s">
        <v>2564</v>
      </c>
      <c r="E394" s="741" t="s">
        <v>1925</v>
      </c>
      <c r="F394" s="661" t="s">
        <v>1907</v>
      </c>
      <c r="G394" s="661" t="s">
        <v>2520</v>
      </c>
      <c r="H394" s="661" t="s">
        <v>554</v>
      </c>
      <c r="I394" s="661" t="s">
        <v>2521</v>
      </c>
      <c r="J394" s="661" t="s">
        <v>2522</v>
      </c>
      <c r="K394" s="661" t="s">
        <v>2079</v>
      </c>
      <c r="L394" s="662">
        <v>0</v>
      </c>
      <c r="M394" s="662">
        <v>0</v>
      </c>
      <c r="N394" s="661">
        <v>3</v>
      </c>
      <c r="O394" s="742">
        <v>1</v>
      </c>
      <c r="P394" s="662"/>
      <c r="Q394" s="677"/>
      <c r="R394" s="661"/>
      <c r="S394" s="677">
        <v>0</v>
      </c>
      <c r="T394" s="742"/>
      <c r="U394" s="700">
        <v>0</v>
      </c>
    </row>
    <row r="395" spans="1:21" ht="14.4" customHeight="1" x14ac:dyDescent="0.3">
      <c r="A395" s="660">
        <v>50</v>
      </c>
      <c r="B395" s="661" t="s">
        <v>553</v>
      </c>
      <c r="C395" s="661">
        <v>89301502</v>
      </c>
      <c r="D395" s="740" t="s">
        <v>2564</v>
      </c>
      <c r="E395" s="741" t="s">
        <v>1925</v>
      </c>
      <c r="F395" s="661" t="s">
        <v>1907</v>
      </c>
      <c r="G395" s="661" t="s">
        <v>2523</v>
      </c>
      <c r="H395" s="661" t="s">
        <v>554</v>
      </c>
      <c r="I395" s="661" t="s">
        <v>2524</v>
      </c>
      <c r="J395" s="661" t="s">
        <v>2525</v>
      </c>
      <c r="K395" s="661" t="s">
        <v>2526</v>
      </c>
      <c r="L395" s="662">
        <v>108.79</v>
      </c>
      <c r="M395" s="662">
        <v>108.79</v>
      </c>
      <c r="N395" s="661">
        <v>1</v>
      </c>
      <c r="O395" s="742">
        <v>1</v>
      </c>
      <c r="P395" s="662">
        <v>108.79</v>
      </c>
      <c r="Q395" s="677">
        <v>1</v>
      </c>
      <c r="R395" s="661">
        <v>1</v>
      </c>
      <c r="S395" s="677">
        <v>1</v>
      </c>
      <c r="T395" s="742">
        <v>1</v>
      </c>
      <c r="U395" s="700">
        <v>1</v>
      </c>
    </row>
    <row r="396" spans="1:21" ht="14.4" customHeight="1" x14ac:dyDescent="0.3">
      <c r="A396" s="660">
        <v>50</v>
      </c>
      <c r="B396" s="661" t="s">
        <v>553</v>
      </c>
      <c r="C396" s="661">
        <v>89301502</v>
      </c>
      <c r="D396" s="740" t="s">
        <v>2564</v>
      </c>
      <c r="E396" s="741" t="s">
        <v>1925</v>
      </c>
      <c r="F396" s="661" t="s">
        <v>1907</v>
      </c>
      <c r="G396" s="661" t="s">
        <v>2527</v>
      </c>
      <c r="H396" s="661" t="s">
        <v>995</v>
      </c>
      <c r="I396" s="661" t="s">
        <v>2528</v>
      </c>
      <c r="J396" s="661" t="s">
        <v>2529</v>
      </c>
      <c r="K396" s="661" t="s">
        <v>2530</v>
      </c>
      <c r="L396" s="662">
        <v>556.04</v>
      </c>
      <c r="M396" s="662">
        <v>556.04</v>
      </c>
      <c r="N396" s="661">
        <v>1</v>
      </c>
      <c r="O396" s="742">
        <v>0.5</v>
      </c>
      <c r="P396" s="662"/>
      <c r="Q396" s="677">
        <v>0</v>
      </c>
      <c r="R396" s="661"/>
      <c r="S396" s="677">
        <v>0</v>
      </c>
      <c r="T396" s="742"/>
      <c r="U396" s="700">
        <v>0</v>
      </c>
    </row>
    <row r="397" spans="1:21" ht="14.4" customHeight="1" x14ac:dyDescent="0.3">
      <c r="A397" s="660">
        <v>50</v>
      </c>
      <c r="B397" s="661" t="s">
        <v>553</v>
      </c>
      <c r="C397" s="661">
        <v>89301502</v>
      </c>
      <c r="D397" s="740" t="s">
        <v>2564</v>
      </c>
      <c r="E397" s="741" t="s">
        <v>1925</v>
      </c>
      <c r="F397" s="661" t="s">
        <v>1907</v>
      </c>
      <c r="G397" s="661" t="s">
        <v>1937</v>
      </c>
      <c r="H397" s="661" t="s">
        <v>554</v>
      </c>
      <c r="I397" s="661" t="s">
        <v>768</v>
      </c>
      <c r="J397" s="661" t="s">
        <v>1939</v>
      </c>
      <c r="K397" s="661" t="s">
        <v>1941</v>
      </c>
      <c r="L397" s="662">
        <v>63.7</v>
      </c>
      <c r="M397" s="662">
        <v>63.7</v>
      </c>
      <c r="N397" s="661">
        <v>1</v>
      </c>
      <c r="O397" s="742">
        <v>1</v>
      </c>
      <c r="P397" s="662">
        <v>63.7</v>
      </c>
      <c r="Q397" s="677">
        <v>1</v>
      </c>
      <c r="R397" s="661">
        <v>1</v>
      </c>
      <c r="S397" s="677">
        <v>1</v>
      </c>
      <c r="T397" s="742">
        <v>1</v>
      </c>
      <c r="U397" s="700">
        <v>1</v>
      </c>
    </row>
    <row r="398" spans="1:21" ht="14.4" customHeight="1" x14ac:dyDescent="0.3">
      <c r="A398" s="660">
        <v>50</v>
      </c>
      <c r="B398" s="661" t="s">
        <v>553</v>
      </c>
      <c r="C398" s="661">
        <v>89301502</v>
      </c>
      <c r="D398" s="740" t="s">
        <v>2564</v>
      </c>
      <c r="E398" s="741" t="s">
        <v>1925</v>
      </c>
      <c r="F398" s="661" t="s">
        <v>1907</v>
      </c>
      <c r="G398" s="661" t="s">
        <v>2042</v>
      </c>
      <c r="H398" s="661" t="s">
        <v>554</v>
      </c>
      <c r="I398" s="661" t="s">
        <v>2531</v>
      </c>
      <c r="J398" s="661" t="s">
        <v>2532</v>
      </c>
      <c r="K398" s="661" t="s">
        <v>2533</v>
      </c>
      <c r="L398" s="662">
        <v>0</v>
      </c>
      <c r="M398" s="662">
        <v>0</v>
      </c>
      <c r="N398" s="661">
        <v>1</v>
      </c>
      <c r="O398" s="742">
        <v>0.5</v>
      </c>
      <c r="P398" s="662"/>
      <c r="Q398" s="677"/>
      <c r="R398" s="661"/>
      <c r="S398" s="677">
        <v>0</v>
      </c>
      <c r="T398" s="742"/>
      <c r="U398" s="700">
        <v>0</v>
      </c>
    </row>
    <row r="399" spans="1:21" ht="14.4" customHeight="1" x14ac:dyDescent="0.3">
      <c r="A399" s="660">
        <v>50</v>
      </c>
      <c r="B399" s="661" t="s">
        <v>553</v>
      </c>
      <c r="C399" s="661">
        <v>89301502</v>
      </c>
      <c r="D399" s="740" t="s">
        <v>2564</v>
      </c>
      <c r="E399" s="741" t="s">
        <v>1925</v>
      </c>
      <c r="F399" s="661" t="s">
        <v>1907</v>
      </c>
      <c r="G399" s="661" t="s">
        <v>2534</v>
      </c>
      <c r="H399" s="661" t="s">
        <v>554</v>
      </c>
      <c r="I399" s="661" t="s">
        <v>2535</v>
      </c>
      <c r="J399" s="661" t="s">
        <v>2536</v>
      </c>
      <c r="K399" s="661" t="s">
        <v>2537</v>
      </c>
      <c r="L399" s="662">
        <v>90</v>
      </c>
      <c r="M399" s="662">
        <v>90</v>
      </c>
      <c r="N399" s="661">
        <v>1</v>
      </c>
      <c r="O399" s="742">
        <v>0.5</v>
      </c>
      <c r="P399" s="662"/>
      <c r="Q399" s="677">
        <v>0</v>
      </c>
      <c r="R399" s="661"/>
      <c r="S399" s="677">
        <v>0</v>
      </c>
      <c r="T399" s="742"/>
      <c r="U399" s="700">
        <v>0</v>
      </c>
    </row>
    <row r="400" spans="1:21" ht="14.4" customHeight="1" x14ac:dyDescent="0.3">
      <c r="A400" s="660">
        <v>50</v>
      </c>
      <c r="B400" s="661" t="s">
        <v>553</v>
      </c>
      <c r="C400" s="661">
        <v>89301502</v>
      </c>
      <c r="D400" s="740" t="s">
        <v>2564</v>
      </c>
      <c r="E400" s="741" t="s">
        <v>1925</v>
      </c>
      <c r="F400" s="661" t="s">
        <v>1907</v>
      </c>
      <c r="G400" s="661" t="s">
        <v>1942</v>
      </c>
      <c r="H400" s="661" t="s">
        <v>554</v>
      </c>
      <c r="I400" s="661" t="s">
        <v>2538</v>
      </c>
      <c r="J400" s="661" t="s">
        <v>2539</v>
      </c>
      <c r="K400" s="661" t="s">
        <v>1303</v>
      </c>
      <c r="L400" s="662">
        <v>32.270000000000003</v>
      </c>
      <c r="M400" s="662">
        <v>32.270000000000003</v>
      </c>
      <c r="N400" s="661">
        <v>1</v>
      </c>
      <c r="O400" s="742">
        <v>0.5</v>
      </c>
      <c r="P400" s="662">
        <v>32.270000000000003</v>
      </c>
      <c r="Q400" s="677">
        <v>1</v>
      </c>
      <c r="R400" s="661">
        <v>1</v>
      </c>
      <c r="S400" s="677">
        <v>1</v>
      </c>
      <c r="T400" s="742">
        <v>0.5</v>
      </c>
      <c r="U400" s="700">
        <v>1</v>
      </c>
    </row>
    <row r="401" spans="1:21" ht="14.4" customHeight="1" x14ac:dyDescent="0.3">
      <c r="A401" s="660">
        <v>50</v>
      </c>
      <c r="B401" s="661" t="s">
        <v>553</v>
      </c>
      <c r="C401" s="661">
        <v>89301502</v>
      </c>
      <c r="D401" s="740" t="s">
        <v>2564</v>
      </c>
      <c r="E401" s="741" t="s">
        <v>1925</v>
      </c>
      <c r="F401" s="661" t="s">
        <v>1907</v>
      </c>
      <c r="G401" s="661" t="s">
        <v>2540</v>
      </c>
      <c r="H401" s="661" t="s">
        <v>554</v>
      </c>
      <c r="I401" s="661" t="s">
        <v>2541</v>
      </c>
      <c r="J401" s="661" t="s">
        <v>2542</v>
      </c>
      <c r="K401" s="661" t="s">
        <v>2543</v>
      </c>
      <c r="L401" s="662">
        <v>0</v>
      </c>
      <c r="M401" s="662">
        <v>0</v>
      </c>
      <c r="N401" s="661">
        <v>1</v>
      </c>
      <c r="O401" s="742">
        <v>1</v>
      </c>
      <c r="P401" s="662"/>
      <c r="Q401" s="677"/>
      <c r="R401" s="661"/>
      <c r="S401" s="677">
        <v>0</v>
      </c>
      <c r="T401" s="742"/>
      <c r="U401" s="700">
        <v>0</v>
      </c>
    </row>
    <row r="402" spans="1:21" ht="14.4" customHeight="1" x14ac:dyDescent="0.3">
      <c r="A402" s="660">
        <v>50</v>
      </c>
      <c r="B402" s="661" t="s">
        <v>553</v>
      </c>
      <c r="C402" s="661">
        <v>89301502</v>
      </c>
      <c r="D402" s="740" t="s">
        <v>2564</v>
      </c>
      <c r="E402" s="741" t="s">
        <v>1925</v>
      </c>
      <c r="F402" s="661" t="s">
        <v>1907</v>
      </c>
      <c r="G402" s="661" t="s">
        <v>1927</v>
      </c>
      <c r="H402" s="661" t="s">
        <v>995</v>
      </c>
      <c r="I402" s="661" t="s">
        <v>1164</v>
      </c>
      <c r="J402" s="661" t="s">
        <v>1165</v>
      </c>
      <c r="K402" s="661" t="s">
        <v>1166</v>
      </c>
      <c r="L402" s="662">
        <v>93.43</v>
      </c>
      <c r="M402" s="662">
        <v>280.29000000000002</v>
      </c>
      <c r="N402" s="661">
        <v>3</v>
      </c>
      <c r="O402" s="742">
        <v>1</v>
      </c>
      <c r="P402" s="662"/>
      <c r="Q402" s="677">
        <v>0</v>
      </c>
      <c r="R402" s="661"/>
      <c r="S402" s="677">
        <v>0</v>
      </c>
      <c r="T402" s="742"/>
      <c r="U402" s="700">
        <v>0</v>
      </c>
    </row>
    <row r="403" spans="1:21" ht="14.4" customHeight="1" x14ac:dyDescent="0.3">
      <c r="A403" s="660">
        <v>50</v>
      </c>
      <c r="B403" s="661" t="s">
        <v>553</v>
      </c>
      <c r="C403" s="661">
        <v>89301502</v>
      </c>
      <c r="D403" s="740" t="s">
        <v>2564</v>
      </c>
      <c r="E403" s="741" t="s">
        <v>1925</v>
      </c>
      <c r="F403" s="661" t="s">
        <v>1907</v>
      </c>
      <c r="G403" s="661" t="s">
        <v>1953</v>
      </c>
      <c r="H403" s="661" t="s">
        <v>554</v>
      </c>
      <c r="I403" s="661" t="s">
        <v>1954</v>
      </c>
      <c r="J403" s="661" t="s">
        <v>1955</v>
      </c>
      <c r="K403" s="661" t="s">
        <v>1956</v>
      </c>
      <c r="L403" s="662">
        <v>0</v>
      </c>
      <c r="M403" s="662">
        <v>0</v>
      </c>
      <c r="N403" s="661">
        <v>3</v>
      </c>
      <c r="O403" s="742">
        <v>1</v>
      </c>
      <c r="P403" s="662"/>
      <c r="Q403" s="677"/>
      <c r="R403" s="661"/>
      <c r="S403" s="677">
        <v>0</v>
      </c>
      <c r="T403" s="742"/>
      <c r="U403" s="700">
        <v>0</v>
      </c>
    </row>
    <row r="404" spans="1:21" ht="14.4" customHeight="1" x14ac:dyDescent="0.3">
      <c r="A404" s="660">
        <v>50</v>
      </c>
      <c r="B404" s="661" t="s">
        <v>553</v>
      </c>
      <c r="C404" s="661">
        <v>89301502</v>
      </c>
      <c r="D404" s="740" t="s">
        <v>2564</v>
      </c>
      <c r="E404" s="741" t="s">
        <v>1925</v>
      </c>
      <c r="F404" s="661" t="s">
        <v>1907</v>
      </c>
      <c r="G404" s="661" t="s">
        <v>1953</v>
      </c>
      <c r="H404" s="661" t="s">
        <v>554</v>
      </c>
      <c r="I404" s="661" t="s">
        <v>2000</v>
      </c>
      <c r="J404" s="661" t="s">
        <v>827</v>
      </c>
      <c r="K404" s="661" t="s">
        <v>2001</v>
      </c>
      <c r="L404" s="662">
        <v>52.75</v>
      </c>
      <c r="M404" s="662">
        <v>52.75</v>
      </c>
      <c r="N404" s="661">
        <v>1</v>
      </c>
      <c r="O404" s="742">
        <v>0.5</v>
      </c>
      <c r="P404" s="662"/>
      <c r="Q404" s="677">
        <v>0</v>
      </c>
      <c r="R404" s="661"/>
      <c r="S404" s="677">
        <v>0</v>
      </c>
      <c r="T404" s="742"/>
      <c r="U404" s="700">
        <v>0</v>
      </c>
    </row>
    <row r="405" spans="1:21" ht="14.4" customHeight="1" x14ac:dyDescent="0.3">
      <c r="A405" s="660">
        <v>50</v>
      </c>
      <c r="B405" s="661" t="s">
        <v>553</v>
      </c>
      <c r="C405" s="661">
        <v>89301502</v>
      </c>
      <c r="D405" s="740" t="s">
        <v>2564</v>
      </c>
      <c r="E405" s="741" t="s">
        <v>1925</v>
      </c>
      <c r="F405" s="661" t="s">
        <v>1907</v>
      </c>
      <c r="G405" s="661" t="s">
        <v>2544</v>
      </c>
      <c r="H405" s="661" t="s">
        <v>554</v>
      </c>
      <c r="I405" s="661" t="s">
        <v>2545</v>
      </c>
      <c r="J405" s="661" t="s">
        <v>2546</v>
      </c>
      <c r="K405" s="661" t="s">
        <v>2547</v>
      </c>
      <c r="L405" s="662">
        <v>1216.71</v>
      </c>
      <c r="M405" s="662">
        <v>1216.71</v>
      </c>
      <c r="N405" s="661">
        <v>1</v>
      </c>
      <c r="O405" s="742">
        <v>0.5</v>
      </c>
      <c r="P405" s="662"/>
      <c r="Q405" s="677">
        <v>0</v>
      </c>
      <c r="R405" s="661"/>
      <c r="S405" s="677">
        <v>0</v>
      </c>
      <c r="T405" s="742"/>
      <c r="U405" s="700">
        <v>0</v>
      </c>
    </row>
    <row r="406" spans="1:21" ht="14.4" customHeight="1" x14ac:dyDescent="0.3">
      <c r="A406" s="660">
        <v>50</v>
      </c>
      <c r="B406" s="661" t="s">
        <v>553</v>
      </c>
      <c r="C406" s="661">
        <v>89301502</v>
      </c>
      <c r="D406" s="740" t="s">
        <v>2564</v>
      </c>
      <c r="E406" s="741" t="s">
        <v>1925</v>
      </c>
      <c r="F406" s="661" t="s">
        <v>1907</v>
      </c>
      <c r="G406" s="661" t="s">
        <v>1957</v>
      </c>
      <c r="H406" s="661" t="s">
        <v>554</v>
      </c>
      <c r="I406" s="661" t="s">
        <v>2219</v>
      </c>
      <c r="J406" s="661" t="s">
        <v>2066</v>
      </c>
      <c r="K406" s="661" t="s">
        <v>2220</v>
      </c>
      <c r="L406" s="662">
        <v>38.04</v>
      </c>
      <c r="M406" s="662">
        <v>38.04</v>
      </c>
      <c r="N406" s="661">
        <v>1</v>
      </c>
      <c r="O406" s="742">
        <v>0.5</v>
      </c>
      <c r="P406" s="662"/>
      <c r="Q406" s="677">
        <v>0</v>
      </c>
      <c r="R406" s="661"/>
      <c r="S406" s="677">
        <v>0</v>
      </c>
      <c r="T406" s="742"/>
      <c r="U406" s="700">
        <v>0</v>
      </c>
    </row>
    <row r="407" spans="1:21" ht="14.4" customHeight="1" x14ac:dyDescent="0.3">
      <c r="A407" s="660">
        <v>50</v>
      </c>
      <c r="B407" s="661" t="s">
        <v>553</v>
      </c>
      <c r="C407" s="661">
        <v>89301502</v>
      </c>
      <c r="D407" s="740" t="s">
        <v>2564</v>
      </c>
      <c r="E407" s="741" t="s">
        <v>1925</v>
      </c>
      <c r="F407" s="661" t="s">
        <v>1907</v>
      </c>
      <c r="G407" s="661" t="s">
        <v>1957</v>
      </c>
      <c r="H407" s="661" t="s">
        <v>554</v>
      </c>
      <c r="I407" s="661" t="s">
        <v>2385</v>
      </c>
      <c r="J407" s="661" t="s">
        <v>1959</v>
      </c>
      <c r="K407" s="661" t="s">
        <v>2386</v>
      </c>
      <c r="L407" s="662">
        <v>234.07</v>
      </c>
      <c r="M407" s="662">
        <v>234.07</v>
      </c>
      <c r="N407" s="661">
        <v>1</v>
      </c>
      <c r="O407" s="742">
        <v>0.5</v>
      </c>
      <c r="P407" s="662"/>
      <c r="Q407" s="677">
        <v>0</v>
      </c>
      <c r="R407" s="661"/>
      <c r="S407" s="677">
        <v>0</v>
      </c>
      <c r="T407" s="742"/>
      <c r="U407" s="700">
        <v>0</v>
      </c>
    </row>
    <row r="408" spans="1:21" ht="14.4" customHeight="1" x14ac:dyDescent="0.3">
      <c r="A408" s="660">
        <v>50</v>
      </c>
      <c r="B408" s="661" t="s">
        <v>553</v>
      </c>
      <c r="C408" s="661">
        <v>89301502</v>
      </c>
      <c r="D408" s="740" t="s">
        <v>2564</v>
      </c>
      <c r="E408" s="741" t="s">
        <v>1925</v>
      </c>
      <c r="F408" s="661" t="s">
        <v>1907</v>
      </c>
      <c r="G408" s="661" t="s">
        <v>2393</v>
      </c>
      <c r="H408" s="661" t="s">
        <v>554</v>
      </c>
      <c r="I408" s="661" t="s">
        <v>2394</v>
      </c>
      <c r="J408" s="661" t="s">
        <v>2395</v>
      </c>
      <c r="K408" s="661" t="s">
        <v>2396</v>
      </c>
      <c r="L408" s="662">
        <v>48.42</v>
      </c>
      <c r="M408" s="662">
        <v>96.84</v>
      </c>
      <c r="N408" s="661">
        <v>2</v>
      </c>
      <c r="O408" s="742">
        <v>0.5</v>
      </c>
      <c r="P408" s="662"/>
      <c r="Q408" s="677">
        <v>0</v>
      </c>
      <c r="R408" s="661"/>
      <c r="S408" s="677">
        <v>0</v>
      </c>
      <c r="T408" s="742"/>
      <c r="U408" s="700">
        <v>0</v>
      </c>
    </row>
    <row r="409" spans="1:21" ht="14.4" customHeight="1" x14ac:dyDescent="0.3">
      <c r="A409" s="660">
        <v>50</v>
      </c>
      <c r="B409" s="661" t="s">
        <v>553</v>
      </c>
      <c r="C409" s="661">
        <v>89301502</v>
      </c>
      <c r="D409" s="740" t="s">
        <v>2564</v>
      </c>
      <c r="E409" s="741" t="s">
        <v>1925</v>
      </c>
      <c r="F409" s="661" t="s">
        <v>1907</v>
      </c>
      <c r="G409" s="661" t="s">
        <v>1961</v>
      </c>
      <c r="H409" s="661" t="s">
        <v>995</v>
      </c>
      <c r="I409" s="661" t="s">
        <v>2068</v>
      </c>
      <c r="J409" s="661" t="s">
        <v>1140</v>
      </c>
      <c r="K409" s="661" t="s">
        <v>2069</v>
      </c>
      <c r="L409" s="662">
        <v>176.58</v>
      </c>
      <c r="M409" s="662">
        <v>176.58</v>
      </c>
      <c r="N409" s="661">
        <v>1</v>
      </c>
      <c r="O409" s="742">
        <v>0.5</v>
      </c>
      <c r="P409" s="662"/>
      <c r="Q409" s="677">
        <v>0</v>
      </c>
      <c r="R409" s="661"/>
      <c r="S409" s="677">
        <v>0</v>
      </c>
      <c r="T409" s="742"/>
      <c r="U409" s="700">
        <v>0</v>
      </c>
    </row>
    <row r="410" spans="1:21" ht="14.4" customHeight="1" x14ac:dyDescent="0.3">
      <c r="A410" s="660">
        <v>50</v>
      </c>
      <c r="B410" s="661" t="s">
        <v>553</v>
      </c>
      <c r="C410" s="661">
        <v>89301502</v>
      </c>
      <c r="D410" s="740" t="s">
        <v>2564</v>
      </c>
      <c r="E410" s="741" t="s">
        <v>1925</v>
      </c>
      <c r="F410" s="661" t="s">
        <v>1907</v>
      </c>
      <c r="G410" s="661" t="s">
        <v>2009</v>
      </c>
      <c r="H410" s="661" t="s">
        <v>995</v>
      </c>
      <c r="I410" s="661" t="s">
        <v>2548</v>
      </c>
      <c r="J410" s="661" t="s">
        <v>2011</v>
      </c>
      <c r="K410" s="661" t="s">
        <v>2549</v>
      </c>
      <c r="L410" s="662">
        <v>614.29999999999995</v>
      </c>
      <c r="M410" s="662">
        <v>614.29999999999995</v>
      </c>
      <c r="N410" s="661">
        <v>1</v>
      </c>
      <c r="O410" s="742">
        <v>0.5</v>
      </c>
      <c r="P410" s="662"/>
      <c r="Q410" s="677">
        <v>0</v>
      </c>
      <c r="R410" s="661"/>
      <c r="S410" s="677">
        <v>0</v>
      </c>
      <c r="T410" s="742"/>
      <c r="U410" s="700">
        <v>0</v>
      </c>
    </row>
    <row r="411" spans="1:21" ht="14.4" customHeight="1" x14ac:dyDescent="0.3">
      <c r="A411" s="660">
        <v>50</v>
      </c>
      <c r="B411" s="661" t="s">
        <v>553</v>
      </c>
      <c r="C411" s="661">
        <v>89301502</v>
      </c>
      <c r="D411" s="740" t="s">
        <v>2564</v>
      </c>
      <c r="E411" s="741" t="s">
        <v>1925</v>
      </c>
      <c r="F411" s="661" t="s">
        <v>1907</v>
      </c>
      <c r="G411" s="661" t="s">
        <v>1966</v>
      </c>
      <c r="H411" s="661" t="s">
        <v>995</v>
      </c>
      <c r="I411" s="661" t="s">
        <v>1135</v>
      </c>
      <c r="J411" s="661" t="s">
        <v>1841</v>
      </c>
      <c r="K411" s="661" t="s">
        <v>1137</v>
      </c>
      <c r="L411" s="662">
        <v>291.82</v>
      </c>
      <c r="M411" s="662">
        <v>291.82</v>
      </c>
      <c r="N411" s="661">
        <v>1</v>
      </c>
      <c r="O411" s="742">
        <v>0.5</v>
      </c>
      <c r="P411" s="662"/>
      <c r="Q411" s="677">
        <v>0</v>
      </c>
      <c r="R411" s="661"/>
      <c r="S411" s="677">
        <v>0</v>
      </c>
      <c r="T411" s="742"/>
      <c r="U411" s="700">
        <v>0</v>
      </c>
    </row>
    <row r="412" spans="1:21" ht="14.4" customHeight="1" x14ac:dyDescent="0.3">
      <c r="A412" s="660">
        <v>50</v>
      </c>
      <c r="B412" s="661" t="s">
        <v>553</v>
      </c>
      <c r="C412" s="661">
        <v>89301502</v>
      </c>
      <c r="D412" s="740" t="s">
        <v>2564</v>
      </c>
      <c r="E412" s="741" t="s">
        <v>1925</v>
      </c>
      <c r="F412" s="661" t="s">
        <v>1907</v>
      </c>
      <c r="G412" s="661" t="s">
        <v>1966</v>
      </c>
      <c r="H412" s="661" t="s">
        <v>995</v>
      </c>
      <c r="I412" s="661" t="s">
        <v>2416</v>
      </c>
      <c r="J412" s="661" t="s">
        <v>1968</v>
      </c>
      <c r="K412" s="661" t="s">
        <v>1137</v>
      </c>
      <c r="L412" s="662">
        <v>583.62</v>
      </c>
      <c r="M412" s="662">
        <v>583.62</v>
      </c>
      <c r="N412" s="661">
        <v>1</v>
      </c>
      <c r="O412" s="742">
        <v>0.5</v>
      </c>
      <c r="P412" s="662"/>
      <c r="Q412" s="677">
        <v>0</v>
      </c>
      <c r="R412" s="661"/>
      <c r="S412" s="677">
        <v>0</v>
      </c>
      <c r="T412" s="742"/>
      <c r="U412" s="700">
        <v>0</v>
      </c>
    </row>
    <row r="413" spans="1:21" ht="14.4" customHeight="1" x14ac:dyDescent="0.3">
      <c r="A413" s="660">
        <v>50</v>
      </c>
      <c r="B413" s="661" t="s">
        <v>553</v>
      </c>
      <c r="C413" s="661">
        <v>89301502</v>
      </c>
      <c r="D413" s="740" t="s">
        <v>2564</v>
      </c>
      <c r="E413" s="741" t="s">
        <v>1925</v>
      </c>
      <c r="F413" s="661" t="s">
        <v>1907</v>
      </c>
      <c r="G413" s="661" t="s">
        <v>1969</v>
      </c>
      <c r="H413" s="661" t="s">
        <v>995</v>
      </c>
      <c r="I413" s="661" t="s">
        <v>999</v>
      </c>
      <c r="J413" s="661" t="s">
        <v>1000</v>
      </c>
      <c r="K413" s="661" t="s">
        <v>1001</v>
      </c>
      <c r="L413" s="662">
        <v>10.41</v>
      </c>
      <c r="M413" s="662">
        <v>52.05</v>
      </c>
      <c r="N413" s="661">
        <v>5</v>
      </c>
      <c r="O413" s="742">
        <v>0.5</v>
      </c>
      <c r="P413" s="662"/>
      <c r="Q413" s="677">
        <v>0</v>
      </c>
      <c r="R413" s="661"/>
      <c r="S413" s="677">
        <v>0</v>
      </c>
      <c r="T413" s="742"/>
      <c r="U413" s="700">
        <v>0</v>
      </c>
    </row>
    <row r="414" spans="1:21" ht="14.4" customHeight="1" x14ac:dyDescent="0.3">
      <c r="A414" s="660">
        <v>50</v>
      </c>
      <c r="B414" s="661" t="s">
        <v>553</v>
      </c>
      <c r="C414" s="661">
        <v>89301502</v>
      </c>
      <c r="D414" s="740" t="s">
        <v>2564</v>
      </c>
      <c r="E414" s="741" t="s">
        <v>1925</v>
      </c>
      <c r="F414" s="661" t="s">
        <v>1907</v>
      </c>
      <c r="G414" s="661" t="s">
        <v>1972</v>
      </c>
      <c r="H414" s="661" t="s">
        <v>995</v>
      </c>
      <c r="I414" s="661" t="s">
        <v>2427</v>
      </c>
      <c r="J414" s="661" t="s">
        <v>1974</v>
      </c>
      <c r="K414" s="661" t="s">
        <v>2428</v>
      </c>
      <c r="L414" s="662">
        <v>579.30999999999995</v>
      </c>
      <c r="M414" s="662">
        <v>1158.6199999999999</v>
      </c>
      <c r="N414" s="661">
        <v>2</v>
      </c>
      <c r="O414" s="742">
        <v>1</v>
      </c>
      <c r="P414" s="662"/>
      <c r="Q414" s="677">
        <v>0</v>
      </c>
      <c r="R414" s="661"/>
      <c r="S414" s="677">
        <v>0</v>
      </c>
      <c r="T414" s="742"/>
      <c r="U414" s="700">
        <v>0</v>
      </c>
    </row>
    <row r="415" spans="1:21" ht="14.4" customHeight="1" x14ac:dyDescent="0.3">
      <c r="A415" s="660">
        <v>50</v>
      </c>
      <c r="B415" s="661" t="s">
        <v>553</v>
      </c>
      <c r="C415" s="661">
        <v>89301502</v>
      </c>
      <c r="D415" s="740" t="s">
        <v>2564</v>
      </c>
      <c r="E415" s="741" t="s">
        <v>1925</v>
      </c>
      <c r="F415" s="661" t="s">
        <v>1907</v>
      </c>
      <c r="G415" s="661" t="s">
        <v>1975</v>
      </c>
      <c r="H415" s="661" t="s">
        <v>554</v>
      </c>
      <c r="I415" s="661" t="s">
        <v>822</v>
      </c>
      <c r="J415" s="661" t="s">
        <v>823</v>
      </c>
      <c r="K415" s="661" t="s">
        <v>824</v>
      </c>
      <c r="L415" s="662">
        <v>214.5</v>
      </c>
      <c r="M415" s="662">
        <v>429</v>
      </c>
      <c r="N415" s="661">
        <v>2</v>
      </c>
      <c r="O415" s="742">
        <v>2</v>
      </c>
      <c r="P415" s="662">
        <v>214.5</v>
      </c>
      <c r="Q415" s="677">
        <v>0.5</v>
      </c>
      <c r="R415" s="661">
        <v>1</v>
      </c>
      <c r="S415" s="677">
        <v>0.5</v>
      </c>
      <c r="T415" s="742">
        <v>1</v>
      </c>
      <c r="U415" s="700">
        <v>0.5</v>
      </c>
    </row>
    <row r="416" spans="1:21" ht="14.4" customHeight="1" x14ac:dyDescent="0.3">
      <c r="A416" s="660">
        <v>50</v>
      </c>
      <c r="B416" s="661" t="s">
        <v>553</v>
      </c>
      <c r="C416" s="661">
        <v>89301502</v>
      </c>
      <c r="D416" s="740" t="s">
        <v>2564</v>
      </c>
      <c r="E416" s="741" t="s">
        <v>1925</v>
      </c>
      <c r="F416" s="661" t="s">
        <v>1907</v>
      </c>
      <c r="G416" s="661" t="s">
        <v>2550</v>
      </c>
      <c r="H416" s="661" t="s">
        <v>995</v>
      </c>
      <c r="I416" s="661" t="s">
        <v>1116</v>
      </c>
      <c r="J416" s="661" t="s">
        <v>1117</v>
      </c>
      <c r="K416" s="661" t="s">
        <v>1877</v>
      </c>
      <c r="L416" s="662">
        <v>63.75</v>
      </c>
      <c r="M416" s="662">
        <v>63.75</v>
      </c>
      <c r="N416" s="661">
        <v>1</v>
      </c>
      <c r="O416" s="742">
        <v>0.5</v>
      </c>
      <c r="P416" s="662">
        <v>63.75</v>
      </c>
      <c r="Q416" s="677">
        <v>1</v>
      </c>
      <c r="R416" s="661">
        <v>1</v>
      </c>
      <c r="S416" s="677">
        <v>1</v>
      </c>
      <c r="T416" s="742">
        <v>0.5</v>
      </c>
      <c r="U416" s="700">
        <v>1</v>
      </c>
    </row>
    <row r="417" spans="1:21" ht="14.4" customHeight="1" x14ac:dyDescent="0.3">
      <c r="A417" s="660">
        <v>50</v>
      </c>
      <c r="B417" s="661" t="s">
        <v>553</v>
      </c>
      <c r="C417" s="661">
        <v>89301502</v>
      </c>
      <c r="D417" s="740" t="s">
        <v>2564</v>
      </c>
      <c r="E417" s="741" t="s">
        <v>1925</v>
      </c>
      <c r="F417" s="661" t="s">
        <v>1907</v>
      </c>
      <c r="G417" s="661" t="s">
        <v>2429</v>
      </c>
      <c r="H417" s="661" t="s">
        <v>554</v>
      </c>
      <c r="I417" s="661" t="s">
        <v>2551</v>
      </c>
      <c r="J417" s="661" t="s">
        <v>2552</v>
      </c>
      <c r="K417" s="661" t="s">
        <v>2553</v>
      </c>
      <c r="L417" s="662">
        <v>0</v>
      </c>
      <c r="M417" s="662">
        <v>0</v>
      </c>
      <c r="N417" s="661">
        <v>1</v>
      </c>
      <c r="O417" s="742">
        <v>1</v>
      </c>
      <c r="P417" s="662"/>
      <c r="Q417" s="677"/>
      <c r="R417" s="661"/>
      <c r="S417" s="677">
        <v>0</v>
      </c>
      <c r="T417" s="742"/>
      <c r="U417" s="700">
        <v>0</v>
      </c>
    </row>
    <row r="418" spans="1:21" ht="14.4" customHeight="1" x14ac:dyDescent="0.3">
      <c r="A418" s="660">
        <v>50</v>
      </c>
      <c r="B418" s="661" t="s">
        <v>553</v>
      </c>
      <c r="C418" s="661">
        <v>89301502</v>
      </c>
      <c r="D418" s="740" t="s">
        <v>2564</v>
      </c>
      <c r="E418" s="741" t="s">
        <v>1925</v>
      </c>
      <c r="F418" s="661" t="s">
        <v>1907</v>
      </c>
      <c r="G418" s="661" t="s">
        <v>2433</v>
      </c>
      <c r="H418" s="661" t="s">
        <v>554</v>
      </c>
      <c r="I418" s="661" t="s">
        <v>2434</v>
      </c>
      <c r="J418" s="661" t="s">
        <v>2435</v>
      </c>
      <c r="K418" s="661" t="s">
        <v>2436</v>
      </c>
      <c r="L418" s="662">
        <v>121.96</v>
      </c>
      <c r="M418" s="662">
        <v>121.96</v>
      </c>
      <c r="N418" s="661">
        <v>1</v>
      </c>
      <c r="O418" s="742">
        <v>1</v>
      </c>
      <c r="P418" s="662"/>
      <c r="Q418" s="677">
        <v>0</v>
      </c>
      <c r="R418" s="661"/>
      <c r="S418" s="677">
        <v>0</v>
      </c>
      <c r="T418" s="742"/>
      <c r="U418" s="700">
        <v>0</v>
      </c>
    </row>
    <row r="419" spans="1:21" ht="14.4" customHeight="1" x14ac:dyDescent="0.3">
      <c r="A419" s="660">
        <v>50</v>
      </c>
      <c r="B419" s="661" t="s">
        <v>553</v>
      </c>
      <c r="C419" s="661">
        <v>89301502</v>
      </c>
      <c r="D419" s="740" t="s">
        <v>2564</v>
      </c>
      <c r="E419" s="741" t="s">
        <v>1925</v>
      </c>
      <c r="F419" s="661" t="s">
        <v>1907</v>
      </c>
      <c r="G419" s="661" t="s">
        <v>2554</v>
      </c>
      <c r="H419" s="661" t="s">
        <v>554</v>
      </c>
      <c r="I419" s="661" t="s">
        <v>2555</v>
      </c>
      <c r="J419" s="661" t="s">
        <v>706</v>
      </c>
      <c r="K419" s="661" t="s">
        <v>2230</v>
      </c>
      <c r="L419" s="662">
        <v>120.14</v>
      </c>
      <c r="M419" s="662">
        <v>120.14</v>
      </c>
      <c r="N419" s="661">
        <v>1</v>
      </c>
      <c r="O419" s="742">
        <v>0.5</v>
      </c>
      <c r="P419" s="662"/>
      <c r="Q419" s="677">
        <v>0</v>
      </c>
      <c r="R419" s="661"/>
      <c r="S419" s="677">
        <v>0</v>
      </c>
      <c r="T419" s="742"/>
      <c r="U419" s="700">
        <v>0</v>
      </c>
    </row>
    <row r="420" spans="1:21" ht="14.4" customHeight="1" x14ac:dyDescent="0.3">
      <c r="A420" s="660">
        <v>50</v>
      </c>
      <c r="B420" s="661" t="s">
        <v>553</v>
      </c>
      <c r="C420" s="661">
        <v>89301502</v>
      </c>
      <c r="D420" s="740" t="s">
        <v>2564</v>
      </c>
      <c r="E420" s="741" t="s">
        <v>1925</v>
      </c>
      <c r="F420" s="661" t="s">
        <v>1907</v>
      </c>
      <c r="G420" s="661" t="s">
        <v>1978</v>
      </c>
      <c r="H420" s="661" t="s">
        <v>554</v>
      </c>
      <c r="I420" s="661" t="s">
        <v>687</v>
      </c>
      <c r="J420" s="661" t="s">
        <v>688</v>
      </c>
      <c r="K420" s="661" t="s">
        <v>2189</v>
      </c>
      <c r="L420" s="662">
        <v>152.33000000000001</v>
      </c>
      <c r="M420" s="662">
        <v>152.33000000000001</v>
      </c>
      <c r="N420" s="661">
        <v>1</v>
      </c>
      <c r="O420" s="742">
        <v>0.5</v>
      </c>
      <c r="P420" s="662"/>
      <c r="Q420" s="677">
        <v>0</v>
      </c>
      <c r="R420" s="661"/>
      <c r="S420" s="677">
        <v>0</v>
      </c>
      <c r="T420" s="742"/>
      <c r="U420" s="700">
        <v>0</v>
      </c>
    </row>
    <row r="421" spans="1:21" ht="14.4" customHeight="1" x14ac:dyDescent="0.3">
      <c r="A421" s="660">
        <v>50</v>
      </c>
      <c r="B421" s="661" t="s">
        <v>553</v>
      </c>
      <c r="C421" s="661">
        <v>89301502</v>
      </c>
      <c r="D421" s="740" t="s">
        <v>2564</v>
      </c>
      <c r="E421" s="741" t="s">
        <v>1925</v>
      </c>
      <c r="F421" s="661" t="s">
        <v>1907</v>
      </c>
      <c r="G421" s="661" t="s">
        <v>2016</v>
      </c>
      <c r="H421" s="661" t="s">
        <v>554</v>
      </c>
      <c r="I421" s="661" t="s">
        <v>1219</v>
      </c>
      <c r="J421" s="661" t="s">
        <v>1220</v>
      </c>
      <c r="K421" s="661" t="s">
        <v>2017</v>
      </c>
      <c r="L421" s="662">
        <v>186.27</v>
      </c>
      <c r="M421" s="662">
        <v>186.27</v>
      </c>
      <c r="N421" s="661">
        <v>1</v>
      </c>
      <c r="O421" s="742">
        <v>0.5</v>
      </c>
      <c r="P421" s="662">
        <v>186.27</v>
      </c>
      <c r="Q421" s="677">
        <v>1</v>
      </c>
      <c r="R421" s="661">
        <v>1</v>
      </c>
      <c r="S421" s="677">
        <v>1</v>
      </c>
      <c r="T421" s="742">
        <v>0.5</v>
      </c>
      <c r="U421" s="700">
        <v>1</v>
      </c>
    </row>
    <row r="422" spans="1:21" ht="14.4" customHeight="1" x14ac:dyDescent="0.3">
      <c r="A422" s="660">
        <v>50</v>
      </c>
      <c r="B422" s="661" t="s">
        <v>553</v>
      </c>
      <c r="C422" s="661">
        <v>89301502</v>
      </c>
      <c r="D422" s="740" t="s">
        <v>2564</v>
      </c>
      <c r="E422" s="741" t="s">
        <v>1925</v>
      </c>
      <c r="F422" s="661" t="s">
        <v>1907</v>
      </c>
      <c r="G422" s="661" t="s">
        <v>2168</v>
      </c>
      <c r="H422" s="661" t="s">
        <v>554</v>
      </c>
      <c r="I422" s="661" t="s">
        <v>2556</v>
      </c>
      <c r="J422" s="661" t="s">
        <v>2170</v>
      </c>
      <c r="K422" s="661" t="s">
        <v>2557</v>
      </c>
      <c r="L422" s="662">
        <v>0</v>
      </c>
      <c r="M422" s="662">
        <v>0</v>
      </c>
      <c r="N422" s="661">
        <v>1</v>
      </c>
      <c r="O422" s="742">
        <v>0.5</v>
      </c>
      <c r="P422" s="662"/>
      <c r="Q422" s="677"/>
      <c r="R422" s="661"/>
      <c r="S422" s="677">
        <v>0</v>
      </c>
      <c r="T422" s="742"/>
      <c r="U422" s="700">
        <v>0</v>
      </c>
    </row>
    <row r="423" spans="1:21" ht="14.4" customHeight="1" x14ac:dyDescent="0.3">
      <c r="A423" s="660">
        <v>50</v>
      </c>
      <c r="B423" s="661" t="s">
        <v>553</v>
      </c>
      <c r="C423" s="661">
        <v>89301502</v>
      </c>
      <c r="D423" s="740" t="s">
        <v>2564</v>
      </c>
      <c r="E423" s="741" t="s">
        <v>1925</v>
      </c>
      <c r="F423" s="661" t="s">
        <v>1907</v>
      </c>
      <c r="G423" s="661" t="s">
        <v>2237</v>
      </c>
      <c r="H423" s="661" t="s">
        <v>554</v>
      </c>
      <c r="I423" s="661" t="s">
        <v>691</v>
      </c>
      <c r="J423" s="661" t="s">
        <v>692</v>
      </c>
      <c r="K423" s="661" t="s">
        <v>693</v>
      </c>
      <c r="L423" s="662">
        <v>150.19</v>
      </c>
      <c r="M423" s="662">
        <v>450.57</v>
      </c>
      <c r="N423" s="661">
        <v>3</v>
      </c>
      <c r="O423" s="742">
        <v>0.5</v>
      </c>
      <c r="P423" s="662"/>
      <c r="Q423" s="677">
        <v>0</v>
      </c>
      <c r="R423" s="661"/>
      <c r="S423" s="677">
        <v>0</v>
      </c>
      <c r="T423" s="742"/>
      <c r="U423" s="700">
        <v>0</v>
      </c>
    </row>
    <row r="424" spans="1:21" ht="14.4" customHeight="1" x14ac:dyDescent="0.3">
      <c r="A424" s="660">
        <v>50</v>
      </c>
      <c r="B424" s="661" t="s">
        <v>553</v>
      </c>
      <c r="C424" s="661">
        <v>89301502</v>
      </c>
      <c r="D424" s="740" t="s">
        <v>2564</v>
      </c>
      <c r="E424" s="741" t="s">
        <v>1925</v>
      </c>
      <c r="F424" s="661" t="s">
        <v>1907</v>
      </c>
      <c r="G424" s="661" t="s">
        <v>2276</v>
      </c>
      <c r="H424" s="661" t="s">
        <v>554</v>
      </c>
      <c r="I424" s="661" t="s">
        <v>2456</v>
      </c>
      <c r="J424" s="661" t="s">
        <v>2278</v>
      </c>
      <c r="K424" s="661" t="s">
        <v>1528</v>
      </c>
      <c r="L424" s="662">
        <v>0</v>
      </c>
      <c r="M424" s="662">
        <v>0</v>
      </c>
      <c r="N424" s="661">
        <v>2</v>
      </c>
      <c r="O424" s="742">
        <v>0.5</v>
      </c>
      <c r="P424" s="662"/>
      <c r="Q424" s="677"/>
      <c r="R424" s="661"/>
      <c r="S424" s="677">
        <v>0</v>
      </c>
      <c r="T424" s="742"/>
      <c r="U424" s="700">
        <v>0</v>
      </c>
    </row>
    <row r="425" spans="1:21" ht="14.4" customHeight="1" x14ac:dyDescent="0.3">
      <c r="A425" s="660">
        <v>50</v>
      </c>
      <c r="B425" s="661" t="s">
        <v>553</v>
      </c>
      <c r="C425" s="661">
        <v>89301502</v>
      </c>
      <c r="D425" s="740" t="s">
        <v>2564</v>
      </c>
      <c r="E425" s="741" t="s">
        <v>1925</v>
      </c>
      <c r="F425" s="661" t="s">
        <v>1907</v>
      </c>
      <c r="G425" s="661" t="s">
        <v>2276</v>
      </c>
      <c r="H425" s="661" t="s">
        <v>554</v>
      </c>
      <c r="I425" s="661" t="s">
        <v>2558</v>
      </c>
      <c r="J425" s="661" t="s">
        <v>2559</v>
      </c>
      <c r="K425" s="661" t="s">
        <v>994</v>
      </c>
      <c r="L425" s="662">
        <v>0</v>
      </c>
      <c r="M425" s="662">
        <v>0</v>
      </c>
      <c r="N425" s="661">
        <v>1</v>
      </c>
      <c r="O425" s="742">
        <v>0.5</v>
      </c>
      <c r="P425" s="662">
        <v>0</v>
      </c>
      <c r="Q425" s="677"/>
      <c r="R425" s="661">
        <v>1</v>
      </c>
      <c r="S425" s="677">
        <v>1</v>
      </c>
      <c r="T425" s="742">
        <v>0.5</v>
      </c>
      <c r="U425" s="700">
        <v>1</v>
      </c>
    </row>
    <row r="426" spans="1:21" ht="14.4" customHeight="1" x14ac:dyDescent="0.3">
      <c r="A426" s="660">
        <v>50</v>
      </c>
      <c r="B426" s="661" t="s">
        <v>553</v>
      </c>
      <c r="C426" s="661">
        <v>89301502</v>
      </c>
      <c r="D426" s="740" t="s">
        <v>2564</v>
      </c>
      <c r="E426" s="741" t="s">
        <v>1925</v>
      </c>
      <c r="F426" s="661" t="s">
        <v>1907</v>
      </c>
      <c r="G426" s="661" t="s">
        <v>2461</v>
      </c>
      <c r="H426" s="661" t="s">
        <v>554</v>
      </c>
      <c r="I426" s="661" t="s">
        <v>2462</v>
      </c>
      <c r="J426" s="661" t="s">
        <v>2463</v>
      </c>
      <c r="K426" s="661" t="s">
        <v>2464</v>
      </c>
      <c r="L426" s="662">
        <v>5339.52</v>
      </c>
      <c r="M426" s="662">
        <v>5339.52</v>
      </c>
      <c r="N426" s="661">
        <v>1</v>
      </c>
      <c r="O426" s="742">
        <v>1</v>
      </c>
      <c r="P426" s="662">
        <v>5339.52</v>
      </c>
      <c r="Q426" s="677">
        <v>1</v>
      </c>
      <c r="R426" s="661">
        <v>1</v>
      </c>
      <c r="S426" s="677">
        <v>1</v>
      </c>
      <c r="T426" s="742">
        <v>1</v>
      </c>
      <c r="U426" s="700">
        <v>1</v>
      </c>
    </row>
    <row r="427" spans="1:21" ht="14.4" customHeight="1" x14ac:dyDescent="0.3">
      <c r="A427" s="660">
        <v>50</v>
      </c>
      <c r="B427" s="661" t="s">
        <v>553</v>
      </c>
      <c r="C427" s="661">
        <v>89301502</v>
      </c>
      <c r="D427" s="740" t="s">
        <v>2564</v>
      </c>
      <c r="E427" s="741" t="s">
        <v>1925</v>
      </c>
      <c r="F427" s="661" t="s">
        <v>1909</v>
      </c>
      <c r="G427" s="661" t="s">
        <v>2243</v>
      </c>
      <c r="H427" s="661" t="s">
        <v>554</v>
      </c>
      <c r="I427" s="661" t="s">
        <v>2244</v>
      </c>
      <c r="J427" s="661" t="s">
        <v>2245</v>
      </c>
      <c r="K427" s="661" t="s">
        <v>2246</v>
      </c>
      <c r="L427" s="662">
        <v>38.97</v>
      </c>
      <c r="M427" s="662">
        <v>5144.0400000000027</v>
      </c>
      <c r="N427" s="661">
        <v>132</v>
      </c>
      <c r="O427" s="742">
        <v>33</v>
      </c>
      <c r="P427" s="662">
        <v>5144.0400000000027</v>
      </c>
      <c r="Q427" s="677">
        <v>1</v>
      </c>
      <c r="R427" s="661">
        <v>132</v>
      </c>
      <c r="S427" s="677">
        <v>1</v>
      </c>
      <c r="T427" s="742">
        <v>33</v>
      </c>
      <c r="U427" s="700">
        <v>1</v>
      </c>
    </row>
    <row r="428" spans="1:21" ht="14.4" customHeight="1" x14ac:dyDescent="0.3">
      <c r="A428" s="660">
        <v>50</v>
      </c>
      <c r="B428" s="661" t="s">
        <v>553</v>
      </c>
      <c r="C428" s="661">
        <v>89301502</v>
      </c>
      <c r="D428" s="740" t="s">
        <v>2564</v>
      </c>
      <c r="E428" s="741" t="s">
        <v>1925</v>
      </c>
      <c r="F428" s="661" t="s">
        <v>1909</v>
      </c>
      <c r="G428" s="661" t="s">
        <v>2476</v>
      </c>
      <c r="H428" s="661" t="s">
        <v>554</v>
      </c>
      <c r="I428" s="661" t="s">
        <v>2560</v>
      </c>
      <c r="J428" s="661" t="s">
        <v>2561</v>
      </c>
      <c r="K428" s="661" t="s">
        <v>2562</v>
      </c>
      <c r="L428" s="662">
        <v>525</v>
      </c>
      <c r="M428" s="662">
        <v>525</v>
      </c>
      <c r="N428" s="661">
        <v>1</v>
      </c>
      <c r="O428" s="742">
        <v>1</v>
      </c>
      <c r="P428" s="662"/>
      <c r="Q428" s="677">
        <v>0</v>
      </c>
      <c r="R428" s="661"/>
      <c r="S428" s="677">
        <v>0</v>
      </c>
      <c r="T428" s="742"/>
      <c r="U428" s="700">
        <v>0</v>
      </c>
    </row>
    <row r="429" spans="1:21" ht="14.4" customHeight="1" x14ac:dyDescent="0.3">
      <c r="A429" s="660">
        <v>50</v>
      </c>
      <c r="B429" s="661" t="s">
        <v>553</v>
      </c>
      <c r="C429" s="661">
        <v>89301502</v>
      </c>
      <c r="D429" s="740" t="s">
        <v>2564</v>
      </c>
      <c r="E429" s="741" t="s">
        <v>1925</v>
      </c>
      <c r="F429" s="661" t="s">
        <v>1909</v>
      </c>
      <c r="G429" s="661" t="s">
        <v>2247</v>
      </c>
      <c r="H429" s="661" t="s">
        <v>554</v>
      </c>
      <c r="I429" s="661" t="s">
        <v>2248</v>
      </c>
      <c r="J429" s="661" t="s">
        <v>2249</v>
      </c>
      <c r="K429" s="661" t="s">
        <v>2250</v>
      </c>
      <c r="L429" s="662">
        <v>378.48</v>
      </c>
      <c r="M429" s="662">
        <v>3406.32</v>
      </c>
      <c r="N429" s="661">
        <v>9</v>
      </c>
      <c r="O429" s="742">
        <v>9</v>
      </c>
      <c r="P429" s="662">
        <v>3406.32</v>
      </c>
      <c r="Q429" s="677">
        <v>1</v>
      </c>
      <c r="R429" s="661">
        <v>9</v>
      </c>
      <c r="S429" s="677">
        <v>1</v>
      </c>
      <c r="T429" s="742">
        <v>9</v>
      </c>
      <c r="U429" s="700">
        <v>1</v>
      </c>
    </row>
    <row r="430" spans="1:21" ht="14.4" customHeight="1" thickBot="1" x14ac:dyDescent="0.35">
      <c r="A430" s="666">
        <v>50</v>
      </c>
      <c r="B430" s="667" t="s">
        <v>553</v>
      </c>
      <c r="C430" s="667">
        <v>89301502</v>
      </c>
      <c r="D430" s="743" t="s">
        <v>2564</v>
      </c>
      <c r="E430" s="744" t="s">
        <v>1925</v>
      </c>
      <c r="F430" s="667" t="s">
        <v>1909</v>
      </c>
      <c r="G430" s="667" t="s">
        <v>2247</v>
      </c>
      <c r="H430" s="667" t="s">
        <v>554</v>
      </c>
      <c r="I430" s="667" t="s">
        <v>2251</v>
      </c>
      <c r="J430" s="667" t="s">
        <v>2252</v>
      </c>
      <c r="K430" s="667" t="s">
        <v>2253</v>
      </c>
      <c r="L430" s="668">
        <v>378.48</v>
      </c>
      <c r="M430" s="668">
        <v>3027.84</v>
      </c>
      <c r="N430" s="667">
        <v>8</v>
      </c>
      <c r="O430" s="745">
        <v>8</v>
      </c>
      <c r="P430" s="668">
        <v>3027.84</v>
      </c>
      <c r="Q430" s="678">
        <v>1</v>
      </c>
      <c r="R430" s="667">
        <v>8</v>
      </c>
      <c r="S430" s="678">
        <v>1</v>
      </c>
      <c r="T430" s="745">
        <v>8</v>
      </c>
      <c r="U430" s="701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1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7" width="8.88671875" style="254" customWidth="1"/>
    <col min="8" max="16384" width="8.88671875" style="254"/>
  </cols>
  <sheetData>
    <row r="1" spans="1:6" ht="37.799999999999997" customHeight="1" thickBot="1" x14ac:dyDescent="0.4">
      <c r="A1" s="515" t="s">
        <v>2566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746" t="s">
        <v>214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748" t="s">
        <v>1920</v>
      </c>
      <c r="B5" s="229">
        <v>2996.7599999999998</v>
      </c>
      <c r="C5" s="739">
        <v>8.8129839147957037E-2</v>
      </c>
      <c r="D5" s="229">
        <v>31007.160000000007</v>
      </c>
      <c r="E5" s="739">
        <v>0.91187016085204298</v>
      </c>
      <c r="F5" s="747">
        <v>34003.920000000006</v>
      </c>
    </row>
    <row r="6" spans="1:6" ht="14.4" customHeight="1" x14ac:dyDescent="0.3">
      <c r="A6" s="687" t="s">
        <v>1917</v>
      </c>
      <c r="B6" s="664">
        <v>293.18</v>
      </c>
      <c r="C6" s="677">
        <v>5.0294807375931297E-2</v>
      </c>
      <c r="D6" s="664">
        <v>5536.05</v>
      </c>
      <c r="E6" s="677">
        <v>0.94970519262406861</v>
      </c>
      <c r="F6" s="665">
        <v>5829.2300000000005</v>
      </c>
    </row>
    <row r="7" spans="1:6" ht="14.4" customHeight="1" x14ac:dyDescent="0.3">
      <c r="A7" s="687" t="s">
        <v>1925</v>
      </c>
      <c r="B7" s="664">
        <v>210.64999999999998</v>
      </c>
      <c r="C7" s="677">
        <v>3.7535905459055302E-2</v>
      </c>
      <c r="D7" s="664">
        <v>5401.31</v>
      </c>
      <c r="E7" s="677">
        <v>0.96246409454094473</v>
      </c>
      <c r="F7" s="665">
        <v>5611.96</v>
      </c>
    </row>
    <row r="8" spans="1:6" ht="14.4" customHeight="1" x14ac:dyDescent="0.3">
      <c r="A8" s="687" t="s">
        <v>1918</v>
      </c>
      <c r="B8" s="664">
        <v>86.61</v>
      </c>
      <c r="C8" s="677">
        <v>4.2082298808129789E-2</v>
      </c>
      <c r="D8" s="664">
        <v>1971.5</v>
      </c>
      <c r="E8" s="677">
        <v>0.95791770119187014</v>
      </c>
      <c r="F8" s="665">
        <v>2058.11</v>
      </c>
    </row>
    <row r="9" spans="1:6" ht="14.4" customHeight="1" x14ac:dyDescent="0.3">
      <c r="A9" s="687" t="s">
        <v>1921</v>
      </c>
      <c r="B9" s="664"/>
      <c r="C9" s="677">
        <v>0</v>
      </c>
      <c r="D9" s="664">
        <v>494.40999999999997</v>
      </c>
      <c r="E9" s="677">
        <v>1</v>
      </c>
      <c r="F9" s="665">
        <v>494.40999999999997</v>
      </c>
    </row>
    <row r="10" spans="1:6" ht="14.4" customHeight="1" x14ac:dyDescent="0.3">
      <c r="A10" s="687" t="s">
        <v>1924</v>
      </c>
      <c r="B10" s="664"/>
      <c r="C10" s="677">
        <v>0</v>
      </c>
      <c r="D10" s="664">
        <v>5022.3700000000008</v>
      </c>
      <c r="E10" s="677">
        <v>1</v>
      </c>
      <c r="F10" s="665">
        <v>5022.3700000000008</v>
      </c>
    </row>
    <row r="11" spans="1:6" ht="14.4" customHeight="1" x14ac:dyDescent="0.3">
      <c r="A11" s="687" t="s">
        <v>1922</v>
      </c>
      <c r="B11" s="664"/>
      <c r="C11" s="677">
        <v>0</v>
      </c>
      <c r="D11" s="664">
        <v>1422.84</v>
      </c>
      <c r="E11" s="677">
        <v>1</v>
      </c>
      <c r="F11" s="665">
        <v>1422.84</v>
      </c>
    </row>
    <row r="12" spans="1:6" ht="14.4" customHeight="1" x14ac:dyDescent="0.3">
      <c r="A12" s="687" t="s">
        <v>1914</v>
      </c>
      <c r="B12" s="664">
        <v>0</v>
      </c>
      <c r="C12" s="677">
        <v>0</v>
      </c>
      <c r="D12" s="664">
        <v>70.23</v>
      </c>
      <c r="E12" s="677">
        <v>1</v>
      </c>
      <c r="F12" s="665">
        <v>70.23</v>
      </c>
    </row>
    <row r="13" spans="1:6" ht="14.4" customHeight="1" x14ac:dyDescent="0.3">
      <c r="A13" s="687" t="s">
        <v>1916</v>
      </c>
      <c r="B13" s="664"/>
      <c r="C13" s="677">
        <v>0</v>
      </c>
      <c r="D13" s="664">
        <v>2746.8</v>
      </c>
      <c r="E13" s="677">
        <v>1</v>
      </c>
      <c r="F13" s="665">
        <v>2746.8</v>
      </c>
    </row>
    <row r="14" spans="1:6" ht="14.4" customHeight="1" x14ac:dyDescent="0.3">
      <c r="A14" s="687" t="s">
        <v>1915</v>
      </c>
      <c r="B14" s="664"/>
      <c r="C14" s="677">
        <v>0</v>
      </c>
      <c r="D14" s="664">
        <v>12266.660000000002</v>
      </c>
      <c r="E14" s="677">
        <v>1</v>
      </c>
      <c r="F14" s="665">
        <v>12266.660000000002</v>
      </c>
    </row>
    <row r="15" spans="1:6" ht="14.4" customHeight="1" thickBot="1" x14ac:dyDescent="0.35">
      <c r="A15" s="688" t="s">
        <v>1919</v>
      </c>
      <c r="B15" s="679"/>
      <c r="C15" s="680"/>
      <c r="D15" s="679">
        <v>0</v>
      </c>
      <c r="E15" s="680"/>
      <c r="F15" s="681">
        <v>0</v>
      </c>
    </row>
    <row r="16" spans="1:6" ht="14.4" customHeight="1" thickBot="1" x14ac:dyDescent="0.35">
      <c r="A16" s="682" t="s">
        <v>3</v>
      </c>
      <c r="B16" s="683">
        <v>3587.2</v>
      </c>
      <c r="C16" s="684">
        <v>5.1594693421345768E-2</v>
      </c>
      <c r="D16" s="683">
        <v>65939.330000000016</v>
      </c>
      <c r="E16" s="684">
        <v>0.94840530657865429</v>
      </c>
      <c r="F16" s="685">
        <v>69526.530000000013</v>
      </c>
    </row>
    <row r="17" spans="1:6" ht="14.4" customHeight="1" thickBot="1" x14ac:dyDescent="0.35"/>
    <row r="18" spans="1:6" ht="14.4" customHeight="1" x14ac:dyDescent="0.3">
      <c r="A18" s="748" t="s">
        <v>2567</v>
      </c>
      <c r="B18" s="229">
        <v>1006.04</v>
      </c>
      <c r="C18" s="739">
        <v>1</v>
      </c>
      <c r="D18" s="229"/>
      <c r="E18" s="739">
        <v>0</v>
      </c>
      <c r="F18" s="747">
        <v>1006.04</v>
      </c>
    </row>
    <row r="19" spans="1:6" ht="14.4" customHeight="1" x14ac:dyDescent="0.3">
      <c r="A19" s="687" t="s">
        <v>1810</v>
      </c>
      <c r="B19" s="664">
        <v>680.39</v>
      </c>
      <c r="C19" s="677">
        <v>1</v>
      </c>
      <c r="D19" s="664"/>
      <c r="E19" s="677">
        <v>0</v>
      </c>
      <c r="F19" s="665">
        <v>680.39</v>
      </c>
    </row>
    <row r="20" spans="1:6" ht="14.4" customHeight="1" x14ac:dyDescent="0.3">
      <c r="A20" s="687" t="s">
        <v>1783</v>
      </c>
      <c r="B20" s="664">
        <v>667.00999999999988</v>
      </c>
      <c r="C20" s="677">
        <v>0.22350035853343075</v>
      </c>
      <c r="D20" s="664">
        <v>2317.3699999999994</v>
      </c>
      <c r="E20" s="677">
        <v>0.77649964146656925</v>
      </c>
      <c r="F20" s="665">
        <v>2984.3799999999992</v>
      </c>
    </row>
    <row r="21" spans="1:6" ht="14.4" customHeight="1" x14ac:dyDescent="0.3">
      <c r="A21" s="687" t="s">
        <v>2568</v>
      </c>
      <c r="B21" s="664">
        <v>459.3</v>
      </c>
      <c r="C21" s="677">
        <v>1</v>
      </c>
      <c r="D21" s="664"/>
      <c r="E21" s="677">
        <v>0</v>
      </c>
      <c r="F21" s="665">
        <v>459.3</v>
      </c>
    </row>
    <row r="22" spans="1:6" ht="14.4" customHeight="1" x14ac:dyDescent="0.3">
      <c r="A22" s="687" t="s">
        <v>2569</v>
      </c>
      <c r="B22" s="664">
        <v>340.97</v>
      </c>
      <c r="C22" s="677">
        <v>1</v>
      </c>
      <c r="D22" s="664"/>
      <c r="E22" s="677">
        <v>0</v>
      </c>
      <c r="F22" s="665">
        <v>340.97</v>
      </c>
    </row>
    <row r="23" spans="1:6" ht="14.4" customHeight="1" x14ac:dyDescent="0.3">
      <c r="A23" s="687" t="s">
        <v>2570</v>
      </c>
      <c r="B23" s="664">
        <v>193.68</v>
      </c>
      <c r="C23" s="677">
        <v>1</v>
      </c>
      <c r="D23" s="664"/>
      <c r="E23" s="677">
        <v>0</v>
      </c>
      <c r="F23" s="665">
        <v>193.68</v>
      </c>
    </row>
    <row r="24" spans="1:6" ht="14.4" customHeight="1" x14ac:dyDescent="0.3">
      <c r="A24" s="687" t="s">
        <v>1773</v>
      </c>
      <c r="B24" s="664">
        <v>169.57999999999998</v>
      </c>
      <c r="C24" s="677">
        <v>0.73335063137865419</v>
      </c>
      <c r="D24" s="664">
        <v>61.66</v>
      </c>
      <c r="E24" s="677">
        <v>0.26664936862134581</v>
      </c>
      <c r="F24" s="665">
        <v>231.23999999999998</v>
      </c>
    </row>
    <row r="25" spans="1:6" ht="14.4" customHeight="1" x14ac:dyDescent="0.3">
      <c r="A25" s="687" t="s">
        <v>1781</v>
      </c>
      <c r="B25" s="664">
        <v>70.23</v>
      </c>
      <c r="C25" s="677">
        <v>0.12501557576944303</v>
      </c>
      <c r="D25" s="664">
        <v>491.54</v>
      </c>
      <c r="E25" s="677">
        <v>0.874984424230557</v>
      </c>
      <c r="F25" s="665">
        <v>561.77</v>
      </c>
    </row>
    <row r="26" spans="1:6" ht="14.4" customHeight="1" x14ac:dyDescent="0.3">
      <c r="A26" s="687" t="s">
        <v>1777</v>
      </c>
      <c r="B26" s="664">
        <v>0</v>
      </c>
      <c r="C26" s="677">
        <v>0</v>
      </c>
      <c r="D26" s="664">
        <v>1872.07</v>
      </c>
      <c r="E26" s="677">
        <v>1</v>
      </c>
      <c r="F26" s="665">
        <v>1872.07</v>
      </c>
    </row>
    <row r="27" spans="1:6" ht="14.4" customHeight="1" x14ac:dyDescent="0.3">
      <c r="A27" s="687" t="s">
        <v>1778</v>
      </c>
      <c r="B27" s="664">
        <v>0</v>
      </c>
      <c r="C27" s="677">
        <v>0</v>
      </c>
      <c r="D27" s="664">
        <v>391.47</v>
      </c>
      <c r="E27" s="677">
        <v>1</v>
      </c>
      <c r="F27" s="665">
        <v>391.47</v>
      </c>
    </row>
    <row r="28" spans="1:6" ht="14.4" customHeight="1" x14ac:dyDescent="0.3">
      <c r="A28" s="687" t="s">
        <v>2571</v>
      </c>
      <c r="B28" s="664"/>
      <c r="C28" s="677">
        <v>0</v>
      </c>
      <c r="D28" s="664">
        <v>120.75</v>
      </c>
      <c r="E28" s="677">
        <v>1</v>
      </c>
      <c r="F28" s="665">
        <v>120.75</v>
      </c>
    </row>
    <row r="29" spans="1:6" ht="14.4" customHeight="1" x14ac:dyDescent="0.3">
      <c r="A29" s="687" t="s">
        <v>2572</v>
      </c>
      <c r="B29" s="664"/>
      <c r="C29" s="677">
        <v>0</v>
      </c>
      <c r="D29" s="664">
        <v>123.2</v>
      </c>
      <c r="E29" s="677">
        <v>1</v>
      </c>
      <c r="F29" s="665">
        <v>123.2</v>
      </c>
    </row>
    <row r="30" spans="1:6" ht="14.4" customHeight="1" x14ac:dyDescent="0.3">
      <c r="A30" s="687" t="s">
        <v>2573</v>
      </c>
      <c r="B30" s="664"/>
      <c r="C30" s="677">
        <v>0</v>
      </c>
      <c r="D30" s="664">
        <v>556.04</v>
      </c>
      <c r="E30" s="677">
        <v>1</v>
      </c>
      <c r="F30" s="665">
        <v>556.04</v>
      </c>
    </row>
    <row r="31" spans="1:6" ht="14.4" customHeight="1" x14ac:dyDescent="0.3">
      <c r="A31" s="687" t="s">
        <v>1776</v>
      </c>
      <c r="B31" s="664"/>
      <c r="C31" s="677">
        <v>0</v>
      </c>
      <c r="D31" s="664">
        <v>6281.46</v>
      </c>
      <c r="E31" s="677">
        <v>1</v>
      </c>
      <c r="F31" s="665">
        <v>6281.46</v>
      </c>
    </row>
    <row r="32" spans="1:6" ht="14.4" customHeight="1" x14ac:dyDescent="0.3">
      <c r="A32" s="687" t="s">
        <v>1788</v>
      </c>
      <c r="B32" s="664">
        <v>0</v>
      </c>
      <c r="C32" s="677">
        <v>0</v>
      </c>
      <c r="D32" s="664">
        <v>454.44</v>
      </c>
      <c r="E32" s="677">
        <v>1</v>
      </c>
      <c r="F32" s="665">
        <v>454.44</v>
      </c>
    </row>
    <row r="33" spans="1:6" ht="14.4" customHeight="1" x14ac:dyDescent="0.3">
      <c r="A33" s="687" t="s">
        <v>1780</v>
      </c>
      <c r="B33" s="664"/>
      <c r="C33" s="677">
        <v>0</v>
      </c>
      <c r="D33" s="664">
        <v>359.1</v>
      </c>
      <c r="E33" s="677">
        <v>1</v>
      </c>
      <c r="F33" s="665">
        <v>359.1</v>
      </c>
    </row>
    <row r="34" spans="1:6" ht="14.4" customHeight="1" x14ac:dyDescent="0.3">
      <c r="A34" s="687" t="s">
        <v>1765</v>
      </c>
      <c r="B34" s="664"/>
      <c r="C34" s="677">
        <v>0</v>
      </c>
      <c r="D34" s="664">
        <v>267.27999999999997</v>
      </c>
      <c r="E34" s="677">
        <v>1</v>
      </c>
      <c r="F34" s="665">
        <v>267.27999999999997</v>
      </c>
    </row>
    <row r="35" spans="1:6" ht="14.4" customHeight="1" x14ac:dyDescent="0.3">
      <c r="A35" s="687" t="s">
        <v>1785</v>
      </c>
      <c r="B35" s="664">
        <v>0</v>
      </c>
      <c r="C35" s="677"/>
      <c r="D35" s="664"/>
      <c r="E35" s="677"/>
      <c r="F35" s="665">
        <v>0</v>
      </c>
    </row>
    <row r="36" spans="1:6" ht="14.4" customHeight="1" x14ac:dyDescent="0.3">
      <c r="A36" s="687" t="s">
        <v>1803</v>
      </c>
      <c r="B36" s="664"/>
      <c r="C36" s="677"/>
      <c r="D36" s="664">
        <v>0</v>
      </c>
      <c r="E36" s="677"/>
      <c r="F36" s="665">
        <v>0</v>
      </c>
    </row>
    <row r="37" spans="1:6" ht="14.4" customHeight="1" x14ac:dyDescent="0.3">
      <c r="A37" s="687" t="s">
        <v>1787</v>
      </c>
      <c r="B37" s="664"/>
      <c r="C37" s="677">
        <v>0</v>
      </c>
      <c r="D37" s="664">
        <v>1593.5700000000002</v>
      </c>
      <c r="E37" s="677">
        <v>1</v>
      </c>
      <c r="F37" s="665">
        <v>1593.5700000000002</v>
      </c>
    </row>
    <row r="38" spans="1:6" ht="14.4" customHeight="1" x14ac:dyDescent="0.3">
      <c r="A38" s="687" t="s">
        <v>1808</v>
      </c>
      <c r="B38" s="664"/>
      <c r="C38" s="677">
        <v>0</v>
      </c>
      <c r="D38" s="664">
        <v>3751.8799999999992</v>
      </c>
      <c r="E38" s="677">
        <v>1</v>
      </c>
      <c r="F38" s="665">
        <v>3751.8799999999992</v>
      </c>
    </row>
    <row r="39" spans="1:6" ht="14.4" customHeight="1" x14ac:dyDescent="0.3">
      <c r="A39" s="687" t="s">
        <v>1782</v>
      </c>
      <c r="B39" s="664"/>
      <c r="C39" s="677">
        <v>0</v>
      </c>
      <c r="D39" s="664">
        <v>3700.1</v>
      </c>
      <c r="E39" s="677">
        <v>1</v>
      </c>
      <c r="F39" s="665">
        <v>3700.1</v>
      </c>
    </row>
    <row r="40" spans="1:6" ht="14.4" customHeight="1" x14ac:dyDescent="0.3">
      <c r="A40" s="687" t="s">
        <v>2574</v>
      </c>
      <c r="B40" s="664"/>
      <c r="C40" s="677">
        <v>0</v>
      </c>
      <c r="D40" s="664">
        <v>1725.0900000000001</v>
      </c>
      <c r="E40" s="677">
        <v>1</v>
      </c>
      <c r="F40" s="665">
        <v>1725.0900000000001</v>
      </c>
    </row>
    <row r="41" spans="1:6" ht="14.4" customHeight="1" x14ac:dyDescent="0.3">
      <c r="A41" s="687" t="s">
        <v>1789</v>
      </c>
      <c r="B41" s="664">
        <v>0</v>
      </c>
      <c r="C41" s="677">
        <v>0</v>
      </c>
      <c r="D41" s="664">
        <v>1995.11</v>
      </c>
      <c r="E41" s="677">
        <v>1</v>
      </c>
      <c r="F41" s="665">
        <v>1995.11</v>
      </c>
    </row>
    <row r="42" spans="1:6" ht="14.4" customHeight="1" x14ac:dyDescent="0.3">
      <c r="A42" s="687" t="s">
        <v>1786</v>
      </c>
      <c r="B42" s="664"/>
      <c r="C42" s="677">
        <v>0</v>
      </c>
      <c r="D42" s="664">
        <v>255.83999999999997</v>
      </c>
      <c r="E42" s="677">
        <v>1</v>
      </c>
      <c r="F42" s="665">
        <v>255.83999999999997</v>
      </c>
    </row>
    <row r="43" spans="1:6" ht="14.4" customHeight="1" x14ac:dyDescent="0.3">
      <c r="A43" s="687" t="s">
        <v>1791</v>
      </c>
      <c r="B43" s="664"/>
      <c r="C43" s="677">
        <v>0</v>
      </c>
      <c r="D43" s="664">
        <v>3022.8</v>
      </c>
      <c r="E43" s="677">
        <v>1</v>
      </c>
      <c r="F43" s="665">
        <v>3022.8</v>
      </c>
    </row>
    <row r="44" spans="1:6" ht="14.4" customHeight="1" x14ac:dyDescent="0.3">
      <c r="A44" s="687" t="s">
        <v>1790</v>
      </c>
      <c r="B44" s="664">
        <v>0</v>
      </c>
      <c r="C44" s="677"/>
      <c r="D44" s="664"/>
      <c r="E44" s="677"/>
      <c r="F44" s="665">
        <v>0</v>
      </c>
    </row>
    <row r="45" spans="1:6" ht="14.4" customHeight="1" x14ac:dyDescent="0.3">
      <c r="A45" s="687" t="s">
        <v>1793</v>
      </c>
      <c r="B45" s="664"/>
      <c r="C45" s="677">
        <v>0</v>
      </c>
      <c r="D45" s="664">
        <v>2431.7800000000002</v>
      </c>
      <c r="E45" s="677">
        <v>1</v>
      </c>
      <c r="F45" s="665">
        <v>2431.7800000000002</v>
      </c>
    </row>
    <row r="46" spans="1:6" ht="14.4" customHeight="1" x14ac:dyDescent="0.3">
      <c r="A46" s="687" t="s">
        <v>1792</v>
      </c>
      <c r="B46" s="664"/>
      <c r="C46" s="677">
        <v>0</v>
      </c>
      <c r="D46" s="664">
        <v>66.819999999999993</v>
      </c>
      <c r="E46" s="677">
        <v>1</v>
      </c>
      <c r="F46" s="665">
        <v>66.819999999999993</v>
      </c>
    </row>
    <row r="47" spans="1:6" ht="14.4" customHeight="1" x14ac:dyDescent="0.3">
      <c r="A47" s="687" t="s">
        <v>2575</v>
      </c>
      <c r="B47" s="664"/>
      <c r="C47" s="677">
        <v>0</v>
      </c>
      <c r="D47" s="664">
        <v>432.31</v>
      </c>
      <c r="E47" s="677">
        <v>1</v>
      </c>
      <c r="F47" s="665">
        <v>432.31</v>
      </c>
    </row>
    <row r="48" spans="1:6" ht="14.4" customHeight="1" x14ac:dyDescent="0.3">
      <c r="A48" s="687" t="s">
        <v>2576</v>
      </c>
      <c r="B48" s="664"/>
      <c r="C48" s="677">
        <v>0</v>
      </c>
      <c r="D48" s="664">
        <v>8105.28</v>
      </c>
      <c r="E48" s="677">
        <v>1</v>
      </c>
      <c r="F48" s="665">
        <v>8105.28</v>
      </c>
    </row>
    <row r="49" spans="1:6" ht="14.4" customHeight="1" x14ac:dyDescent="0.3">
      <c r="A49" s="687" t="s">
        <v>1770</v>
      </c>
      <c r="B49" s="664"/>
      <c r="C49" s="677">
        <v>0</v>
      </c>
      <c r="D49" s="664">
        <v>1496.42</v>
      </c>
      <c r="E49" s="677">
        <v>1</v>
      </c>
      <c r="F49" s="665">
        <v>1496.42</v>
      </c>
    </row>
    <row r="50" spans="1:6" ht="14.4" customHeight="1" x14ac:dyDescent="0.3">
      <c r="A50" s="687" t="s">
        <v>2577</v>
      </c>
      <c r="B50" s="664"/>
      <c r="C50" s="677">
        <v>0</v>
      </c>
      <c r="D50" s="664">
        <v>287.95999999999998</v>
      </c>
      <c r="E50" s="677">
        <v>1</v>
      </c>
      <c r="F50" s="665">
        <v>287.95999999999998</v>
      </c>
    </row>
    <row r="51" spans="1:6" ht="14.4" customHeight="1" x14ac:dyDescent="0.3">
      <c r="A51" s="687" t="s">
        <v>1797</v>
      </c>
      <c r="B51" s="664"/>
      <c r="C51" s="677">
        <v>0</v>
      </c>
      <c r="D51" s="664">
        <v>98.039999999999992</v>
      </c>
      <c r="E51" s="677">
        <v>1</v>
      </c>
      <c r="F51" s="665">
        <v>98.039999999999992</v>
      </c>
    </row>
    <row r="52" spans="1:6" ht="14.4" customHeight="1" x14ac:dyDescent="0.3">
      <c r="A52" s="687" t="s">
        <v>1805</v>
      </c>
      <c r="B52" s="664"/>
      <c r="C52" s="677">
        <v>0</v>
      </c>
      <c r="D52" s="664">
        <v>63.75</v>
      </c>
      <c r="E52" s="677">
        <v>1</v>
      </c>
      <c r="F52" s="665">
        <v>63.75</v>
      </c>
    </row>
    <row r="53" spans="1:6" ht="14.4" customHeight="1" x14ac:dyDescent="0.3">
      <c r="A53" s="687" t="s">
        <v>1799</v>
      </c>
      <c r="B53" s="664"/>
      <c r="C53" s="677">
        <v>0</v>
      </c>
      <c r="D53" s="664">
        <v>132</v>
      </c>
      <c r="E53" s="677">
        <v>1</v>
      </c>
      <c r="F53" s="665">
        <v>132</v>
      </c>
    </row>
    <row r="54" spans="1:6" ht="14.4" customHeight="1" x14ac:dyDescent="0.3">
      <c r="A54" s="687" t="s">
        <v>2578</v>
      </c>
      <c r="B54" s="664"/>
      <c r="C54" s="677">
        <v>0</v>
      </c>
      <c r="D54" s="664">
        <v>1252.54</v>
      </c>
      <c r="E54" s="677">
        <v>1</v>
      </c>
      <c r="F54" s="665">
        <v>1252.54</v>
      </c>
    </row>
    <row r="55" spans="1:6" ht="14.4" customHeight="1" x14ac:dyDescent="0.3">
      <c r="A55" s="687" t="s">
        <v>1772</v>
      </c>
      <c r="B55" s="664">
        <v>0</v>
      </c>
      <c r="C55" s="677">
        <v>0</v>
      </c>
      <c r="D55" s="664">
        <v>2989.86</v>
      </c>
      <c r="E55" s="677">
        <v>1</v>
      </c>
      <c r="F55" s="665">
        <v>2989.86</v>
      </c>
    </row>
    <row r="56" spans="1:6" ht="14.4" customHeight="1" x14ac:dyDescent="0.3">
      <c r="A56" s="687" t="s">
        <v>1809</v>
      </c>
      <c r="B56" s="664"/>
      <c r="C56" s="677">
        <v>0</v>
      </c>
      <c r="D56" s="664">
        <v>1720.15</v>
      </c>
      <c r="E56" s="677">
        <v>1</v>
      </c>
      <c r="F56" s="665">
        <v>1720.15</v>
      </c>
    </row>
    <row r="57" spans="1:6" ht="14.4" customHeight="1" x14ac:dyDescent="0.3">
      <c r="A57" s="687" t="s">
        <v>2579</v>
      </c>
      <c r="B57" s="664"/>
      <c r="C57" s="677">
        <v>0</v>
      </c>
      <c r="D57" s="664">
        <v>1228.58</v>
      </c>
      <c r="E57" s="677">
        <v>1</v>
      </c>
      <c r="F57" s="665">
        <v>1228.58</v>
      </c>
    </row>
    <row r="58" spans="1:6" ht="14.4" customHeight="1" x14ac:dyDescent="0.3">
      <c r="A58" s="687" t="s">
        <v>1807</v>
      </c>
      <c r="B58" s="664"/>
      <c r="C58" s="677">
        <v>0</v>
      </c>
      <c r="D58" s="664">
        <v>535.76</v>
      </c>
      <c r="E58" s="677">
        <v>1</v>
      </c>
      <c r="F58" s="665">
        <v>535.76</v>
      </c>
    </row>
    <row r="59" spans="1:6" ht="14.4" customHeight="1" x14ac:dyDescent="0.3">
      <c r="A59" s="687" t="s">
        <v>1771</v>
      </c>
      <c r="B59" s="664"/>
      <c r="C59" s="677">
        <v>0</v>
      </c>
      <c r="D59" s="664">
        <v>1942.62</v>
      </c>
      <c r="E59" s="677">
        <v>1</v>
      </c>
      <c r="F59" s="665">
        <v>1942.62</v>
      </c>
    </row>
    <row r="60" spans="1:6" ht="14.4" customHeight="1" thickBot="1" x14ac:dyDescent="0.35">
      <c r="A60" s="688" t="s">
        <v>1804</v>
      </c>
      <c r="B60" s="679">
        <v>0</v>
      </c>
      <c r="C60" s="680">
        <v>0</v>
      </c>
      <c r="D60" s="679">
        <v>13814.690000000002</v>
      </c>
      <c r="E60" s="680">
        <v>1</v>
      </c>
      <c r="F60" s="681">
        <v>13814.690000000002</v>
      </c>
    </row>
    <row r="61" spans="1:6" ht="14.4" customHeight="1" thickBot="1" x14ac:dyDescent="0.35">
      <c r="A61" s="682" t="s">
        <v>3</v>
      </c>
      <c r="B61" s="683">
        <v>3587.2</v>
      </c>
      <c r="C61" s="684">
        <v>5.1594693421345802E-2</v>
      </c>
      <c r="D61" s="683">
        <v>65939.329999999987</v>
      </c>
      <c r="E61" s="684">
        <v>0.94840530657865441</v>
      </c>
      <c r="F61" s="685">
        <v>69526.52999999997</v>
      </c>
    </row>
  </sheetData>
  <mergeCells count="3">
    <mergeCell ref="A1:F1"/>
    <mergeCell ref="B3:C3"/>
    <mergeCell ref="D3:E3"/>
  </mergeCells>
  <conditionalFormatting sqref="C5:C1048576">
    <cfRule type="cellIs" dxfId="39" priority="12" stopIfTrue="1" operator="greaterThan">
      <formula>0.2</formula>
    </cfRule>
  </conditionalFormatting>
  <conditionalFormatting sqref="F5:F15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{DBF4280C-D681-40F2-9872-ED4B8D03B196}</x14:id>
        </ext>
      </extLst>
    </cfRule>
  </conditionalFormatting>
  <conditionalFormatting sqref="F18:F60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{C842A429-6F4A-4D8A-87A3-D72F492413BF}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BF4280C-D681-40F2-9872-ED4B8D03B19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F5:F15</xm:sqref>
        </x14:conditionalFormatting>
        <x14:conditionalFormatting xmlns:xm="http://schemas.microsoft.com/office/excel/2006/main">
          <x14:cfRule type="dataBar" id="{C842A429-6F4A-4D8A-87A3-D72F492413B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F18:F60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06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54" customWidth="1"/>
    <col min="2" max="2" width="8.88671875" style="254" bestFit="1" customWidth="1"/>
    <col min="3" max="3" width="7" style="254" bestFit="1" customWidth="1"/>
    <col min="4" max="5" width="22.21875" style="254" customWidth="1"/>
    <col min="6" max="6" width="6.6640625" style="337" customWidth="1"/>
    <col min="7" max="7" width="10" style="337" customWidth="1"/>
    <col min="8" max="8" width="6.77734375" style="340" customWidth="1"/>
    <col min="9" max="9" width="6.6640625" style="337" customWidth="1"/>
    <col min="10" max="10" width="10" style="337" customWidth="1"/>
    <col min="11" max="11" width="6.77734375" style="340" customWidth="1"/>
    <col min="12" max="12" width="6.6640625" style="337" customWidth="1"/>
    <col min="13" max="13" width="10" style="337" customWidth="1"/>
    <col min="14" max="16384" width="8.88671875" style="254"/>
  </cols>
  <sheetData>
    <row r="1" spans="1:13" ht="18.600000000000001" customHeight="1" thickBot="1" x14ac:dyDescent="0.4">
      <c r="A1" s="516" t="s">
        <v>2593</v>
      </c>
      <c r="B1" s="516"/>
      <c r="C1" s="516"/>
      <c r="D1" s="516"/>
      <c r="E1" s="516"/>
      <c r="F1" s="516"/>
      <c r="G1" s="516"/>
      <c r="H1" s="516"/>
      <c r="I1" s="516"/>
      <c r="J1" s="516"/>
      <c r="K1" s="516"/>
      <c r="L1" s="478"/>
      <c r="M1" s="478"/>
    </row>
    <row r="2" spans="1:13" ht="14.4" customHeight="1" thickBot="1" x14ac:dyDescent="0.35">
      <c r="A2" s="383" t="s">
        <v>334</v>
      </c>
      <c r="B2" s="336"/>
      <c r="C2" s="336"/>
      <c r="D2" s="336"/>
      <c r="E2" s="336"/>
      <c r="F2" s="344"/>
      <c r="G2" s="344"/>
      <c r="H2" s="345"/>
      <c r="I2" s="344"/>
      <c r="J2" s="344"/>
      <c r="K2" s="345"/>
      <c r="L2" s="344"/>
    </row>
    <row r="3" spans="1:13" ht="14.4" customHeight="1" thickBot="1" x14ac:dyDescent="0.35">
      <c r="E3" s="104" t="s">
        <v>160</v>
      </c>
      <c r="F3" s="47">
        <f>SUBTOTAL(9,F6:F1048576)</f>
        <v>48</v>
      </c>
      <c r="G3" s="47">
        <f>SUBTOTAL(9,G6:G1048576)</f>
        <v>3587.1999999999994</v>
      </c>
      <c r="H3" s="48">
        <f>IF(M3=0,0,G3/M3)</f>
        <v>5.1594693421345747E-2</v>
      </c>
      <c r="I3" s="47">
        <f>SUBTOTAL(9,I6:I1048576)</f>
        <v>363</v>
      </c>
      <c r="J3" s="47">
        <f>SUBTOTAL(9,J6:J1048576)</f>
        <v>65939.330000000045</v>
      </c>
      <c r="K3" s="48">
        <f>IF(M3=0,0,J3/M3)</f>
        <v>0.94840530657865452</v>
      </c>
      <c r="L3" s="47">
        <f>SUBTOTAL(9,L6:L1048576)</f>
        <v>411</v>
      </c>
      <c r="M3" s="49">
        <f>SUBTOTAL(9,M6:M1048576)</f>
        <v>69526.530000000028</v>
      </c>
    </row>
    <row r="4" spans="1:13" ht="14.4" customHeight="1" thickBot="1" x14ac:dyDescent="0.35">
      <c r="A4" s="45"/>
      <c r="B4" s="45"/>
      <c r="C4" s="45"/>
      <c r="D4" s="45"/>
      <c r="E4" s="46"/>
      <c r="F4" s="520" t="s">
        <v>162</v>
      </c>
      <c r="G4" s="521"/>
      <c r="H4" s="522"/>
      <c r="I4" s="523" t="s">
        <v>161</v>
      </c>
      <c r="J4" s="521"/>
      <c r="K4" s="522"/>
      <c r="L4" s="524" t="s">
        <v>3</v>
      </c>
      <c r="M4" s="525"/>
    </row>
    <row r="5" spans="1:13" ht="14.4" customHeight="1" thickBot="1" x14ac:dyDescent="0.35">
      <c r="A5" s="746" t="s">
        <v>168</v>
      </c>
      <c r="B5" s="749" t="s">
        <v>164</v>
      </c>
      <c r="C5" s="749" t="s">
        <v>90</v>
      </c>
      <c r="D5" s="749" t="s">
        <v>165</v>
      </c>
      <c r="E5" s="749" t="s">
        <v>166</v>
      </c>
      <c r="F5" s="691" t="s">
        <v>28</v>
      </c>
      <c r="G5" s="691" t="s">
        <v>14</v>
      </c>
      <c r="H5" s="674" t="s">
        <v>167</v>
      </c>
      <c r="I5" s="673" t="s">
        <v>28</v>
      </c>
      <c r="J5" s="691" t="s">
        <v>14</v>
      </c>
      <c r="K5" s="674" t="s">
        <v>167</v>
      </c>
      <c r="L5" s="673" t="s">
        <v>28</v>
      </c>
      <c r="M5" s="692" t="s">
        <v>14</v>
      </c>
    </row>
    <row r="6" spans="1:13" ht="14.4" customHeight="1" x14ac:dyDescent="0.3">
      <c r="A6" s="733" t="s">
        <v>1914</v>
      </c>
      <c r="B6" s="734" t="s">
        <v>1826</v>
      </c>
      <c r="C6" s="734" t="s">
        <v>1928</v>
      </c>
      <c r="D6" s="734" t="s">
        <v>1165</v>
      </c>
      <c r="E6" s="734" t="s">
        <v>1929</v>
      </c>
      <c r="F6" s="229">
        <v>1</v>
      </c>
      <c r="G6" s="229">
        <v>0</v>
      </c>
      <c r="H6" s="739"/>
      <c r="I6" s="229"/>
      <c r="J6" s="229"/>
      <c r="K6" s="739"/>
      <c r="L6" s="229">
        <v>1</v>
      </c>
      <c r="M6" s="747">
        <v>0</v>
      </c>
    </row>
    <row r="7" spans="1:13" ht="14.4" customHeight="1" x14ac:dyDescent="0.3">
      <c r="A7" s="660" t="s">
        <v>1914</v>
      </c>
      <c r="B7" s="661" t="s">
        <v>1833</v>
      </c>
      <c r="C7" s="661" t="s">
        <v>1052</v>
      </c>
      <c r="D7" s="661" t="s">
        <v>1053</v>
      </c>
      <c r="E7" s="661" t="s">
        <v>1054</v>
      </c>
      <c r="F7" s="664"/>
      <c r="G7" s="664"/>
      <c r="H7" s="677">
        <v>0</v>
      </c>
      <c r="I7" s="664">
        <v>1</v>
      </c>
      <c r="J7" s="664">
        <v>70.23</v>
      </c>
      <c r="K7" s="677">
        <v>1</v>
      </c>
      <c r="L7" s="664">
        <v>1</v>
      </c>
      <c r="M7" s="665">
        <v>70.23</v>
      </c>
    </row>
    <row r="8" spans="1:13" ht="14.4" customHeight="1" x14ac:dyDescent="0.3">
      <c r="A8" s="660" t="s">
        <v>1915</v>
      </c>
      <c r="B8" s="661" t="s">
        <v>1811</v>
      </c>
      <c r="C8" s="661" t="s">
        <v>1157</v>
      </c>
      <c r="D8" s="661" t="s">
        <v>1057</v>
      </c>
      <c r="E8" s="661" t="s">
        <v>1812</v>
      </c>
      <c r="F8" s="664"/>
      <c r="G8" s="664"/>
      <c r="H8" s="677">
        <v>0</v>
      </c>
      <c r="I8" s="664">
        <v>1</v>
      </c>
      <c r="J8" s="664">
        <v>334.66</v>
      </c>
      <c r="K8" s="677">
        <v>1</v>
      </c>
      <c r="L8" s="664">
        <v>1</v>
      </c>
      <c r="M8" s="665">
        <v>334.66</v>
      </c>
    </row>
    <row r="9" spans="1:13" ht="14.4" customHeight="1" x14ac:dyDescent="0.3">
      <c r="A9" s="660" t="s">
        <v>1915</v>
      </c>
      <c r="B9" s="661" t="s">
        <v>1822</v>
      </c>
      <c r="C9" s="661" t="s">
        <v>2242</v>
      </c>
      <c r="D9" s="661" t="s">
        <v>2151</v>
      </c>
      <c r="E9" s="661" t="s">
        <v>1824</v>
      </c>
      <c r="F9" s="664"/>
      <c r="G9" s="664"/>
      <c r="H9" s="677">
        <v>0</v>
      </c>
      <c r="I9" s="664">
        <v>1</v>
      </c>
      <c r="J9" s="664">
        <v>184.74</v>
      </c>
      <c r="K9" s="677">
        <v>1</v>
      </c>
      <c r="L9" s="664">
        <v>1</v>
      </c>
      <c r="M9" s="665">
        <v>184.74</v>
      </c>
    </row>
    <row r="10" spans="1:13" ht="14.4" customHeight="1" x14ac:dyDescent="0.3">
      <c r="A10" s="660" t="s">
        <v>1915</v>
      </c>
      <c r="B10" s="661" t="s">
        <v>1822</v>
      </c>
      <c r="C10" s="661" t="s">
        <v>2020</v>
      </c>
      <c r="D10" s="661" t="s">
        <v>2021</v>
      </c>
      <c r="E10" s="661" t="s">
        <v>2022</v>
      </c>
      <c r="F10" s="664"/>
      <c r="G10" s="664"/>
      <c r="H10" s="677">
        <v>0</v>
      </c>
      <c r="I10" s="664">
        <v>2</v>
      </c>
      <c r="J10" s="664">
        <v>241.22</v>
      </c>
      <c r="K10" s="677">
        <v>1</v>
      </c>
      <c r="L10" s="664">
        <v>2</v>
      </c>
      <c r="M10" s="665">
        <v>241.22</v>
      </c>
    </row>
    <row r="11" spans="1:13" ht="14.4" customHeight="1" x14ac:dyDescent="0.3">
      <c r="A11" s="660" t="s">
        <v>1915</v>
      </c>
      <c r="B11" s="661" t="s">
        <v>1822</v>
      </c>
      <c r="C11" s="661" t="s">
        <v>1089</v>
      </c>
      <c r="D11" s="661" t="s">
        <v>1823</v>
      </c>
      <c r="E11" s="661" t="s">
        <v>1824</v>
      </c>
      <c r="F11" s="664"/>
      <c r="G11" s="664"/>
      <c r="H11" s="677">
        <v>0</v>
      </c>
      <c r="I11" s="664">
        <v>2</v>
      </c>
      <c r="J11" s="664">
        <v>369.48</v>
      </c>
      <c r="K11" s="677">
        <v>1</v>
      </c>
      <c r="L11" s="664">
        <v>2</v>
      </c>
      <c r="M11" s="665">
        <v>369.48</v>
      </c>
    </row>
    <row r="12" spans="1:13" ht="14.4" customHeight="1" x14ac:dyDescent="0.3">
      <c r="A12" s="660" t="s">
        <v>1915</v>
      </c>
      <c r="B12" s="661" t="s">
        <v>1825</v>
      </c>
      <c r="C12" s="661" t="s">
        <v>2178</v>
      </c>
      <c r="D12" s="661" t="s">
        <v>1072</v>
      </c>
      <c r="E12" s="661" t="s">
        <v>1042</v>
      </c>
      <c r="F12" s="664"/>
      <c r="G12" s="664"/>
      <c r="H12" s="677">
        <v>0</v>
      </c>
      <c r="I12" s="664">
        <v>1</v>
      </c>
      <c r="J12" s="664">
        <v>2309.36</v>
      </c>
      <c r="K12" s="677">
        <v>1</v>
      </c>
      <c r="L12" s="664">
        <v>1</v>
      </c>
      <c r="M12" s="665">
        <v>2309.36</v>
      </c>
    </row>
    <row r="13" spans="1:13" ht="14.4" customHeight="1" x14ac:dyDescent="0.3">
      <c r="A13" s="660" t="s">
        <v>1915</v>
      </c>
      <c r="B13" s="661" t="s">
        <v>1826</v>
      </c>
      <c r="C13" s="661" t="s">
        <v>1164</v>
      </c>
      <c r="D13" s="661" t="s">
        <v>1165</v>
      </c>
      <c r="E13" s="661" t="s">
        <v>1166</v>
      </c>
      <c r="F13" s="664"/>
      <c r="G13" s="664"/>
      <c r="H13" s="677">
        <v>0</v>
      </c>
      <c r="I13" s="664">
        <v>4</v>
      </c>
      <c r="J13" s="664">
        <v>373.72</v>
      </c>
      <c r="K13" s="677">
        <v>1</v>
      </c>
      <c r="L13" s="664">
        <v>4</v>
      </c>
      <c r="M13" s="665">
        <v>373.72</v>
      </c>
    </row>
    <row r="14" spans="1:13" ht="14.4" customHeight="1" x14ac:dyDescent="0.3">
      <c r="A14" s="660" t="s">
        <v>1915</v>
      </c>
      <c r="B14" s="661" t="s">
        <v>1829</v>
      </c>
      <c r="C14" s="661" t="s">
        <v>1010</v>
      </c>
      <c r="D14" s="661" t="s">
        <v>1011</v>
      </c>
      <c r="E14" s="661" t="s">
        <v>1830</v>
      </c>
      <c r="F14" s="664"/>
      <c r="G14" s="664"/>
      <c r="H14" s="677">
        <v>0</v>
      </c>
      <c r="I14" s="664">
        <v>1</v>
      </c>
      <c r="J14" s="664">
        <v>72</v>
      </c>
      <c r="K14" s="677">
        <v>1</v>
      </c>
      <c r="L14" s="664">
        <v>1</v>
      </c>
      <c r="M14" s="665">
        <v>72</v>
      </c>
    </row>
    <row r="15" spans="1:13" ht="14.4" customHeight="1" x14ac:dyDescent="0.3">
      <c r="A15" s="660" t="s">
        <v>1915</v>
      </c>
      <c r="B15" s="661" t="s">
        <v>1832</v>
      </c>
      <c r="C15" s="661" t="s">
        <v>1060</v>
      </c>
      <c r="D15" s="661" t="s">
        <v>1061</v>
      </c>
      <c r="E15" s="661" t="s">
        <v>974</v>
      </c>
      <c r="F15" s="664"/>
      <c r="G15" s="664"/>
      <c r="H15" s="677">
        <v>0</v>
      </c>
      <c r="I15" s="664">
        <v>1</v>
      </c>
      <c r="J15" s="664">
        <v>65.540000000000006</v>
      </c>
      <c r="K15" s="677">
        <v>1</v>
      </c>
      <c r="L15" s="664">
        <v>1</v>
      </c>
      <c r="M15" s="665">
        <v>65.540000000000006</v>
      </c>
    </row>
    <row r="16" spans="1:13" ht="14.4" customHeight="1" x14ac:dyDescent="0.3">
      <c r="A16" s="660" t="s">
        <v>1915</v>
      </c>
      <c r="B16" s="661" t="s">
        <v>1833</v>
      </c>
      <c r="C16" s="661" t="s">
        <v>1048</v>
      </c>
      <c r="D16" s="661" t="s">
        <v>1049</v>
      </c>
      <c r="E16" s="661" t="s">
        <v>1050</v>
      </c>
      <c r="F16" s="664"/>
      <c r="G16" s="664"/>
      <c r="H16" s="677">
        <v>0</v>
      </c>
      <c r="I16" s="664">
        <v>14</v>
      </c>
      <c r="J16" s="664">
        <v>491.54</v>
      </c>
      <c r="K16" s="677">
        <v>1</v>
      </c>
      <c r="L16" s="664">
        <v>14</v>
      </c>
      <c r="M16" s="665">
        <v>491.54</v>
      </c>
    </row>
    <row r="17" spans="1:13" ht="14.4" customHeight="1" x14ac:dyDescent="0.3">
      <c r="A17" s="660" t="s">
        <v>1915</v>
      </c>
      <c r="B17" s="661" t="s">
        <v>1833</v>
      </c>
      <c r="C17" s="661" t="s">
        <v>1052</v>
      </c>
      <c r="D17" s="661" t="s">
        <v>1053</v>
      </c>
      <c r="E17" s="661" t="s">
        <v>1054</v>
      </c>
      <c r="F17" s="664"/>
      <c r="G17" s="664"/>
      <c r="H17" s="677">
        <v>0</v>
      </c>
      <c r="I17" s="664">
        <v>4</v>
      </c>
      <c r="J17" s="664">
        <v>280.92</v>
      </c>
      <c r="K17" s="677">
        <v>1</v>
      </c>
      <c r="L17" s="664">
        <v>4</v>
      </c>
      <c r="M17" s="665">
        <v>280.92</v>
      </c>
    </row>
    <row r="18" spans="1:13" ht="14.4" customHeight="1" x14ac:dyDescent="0.3">
      <c r="A18" s="660" t="s">
        <v>1915</v>
      </c>
      <c r="B18" s="661" t="s">
        <v>1835</v>
      </c>
      <c r="C18" s="661" t="s">
        <v>1139</v>
      </c>
      <c r="D18" s="661" t="s">
        <v>1140</v>
      </c>
      <c r="E18" s="661" t="s">
        <v>1141</v>
      </c>
      <c r="F18" s="664"/>
      <c r="G18" s="664"/>
      <c r="H18" s="677">
        <v>0</v>
      </c>
      <c r="I18" s="664">
        <v>10</v>
      </c>
      <c r="J18" s="664">
        <v>529.70000000000005</v>
      </c>
      <c r="K18" s="677">
        <v>1</v>
      </c>
      <c r="L18" s="664">
        <v>10</v>
      </c>
      <c r="M18" s="665">
        <v>529.70000000000005</v>
      </c>
    </row>
    <row r="19" spans="1:13" ht="14.4" customHeight="1" x14ac:dyDescent="0.3">
      <c r="A19" s="660" t="s">
        <v>1915</v>
      </c>
      <c r="B19" s="661" t="s">
        <v>1836</v>
      </c>
      <c r="C19" s="661" t="s">
        <v>1963</v>
      </c>
      <c r="D19" s="661" t="s">
        <v>1094</v>
      </c>
      <c r="E19" s="661" t="s">
        <v>1050</v>
      </c>
      <c r="F19" s="664"/>
      <c r="G19" s="664"/>
      <c r="H19" s="677">
        <v>0</v>
      </c>
      <c r="I19" s="664">
        <v>2</v>
      </c>
      <c r="J19" s="664">
        <v>96.54</v>
      </c>
      <c r="K19" s="677">
        <v>1</v>
      </c>
      <c r="L19" s="664">
        <v>2</v>
      </c>
      <c r="M19" s="665">
        <v>96.54</v>
      </c>
    </row>
    <row r="20" spans="1:13" ht="14.4" customHeight="1" x14ac:dyDescent="0.3">
      <c r="A20" s="660" t="s">
        <v>1915</v>
      </c>
      <c r="B20" s="661" t="s">
        <v>1836</v>
      </c>
      <c r="C20" s="661" t="s">
        <v>1964</v>
      </c>
      <c r="D20" s="661" t="s">
        <v>1965</v>
      </c>
      <c r="E20" s="661" t="s">
        <v>1875</v>
      </c>
      <c r="F20" s="664"/>
      <c r="G20" s="664"/>
      <c r="H20" s="677">
        <v>0</v>
      </c>
      <c r="I20" s="664">
        <v>1</v>
      </c>
      <c r="J20" s="664">
        <v>96.53</v>
      </c>
      <c r="K20" s="677">
        <v>1</v>
      </c>
      <c r="L20" s="664">
        <v>1</v>
      </c>
      <c r="M20" s="665">
        <v>96.53</v>
      </c>
    </row>
    <row r="21" spans="1:13" ht="14.4" customHeight="1" x14ac:dyDescent="0.3">
      <c r="A21" s="660" t="s">
        <v>1915</v>
      </c>
      <c r="B21" s="661" t="s">
        <v>1836</v>
      </c>
      <c r="C21" s="661" t="s">
        <v>2223</v>
      </c>
      <c r="D21" s="661" t="s">
        <v>1965</v>
      </c>
      <c r="E21" s="661" t="s">
        <v>2224</v>
      </c>
      <c r="F21" s="664"/>
      <c r="G21" s="664"/>
      <c r="H21" s="677">
        <v>0</v>
      </c>
      <c r="I21" s="664">
        <v>1</v>
      </c>
      <c r="J21" s="664">
        <v>289.62</v>
      </c>
      <c r="K21" s="677">
        <v>1</v>
      </c>
      <c r="L21" s="664">
        <v>1</v>
      </c>
      <c r="M21" s="665">
        <v>289.62</v>
      </c>
    </row>
    <row r="22" spans="1:13" ht="14.4" customHeight="1" x14ac:dyDescent="0.3">
      <c r="A22" s="660" t="s">
        <v>1915</v>
      </c>
      <c r="B22" s="661" t="s">
        <v>1837</v>
      </c>
      <c r="C22" s="661" t="s">
        <v>1018</v>
      </c>
      <c r="D22" s="661" t="s">
        <v>1838</v>
      </c>
      <c r="E22" s="661" t="s">
        <v>1020</v>
      </c>
      <c r="F22" s="664"/>
      <c r="G22" s="664"/>
      <c r="H22" s="677">
        <v>0</v>
      </c>
      <c r="I22" s="664">
        <v>7</v>
      </c>
      <c r="J22" s="664">
        <v>675.71</v>
      </c>
      <c r="K22" s="677">
        <v>1</v>
      </c>
      <c r="L22" s="664">
        <v>7</v>
      </c>
      <c r="M22" s="665">
        <v>675.71</v>
      </c>
    </row>
    <row r="23" spans="1:13" ht="14.4" customHeight="1" x14ac:dyDescent="0.3">
      <c r="A23" s="660" t="s">
        <v>1915</v>
      </c>
      <c r="B23" s="661" t="s">
        <v>1837</v>
      </c>
      <c r="C23" s="661" t="s">
        <v>1970</v>
      </c>
      <c r="D23" s="661" t="s">
        <v>1003</v>
      </c>
      <c r="E23" s="661" t="s">
        <v>1971</v>
      </c>
      <c r="F23" s="664"/>
      <c r="G23" s="664"/>
      <c r="H23" s="677">
        <v>0</v>
      </c>
      <c r="I23" s="664">
        <v>4</v>
      </c>
      <c r="J23" s="664">
        <v>96.56</v>
      </c>
      <c r="K23" s="677">
        <v>1</v>
      </c>
      <c r="L23" s="664">
        <v>4</v>
      </c>
      <c r="M23" s="665">
        <v>96.56</v>
      </c>
    </row>
    <row r="24" spans="1:13" ht="14.4" customHeight="1" x14ac:dyDescent="0.3">
      <c r="A24" s="660" t="s">
        <v>1915</v>
      </c>
      <c r="B24" s="661" t="s">
        <v>1837</v>
      </c>
      <c r="C24" s="661" t="s">
        <v>1063</v>
      </c>
      <c r="D24" s="661" t="s">
        <v>1839</v>
      </c>
      <c r="E24" s="661" t="s">
        <v>836</v>
      </c>
      <c r="F24" s="664"/>
      <c r="G24" s="664"/>
      <c r="H24" s="677">
        <v>0</v>
      </c>
      <c r="I24" s="664">
        <v>3</v>
      </c>
      <c r="J24" s="664">
        <v>144.81</v>
      </c>
      <c r="K24" s="677">
        <v>1</v>
      </c>
      <c r="L24" s="664">
        <v>3</v>
      </c>
      <c r="M24" s="665">
        <v>144.81</v>
      </c>
    </row>
    <row r="25" spans="1:13" ht="14.4" customHeight="1" x14ac:dyDescent="0.3">
      <c r="A25" s="660" t="s">
        <v>1915</v>
      </c>
      <c r="B25" s="661" t="s">
        <v>1840</v>
      </c>
      <c r="C25" s="661" t="s">
        <v>1135</v>
      </c>
      <c r="D25" s="661" t="s">
        <v>1841</v>
      </c>
      <c r="E25" s="661" t="s">
        <v>1137</v>
      </c>
      <c r="F25" s="664"/>
      <c r="G25" s="664"/>
      <c r="H25" s="677">
        <v>0</v>
      </c>
      <c r="I25" s="664">
        <v>1</v>
      </c>
      <c r="J25" s="664">
        <v>291.82</v>
      </c>
      <c r="K25" s="677">
        <v>1</v>
      </c>
      <c r="L25" s="664">
        <v>1</v>
      </c>
      <c r="M25" s="665">
        <v>291.82</v>
      </c>
    </row>
    <row r="26" spans="1:13" ht="14.4" customHeight="1" x14ac:dyDescent="0.3">
      <c r="A26" s="660" t="s">
        <v>1915</v>
      </c>
      <c r="B26" s="661" t="s">
        <v>1840</v>
      </c>
      <c r="C26" s="661" t="s">
        <v>1967</v>
      </c>
      <c r="D26" s="661" t="s">
        <v>1968</v>
      </c>
      <c r="E26" s="661" t="s">
        <v>893</v>
      </c>
      <c r="F26" s="664"/>
      <c r="G26" s="664"/>
      <c r="H26" s="677">
        <v>0</v>
      </c>
      <c r="I26" s="664">
        <v>1</v>
      </c>
      <c r="J26" s="664">
        <v>194.54</v>
      </c>
      <c r="K26" s="677">
        <v>1</v>
      </c>
      <c r="L26" s="664">
        <v>1</v>
      </c>
      <c r="M26" s="665">
        <v>194.54</v>
      </c>
    </row>
    <row r="27" spans="1:13" ht="14.4" customHeight="1" x14ac:dyDescent="0.3">
      <c r="A27" s="660" t="s">
        <v>1915</v>
      </c>
      <c r="B27" s="661" t="s">
        <v>2580</v>
      </c>
      <c r="C27" s="661" t="s">
        <v>2010</v>
      </c>
      <c r="D27" s="661" t="s">
        <v>2011</v>
      </c>
      <c r="E27" s="661" t="s">
        <v>1303</v>
      </c>
      <c r="F27" s="664"/>
      <c r="G27" s="664"/>
      <c r="H27" s="677">
        <v>0</v>
      </c>
      <c r="I27" s="664">
        <v>1</v>
      </c>
      <c r="J27" s="664">
        <v>204.76</v>
      </c>
      <c r="K27" s="677">
        <v>1</v>
      </c>
      <c r="L27" s="664">
        <v>1</v>
      </c>
      <c r="M27" s="665">
        <v>204.76</v>
      </c>
    </row>
    <row r="28" spans="1:13" ht="14.4" customHeight="1" x14ac:dyDescent="0.3">
      <c r="A28" s="660" t="s">
        <v>1915</v>
      </c>
      <c r="B28" s="661" t="s">
        <v>1842</v>
      </c>
      <c r="C28" s="661" t="s">
        <v>2229</v>
      </c>
      <c r="D28" s="661" t="s">
        <v>1124</v>
      </c>
      <c r="E28" s="661" t="s">
        <v>2230</v>
      </c>
      <c r="F28" s="664"/>
      <c r="G28" s="664"/>
      <c r="H28" s="677">
        <v>0</v>
      </c>
      <c r="I28" s="664">
        <v>1</v>
      </c>
      <c r="J28" s="664">
        <v>366.53</v>
      </c>
      <c r="K28" s="677">
        <v>1</v>
      </c>
      <c r="L28" s="664">
        <v>1</v>
      </c>
      <c r="M28" s="665">
        <v>366.53</v>
      </c>
    </row>
    <row r="29" spans="1:13" ht="14.4" customHeight="1" x14ac:dyDescent="0.3">
      <c r="A29" s="660" t="s">
        <v>1915</v>
      </c>
      <c r="B29" s="661" t="s">
        <v>1843</v>
      </c>
      <c r="C29" s="661" t="s">
        <v>1085</v>
      </c>
      <c r="D29" s="661" t="s">
        <v>1844</v>
      </c>
      <c r="E29" s="661" t="s">
        <v>796</v>
      </c>
      <c r="F29" s="664"/>
      <c r="G29" s="664"/>
      <c r="H29" s="677">
        <v>0</v>
      </c>
      <c r="I29" s="664">
        <v>1</v>
      </c>
      <c r="J29" s="664">
        <v>124.91</v>
      </c>
      <c r="K29" s="677">
        <v>1</v>
      </c>
      <c r="L29" s="664">
        <v>1</v>
      </c>
      <c r="M29" s="665">
        <v>124.91</v>
      </c>
    </row>
    <row r="30" spans="1:13" ht="14.4" customHeight="1" x14ac:dyDescent="0.3">
      <c r="A30" s="660" t="s">
        <v>1915</v>
      </c>
      <c r="B30" s="661" t="s">
        <v>1843</v>
      </c>
      <c r="C30" s="661" t="s">
        <v>2195</v>
      </c>
      <c r="D30" s="661" t="s">
        <v>1844</v>
      </c>
      <c r="E30" s="661" t="s">
        <v>2196</v>
      </c>
      <c r="F30" s="664"/>
      <c r="G30" s="664"/>
      <c r="H30" s="677">
        <v>0</v>
      </c>
      <c r="I30" s="664">
        <v>2</v>
      </c>
      <c r="J30" s="664">
        <v>832.74</v>
      </c>
      <c r="K30" s="677">
        <v>1</v>
      </c>
      <c r="L30" s="664">
        <v>2</v>
      </c>
      <c r="M30" s="665">
        <v>832.74</v>
      </c>
    </row>
    <row r="31" spans="1:13" ht="14.4" customHeight="1" x14ac:dyDescent="0.3">
      <c r="A31" s="660" t="s">
        <v>1915</v>
      </c>
      <c r="B31" s="661" t="s">
        <v>1843</v>
      </c>
      <c r="C31" s="661" t="s">
        <v>1131</v>
      </c>
      <c r="D31" s="661" t="s">
        <v>1845</v>
      </c>
      <c r="E31" s="661" t="s">
        <v>1149</v>
      </c>
      <c r="F31" s="664"/>
      <c r="G31" s="664"/>
      <c r="H31" s="677">
        <v>0</v>
      </c>
      <c r="I31" s="664">
        <v>6</v>
      </c>
      <c r="J31" s="664">
        <v>1158.5999999999999</v>
      </c>
      <c r="K31" s="677">
        <v>1</v>
      </c>
      <c r="L31" s="664">
        <v>6</v>
      </c>
      <c r="M31" s="665">
        <v>1158.5999999999999</v>
      </c>
    </row>
    <row r="32" spans="1:13" ht="14.4" customHeight="1" x14ac:dyDescent="0.3">
      <c r="A32" s="660" t="s">
        <v>1915</v>
      </c>
      <c r="B32" s="661" t="s">
        <v>1843</v>
      </c>
      <c r="C32" s="661" t="s">
        <v>1992</v>
      </c>
      <c r="D32" s="661" t="s">
        <v>1845</v>
      </c>
      <c r="E32" s="661" t="s">
        <v>1993</v>
      </c>
      <c r="F32" s="664"/>
      <c r="G32" s="664"/>
      <c r="H32" s="677">
        <v>0</v>
      </c>
      <c r="I32" s="664">
        <v>1</v>
      </c>
      <c r="J32" s="664">
        <v>643.69000000000005</v>
      </c>
      <c r="K32" s="677">
        <v>1</v>
      </c>
      <c r="L32" s="664">
        <v>1</v>
      </c>
      <c r="M32" s="665">
        <v>643.69000000000005</v>
      </c>
    </row>
    <row r="33" spans="1:13" ht="14.4" customHeight="1" x14ac:dyDescent="0.3">
      <c r="A33" s="660" t="s">
        <v>1915</v>
      </c>
      <c r="B33" s="661" t="s">
        <v>1846</v>
      </c>
      <c r="C33" s="661" t="s">
        <v>1973</v>
      </c>
      <c r="D33" s="661" t="s">
        <v>1974</v>
      </c>
      <c r="E33" s="661" t="s">
        <v>796</v>
      </c>
      <c r="F33" s="664"/>
      <c r="G33" s="664"/>
      <c r="H33" s="677">
        <v>0</v>
      </c>
      <c r="I33" s="664">
        <v>1</v>
      </c>
      <c r="J33" s="664">
        <v>193.1</v>
      </c>
      <c r="K33" s="677">
        <v>1</v>
      </c>
      <c r="L33" s="664">
        <v>1</v>
      </c>
      <c r="M33" s="665">
        <v>193.1</v>
      </c>
    </row>
    <row r="34" spans="1:13" ht="14.4" customHeight="1" x14ac:dyDescent="0.3">
      <c r="A34" s="660" t="s">
        <v>1915</v>
      </c>
      <c r="B34" s="661" t="s">
        <v>1863</v>
      </c>
      <c r="C34" s="661" t="s">
        <v>1223</v>
      </c>
      <c r="D34" s="661" t="s">
        <v>1224</v>
      </c>
      <c r="E34" s="661" t="s">
        <v>1864</v>
      </c>
      <c r="F34" s="664"/>
      <c r="G34" s="664"/>
      <c r="H34" s="677">
        <v>0</v>
      </c>
      <c r="I34" s="664">
        <v>1</v>
      </c>
      <c r="J34" s="664">
        <v>66.819999999999993</v>
      </c>
      <c r="K34" s="677">
        <v>1</v>
      </c>
      <c r="L34" s="664">
        <v>1</v>
      </c>
      <c r="M34" s="665">
        <v>66.819999999999993</v>
      </c>
    </row>
    <row r="35" spans="1:13" ht="14.4" customHeight="1" x14ac:dyDescent="0.3">
      <c r="A35" s="660" t="s">
        <v>1915</v>
      </c>
      <c r="B35" s="661" t="s">
        <v>1891</v>
      </c>
      <c r="C35" s="661" t="s">
        <v>1935</v>
      </c>
      <c r="D35" s="661" t="s">
        <v>1654</v>
      </c>
      <c r="E35" s="661" t="s">
        <v>1936</v>
      </c>
      <c r="F35" s="664"/>
      <c r="G35" s="664"/>
      <c r="H35" s="677">
        <v>0</v>
      </c>
      <c r="I35" s="664">
        <v>2</v>
      </c>
      <c r="J35" s="664">
        <v>1496.42</v>
      </c>
      <c r="K35" s="677">
        <v>1</v>
      </c>
      <c r="L35" s="664">
        <v>2</v>
      </c>
      <c r="M35" s="665">
        <v>1496.42</v>
      </c>
    </row>
    <row r="36" spans="1:13" ht="14.4" customHeight="1" x14ac:dyDescent="0.3">
      <c r="A36" s="660" t="s">
        <v>1915</v>
      </c>
      <c r="B36" s="661" t="s">
        <v>1869</v>
      </c>
      <c r="C36" s="661" t="s">
        <v>1081</v>
      </c>
      <c r="D36" s="661" t="s">
        <v>1870</v>
      </c>
      <c r="E36" s="661" t="s">
        <v>1871</v>
      </c>
      <c r="F36" s="664"/>
      <c r="G36" s="664"/>
      <c r="H36" s="677">
        <v>0</v>
      </c>
      <c r="I36" s="664">
        <v>6</v>
      </c>
      <c r="J36" s="664">
        <v>40.08</v>
      </c>
      <c r="K36" s="677">
        <v>1</v>
      </c>
      <c r="L36" s="664">
        <v>6</v>
      </c>
      <c r="M36" s="665">
        <v>40.08</v>
      </c>
    </row>
    <row r="37" spans="1:13" ht="14.4" customHeight="1" x14ac:dyDescent="0.3">
      <c r="A37" s="660" t="s">
        <v>1916</v>
      </c>
      <c r="B37" s="661" t="s">
        <v>1822</v>
      </c>
      <c r="C37" s="661" t="s">
        <v>2020</v>
      </c>
      <c r="D37" s="661" t="s">
        <v>2021</v>
      </c>
      <c r="E37" s="661" t="s">
        <v>2022</v>
      </c>
      <c r="F37" s="664"/>
      <c r="G37" s="664"/>
      <c r="H37" s="677">
        <v>0</v>
      </c>
      <c r="I37" s="664">
        <v>1</v>
      </c>
      <c r="J37" s="664">
        <v>120.61</v>
      </c>
      <c r="K37" s="677">
        <v>1</v>
      </c>
      <c r="L37" s="664">
        <v>1</v>
      </c>
      <c r="M37" s="665">
        <v>120.61</v>
      </c>
    </row>
    <row r="38" spans="1:13" ht="14.4" customHeight="1" x14ac:dyDescent="0.3">
      <c r="A38" s="660" t="s">
        <v>1916</v>
      </c>
      <c r="B38" s="661" t="s">
        <v>1826</v>
      </c>
      <c r="C38" s="661" t="s">
        <v>1998</v>
      </c>
      <c r="D38" s="661" t="s">
        <v>1165</v>
      </c>
      <c r="E38" s="661" t="s">
        <v>1999</v>
      </c>
      <c r="F38" s="664"/>
      <c r="G38" s="664"/>
      <c r="H38" s="677">
        <v>0</v>
      </c>
      <c r="I38" s="664">
        <v>3</v>
      </c>
      <c r="J38" s="664">
        <v>560.61</v>
      </c>
      <c r="K38" s="677">
        <v>1</v>
      </c>
      <c r="L38" s="664">
        <v>3</v>
      </c>
      <c r="M38" s="665">
        <v>560.61</v>
      </c>
    </row>
    <row r="39" spans="1:13" ht="14.4" customHeight="1" x14ac:dyDescent="0.3">
      <c r="A39" s="660" t="s">
        <v>1916</v>
      </c>
      <c r="B39" s="661" t="s">
        <v>1829</v>
      </c>
      <c r="C39" s="661" t="s">
        <v>1010</v>
      </c>
      <c r="D39" s="661" t="s">
        <v>1011</v>
      </c>
      <c r="E39" s="661" t="s">
        <v>1830</v>
      </c>
      <c r="F39" s="664"/>
      <c r="G39" s="664"/>
      <c r="H39" s="677">
        <v>0</v>
      </c>
      <c r="I39" s="664">
        <v>3</v>
      </c>
      <c r="J39" s="664">
        <v>216</v>
      </c>
      <c r="K39" s="677">
        <v>1</v>
      </c>
      <c r="L39" s="664">
        <v>3</v>
      </c>
      <c r="M39" s="665">
        <v>216</v>
      </c>
    </row>
    <row r="40" spans="1:13" ht="14.4" customHeight="1" x14ac:dyDescent="0.3">
      <c r="A40" s="660" t="s">
        <v>1916</v>
      </c>
      <c r="B40" s="661" t="s">
        <v>1833</v>
      </c>
      <c r="C40" s="661" t="s">
        <v>1048</v>
      </c>
      <c r="D40" s="661" t="s">
        <v>1049</v>
      </c>
      <c r="E40" s="661" t="s">
        <v>1050</v>
      </c>
      <c r="F40" s="664"/>
      <c r="G40" s="664"/>
      <c r="H40" s="677">
        <v>0</v>
      </c>
      <c r="I40" s="664">
        <v>3</v>
      </c>
      <c r="J40" s="664">
        <v>105.33</v>
      </c>
      <c r="K40" s="677">
        <v>1</v>
      </c>
      <c r="L40" s="664">
        <v>3</v>
      </c>
      <c r="M40" s="665">
        <v>105.33</v>
      </c>
    </row>
    <row r="41" spans="1:13" ht="14.4" customHeight="1" x14ac:dyDescent="0.3">
      <c r="A41" s="660" t="s">
        <v>1916</v>
      </c>
      <c r="B41" s="661" t="s">
        <v>1833</v>
      </c>
      <c r="C41" s="661" t="s">
        <v>1052</v>
      </c>
      <c r="D41" s="661" t="s">
        <v>1053</v>
      </c>
      <c r="E41" s="661" t="s">
        <v>1054</v>
      </c>
      <c r="F41" s="664"/>
      <c r="G41" s="664"/>
      <c r="H41" s="677">
        <v>0</v>
      </c>
      <c r="I41" s="664">
        <v>2</v>
      </c>
      <c r="J41" s="664">
        <v>140.46</v>
      </c>
      <c r="K41" s="677">
        <v>1</v>
      </c>
      <c r="L41" s="664">
        <v>2</v>
      </c>
      <c r="M41" s="665">
        <v>140.46</v>
      </c>
    </row>
    <row r="42" spans="1:13" ht="14.4" customHeight="1" x14ac:dyDescent="0.3">
      <c r="A42" s="660" t="s">
        <v>1916</v>
      </c>
      <c r="B42" s="661" t="s">
        <v>1835</v>
      </c>
      <c r="C42" s="661" t="s">
        <v>1139</v>
      </c>
      <c r="D42" s="661" t="s">
        <v>1140</v>
      </c>
      <c r="E42" s="661" t="s">
        <v>1141</v>
      </c>
      <c r="F42" s="664"/>
      <c r="G42" s="664"/>
      <c r="H42" s="677">
        <v>0</v>
      </c>
      <c r="I42" s="664">
        <v>1</v>
      </c>
      <c r="J42" s="664">
        <v>52.97</v>
      </c>
      <c r="K42" s="677">
        <v>1</v>
      </c>
      <c r="L42" s="664">
        <v>1</v>
      </c>
      <c r="M42" s="665">
        <v>52.97</v>
      </c>
    </row>
    <row r="43" spans="1:13" ht="14.4" customHeight="1" x14ac:dyDescent="0.3">
      <c r="A43" s="660" t="s">
        <v>1916</v>
      </c>
      <c r="B43" s="661" t="s">
        <v>1836</v>
      </c>
      <c r="C43" s="661" t="s">
        <v>1963</v>
      </c>
      <c r="D43" s="661" t="s">
        <v>1094</v>
      </c>
      <c r="E43" s="661" t="s">
        <v>1050</v>
      </c>
      <c r="F43" s="664"/>
      <c r="G43" s="664"/>
      <c r="H43" s="677">
        <v>0</v>
      </c>
      <c r="I43" s="664">
        <v>1</v>
      </c>
      <c r="J43" s="664">
        <v>48.27</v>
      </c>
      <c r="K43" s="677">
        <v>1</v>
      </c>
      <c r="L43" s="664">
        <v>1</v>
      </c>
      <c r="M43" s="665">
        <v>48.27</v>
      </c>
    </row>
    <row r="44" spans="1:13" ht="14.4" customHeight="1" x14ac:dyDescent="0.3">
      <c r="A44" s="660" t="s">
        <v>1916</v>
      </c>
      <c r="B44" s="661" t="s">
        <v>1837</v>
      </c>
      <c r="C44" s="661" t="s">
        <v>1018</v>
      </c>
      <c r="D44" s="661" t="s">
        <v>1838</v>
      </c>
      <c r="E44" s="661" t="s">
        <v>1020</v>
      </c>
      <c r="F44" s="664"/>
      <c r="G44" s="664"/>
      <c r="H44" s="677">
        <v>0</v>
      </c>
      <c r="I44" s="664">
        <v>2</v>
      </c>
      <c r="J44" s="664">
        <v>193.06</v>
      </c>
      <c r="K44" s="677">
        <v>1</v>
      </c>
      <c r="L44" s="664">
        <v>2</v>
      </c>
      <c r="M44" s="665">
        <v>193.06</v>
      </c>
    </row>
    <row r="45" spans="1:13" ht="14.4" customHeight="1" x14ac:dyDescent="0.3">
      <c r="A45" s="660" t="s">
        <v>1916</v>
      </c>
      <c r="B45" s="661" t="s">
        <v>1837</v>
      </c>
      <c r="C45" s="661" t="s">
        <v>2012</v>
      </c>
      <c r="D45" s="661" t="s">
        <v>1003</v>
      </c>
      <c r="E45" s="661" t="s">
        <v>2013</v>
      </c>
      <c r="F45" s="664"/>
      <c r="G45" s="664"/>
      <c r="H45" s="677">
        <v>0</v>
      </c>
      <c r="I45" s="664">
        <v>1</v>
      </c>
      <c r="J45" s="664">
        <v>40.22</v>
      </c>
      <c r="K45" s="677">
        <v>1</v>
      </c>
      <c r="L45" s="664">
        <v>1</v>
      </c>
      <c r="M45" s="665">
        <v>40.22</v>
      </c>
    </row>
    <row r="46" spans="1:13" ht="14.4" customHeight="1" x14ac:dyDescent="0.3">
      <c r="A46" s="660" t="s">
        <v>1916</v>
      </c>
      <c r="B46" s="661" t="s">
        <v>1837</v>
      </c>
      <c r="C46" s="661" t="s">
        <v>2014</v>
      </c>
      <c r="D46" s="661" t="s">
        <v>1839</v>
      </c>
      <c r="E46" s="661" t="s">
        <v>2015</v>
      </c>
      <c r="F46" s="664"/>
      <c r="G46" s="664"/>
      <c r="H46" s="677">
        <v>0</v>
      </c>
      <c r="I46" s="664">
        <v>2</v>
      </c>
      <c r="J46" s="664">
        <v>160.9</v>
      </c>
      <c r="K46" s="677">
        <v>1</v>
      </c>
      <c r="L46" s="664">
        <v>2</v>
      </c>
      <c r="M46" s="665">
        <v>160.9</v>
      </c>
    </row>
    <row r="47" spans="1:13" ht="14.4" customHeight="1" x14ac:dyDescent="0.3">
      <c r="A47" s="660" t="s">
        <v>1916</v>
      </c>
      <c r="B47" s="661" t="s">
        <v>2580</v>
      </c>
      <c r="C47" s="661" t="s">
        <v>2010</v>
      </c>
      <c r="D47" s="661" t="s">
        <v>2011</v>
      </c>
      <c r="E47" s="661" t="s">
        <v>1303</v>
      </c>
      <c r="F47" s="664"/>
      <c r="G47" s="664"/>
      <c r="H47" s="677">
        <v>0</v>
      </c>
      <c r="I47" s="664">
        <v>1</v>
      </c>
      <c r="J47" s="664">
        <v>204.76</v>
      </c>
      <c r="K47" s="677">
        <v>1</v>
      </c>
      <c r="L47" s="664">
        <v>1</v>
      </c>
      <c r="M47" s="665">
        <v>204.76</v>
      </c>
    </row>
    <row r="48" spans="1:13" ht="14.4" customHeight="1" x14ac:dyDescent="0.3">
      <c r="A48" s="660" t="s">
        <v>1916</v>
      </c>
      <c r="B48" s="661" t="s">
        <v>1843</v>
      </c>
      <c r="C48" s="661" t="s">
        <v>1131</v>
      </c>
      <c r="D48" s="661" t="s">
        <v>1845</v>
      </c>
      <c r="E48" s="661" t="s">
        <v>1149</v>
      </c>
      <c r="F48" s="664"/>
      <c r="G48" s="664"/>
      <c r="H48" s="677">
        <v>0</v>
      </c>
      <c r="I48" s="664">
        <v>1</v>
      </c>
      <c r="J48" s="664">
        <v>193.1</v>
      </c>
      <c r="K48" s="677">
        <v>1</v>
      </c>
      <c r="L48" s="664">
        <v>1</v>
      </c>
      <c r="M48" s="665">
        <v>193.1</v>
      </c>
    </row>
    <row r="49" spans="1:13" ht="14.4" customHeight="1" x14ac:dyDescent="0.3">
      <c r="A49" s="660" t="s">
        <v>1916</v>
      </c>
      <c r="B49" s="661" t="s">
        <v>1843</v>
      </c>
      <c r="C49" s="661" t="s">
        <v>1992</v>
      </c>
      <c r="D49" s="661" t="s">
        <v>1845</v>
      </c>
      <c r="E49" s="661" t="s">
        <v>1993</v>
      </c>
      <c r="F49" s="664"/>
      <c r="G49" s="664"/>
      <c r="H49" s="677">
        <v>0</v>
      </c>
      <c r="I49" s="664">
        <v>1</v>
      </c>
      <c r="J49" s="664">
        <v>643.69000000000005</v>
      </c>
      <c r="K49" s="677">
        <v>1</v>
      </c>
      <c r="L49" s="664">
        <v>1</v>
      </c>
      <c r="M49" s="665">
        <v>643.69000000000005</v>
      </c>
    </row>
    <row r="50" spans="1:13" ht="14.4" customHeight="1" x14ac:dyDescent="0.3">
      <c r="A50" s="660" t="s">
        <v>1916</v>
      </c>
      <c r="B50" s="661" t="s">
        <v>1863</v>
      </c>
      <c r="C50" s="661" t="s">
        <v>1223</v>
      </c>
      <c r="D50" s="661" t="s">
        <v>1224</v>
      </c>
      <c r="E50" s="661" t="s">
        <v>1864</v>
      </c>
      <c r="F50" s="664"/>
      <c r="G50" s="664"/>
      <c r="H50" s="677">
        <v>0</v>
      </c>
      <c r="I50" s="664">
        <v>1</v>
      </c>
      <c r="J50" s="664">
        <v>66.819999999999993</v>
      </c>
      <c r="K50" s="677">
        <v>1</v>
      </c>
      <c r="L50" s="664">
        <v>1</v>
      </c>
      <c r="M50" s="665">
        <v>66.819999999999993</v>
      </c>
    </row>
    <row r="51" spans="1:13" ht="14.4" customHeight="1" x14ac:dyDescent="0.3">
      <c r="A51" s="660" t="s">
        <v>1917</v>
      </c>
      <c r="B51" s="661" t="s">
        <v>1820</v>
      </c>
      <c r="C51" s="661" t="s">
        <v>2058</v>
      </c>
      <c r="D51" s="661" t="s">
        <v>2059</v>
      </c>
      <c r="E51" s="661" t="s">
        <v>2060</v>
      </c>
      <c r="F51" s="664">
        <v>1</v>
      </c>
      <c r="G51" s="664">
        <v>0</v>
      </c>
      <c r="H51" s="677"/>
      <c r="I51" s="664"/>
      <c r="J51" s="664"/>
      <c r="K51" s="677"/>
      <c r="L51" s="664">
        <v>1</v>
      </c>
      <c r="M51" s="665">
        <v>0</v>
      </c>
    </row>
    <row r="52" spans="1:13" ht="14.4" customHeight="1" x14ac:dyDescent="0.3">
      <c r="A52" s="660" t="s">
        <v>1917</v>
      </c>
      <c r="B52" s="661" t="s">
        <v>1820</v>
      </c>
      <c r="C52" s="661" t="s">
        <v>2061</v>
      </c>
      <c r="D52" s="661" t="s">
        <v>1168</v>
      </c>
      <c r="E52" s="661" t="s">
        <v>1169</v>
      </c>
      <c r="F52" s="664"/>
      <c r="G52" s="664"/>
      <c r="H52" s="677">
        <v>0</v>
      </c>
      <c r="I52" s="664">
        <v>3</v>
      </c>
      <c r="J52" s="664">
        <v>305.04000000000002</v>
      </c>
      <c r="K52" s="677">
        <v>1</v>
      </c>
      <c r="L52" s="664">
        <v>3</v>
      </c>
      <c r="M52" s="665">
        <v>305.04000000000002</v>
      </c>
    </row>
    <row r="53" spans="1:13" ht="14.4" customHeight="1" x14ac:dyDescent="0.3">
      <c r="A53" s="660" t="s">
        <v>1917</v>
      </c>
      <c r="B53" s="661" t="s">
        <v>1820</v>
      </c>
      <c r="C53" s="661" t="s">
        <v>2062</v>
      </c>
      <c r="D53" s="661" t="s">
        <v>2063</v>
      </c>
      <c r="E53" s="661" t="s">
        <v>2064</v>
      </c>
      <c r="F53" s="664"/>
      <c r="G53" s="664"/>
      <c r="H53" s="677">
        <v>0</v>
      </c>
      <c r="I53" s="664">
        <v>1</v>
      </c>
      <c r="J53" s="664">
        <v>86.43</v>
      </c>
      <c r="K53" s="677">
        <v>1</v>
      </c>
      <c r="L53" s="664">
        <v>1</v>
      </c>
      <c r="M53" s="665">
        <v>86.43</v>
      </c>
    </row>
    <row r="54" spans="1:13" ht="14.4" customHeight="1" x14ac:dyDescent="0.3">
      <c r="A54" s="660" t="s">
        <v>1917</v>
      </c>
      <c r="B54" s="661" t="s">
        <v>1821</v>
      </c>
      <c r="C54" s="661" t="s">
        <v>1100</v>
      </c>
      <c r="D54" s="661" t="s">
        <v>1101</v>
      </c>
      <c r="E54" s="661" t="s">
        <v>1102</v>
      </c>
      <c r="F54" s="664"/>
      <c r="G54" s="664"/>
      <c r="H54" s="677">
        <v>0</v>
      </c>
      <c r="I54" s="664">
        <v>1</v>
      </c>
      <c r="J54" s="664">
        <v>30.83</v>
      </c>
      <c r="K54" s="677">
        <v>1</v>
      </c>
      <c r="L54" s="664">
        <v>1</v>
      </c>
      <c r="M54" s="665">
        <v>30.83</v>
      </c>
    </row>
    <row r="55" spans="1:13" ht="14.4" customHeight="1" x14ac:dyDescent="0.3">
      <c r="A55" s="660" t="s">
        <v>1917</v>
      </c>
      <c r="B55" s="661" t="s">
        <v>1821</v>
      </c>
      <c r="C55" s="661" t="s">
        <v>2043</v>
      </c>
      <c r="D55" s="661" t="s">
        <v>2044</v>
      </c>
      <c r="E55" s="661" t="s">
        <v>1102</v>
      </c>
      <c r="F55" s="664">
        <v>1</v>
      </c>
      <c r="G55" s="664">
        <v>30.83</v>
      </c>
      <c r="H55" s="677">
        <v>1</v>
      </c>
      <c r="I55" s="664"/>
      <c r="J55" s="664"/>
      <c r="K55" s="677">
        <v>0</v>
      </c>
      <c r="L55" s="664">
        <v>1</v>
      </c>
      <c r="M55" s="665">
        <v>30.83</v>
      </c>
    </row>
    <row r="56" spans="1:13" ht="14.4" customHeight="1" x14ac:dyDescent="0.3">
      <c r="A56" s="660" t="s">
        <v>1917</v>
      </c>
      <c r="B56" s="661" t="s">
        <v>1822</v>
      </c>
      <c r="C56" s="661" t="s">
        <v>2020</v>
      </c>
      <c r="D56" s="661" t="s">
        <v>2021</v>
      </c>
      <c r="E56" s="661" t="s">
        <v>2022</v>
      </c>
      <c r="F56" s="664"/>
      <c r="G56" s="664"/>
      <c r="H56" s="677">
        <v>0</v>
      </c>
      <c r="I56" s="664">
        <v>1</v>
      </c>
      <c r="J56" s="664">
        <v>120.61</v>
      </c>
      <c r="K56" s="677">
        <v>1</v>
      </c>
      <c r="L56" s="664">
        <v>1</v>
      </c>
      <c r="M56" s="665">
        <v>120.61</v>
      </c>
    </row>
    <row r="57" spans="1:13" ht="14.4" customHeight="1" x14ac:dyDescent="0.3">
      <c r="A57" s="660" t="s">
        <v>1917</v>
      </c>
      <c r="B57" s="661" t="s">
        <v>1826</v>
      </c>
      <c r="C57" s="661" t="s">
        <v>1164</v>
      </c>
      <c r="D57" s="661" t="s">
        <v>1165</v>
      </c>
      <c r="E57" s="661" t="s">
        <v>1166</v>
      </c>
      <c r="F57" s="664"/>
      <c r="G57" s="664"/>
      <c r="H57" s="677">
        <v>0</v>
      </c>
      <c r="I57" s="664">
        <v>2</v>
      </c>
      <c r="J57" s="664">
        <v>186.86</v>
      </c>
      <c r="K57" s="677">
        <v>1</v>
      </c>
      <c r="L57" s="664">
        <v>2</v>
      </c>
      <c r="M57" s="665">
        <v>186.86</v>
      </c>
    </row>
    <row r="58" spans="1:13" ht="14.4" customHeight="1" x14ac:dyDescent="0.3">
      <c r="A58" s="660" t="s">
        <v>1917</v>
      </c>
      <c r="B58" s="661" t="s">
        <v>1826</v>
      </c>
      <c r="C58" s="661" t="s">
        <v>1998</v>
      </c>
      <c r="D58" s="661" t="s">
        <v>1165</v>
      </c>
      <c r="E58" s="661" t="s">
        <v>1999</v>
      </c>
      <c r="F58" s="664"/>
      <c r="G58" s="664"/>
      <c r="H58" s="677">
        <v>0</v>
      </c>
      <c r="I58" s="664">
        <v>3</v>
      </c>
      <c r="J58" s="664">
        <v>560.61</v>
      </c>
      <c r="K58" s="677">
        <v>1</v>
      </c>
      <c r="L58" s="664">
        <v>3</v>
      </c>
      <c r="M58" s="665">
        <v>560.61</v>
      </c>
    </row>
    <row r="59" spans="1:13" ht="14.4" customHeight="1" x14ac:dyDescent="0.3">
      <c r="A59" s="660" t="s">
        <v>1917</v>
      </c>
      <c r="B59" s="661" t="s">
        <v>1829</v>
      </c>
      <c r="C59" s="661" t="s">
        <v>1010</v>
      </c>
      <c r="D59" s="661" t="s">
        <v>1011</v>
      </c>
      <c r="E59" s="661" t="s">
        <v>1830</v>
      </c>
      <c r="F59" s="664"/>
      <c r="G59" s="664"/>
      <c r="H59" s="677">
        <v>0</v>
      </c>
      <c r="I59" s="664">
        <v>1</v>
      </c>
      <c r="J59" s="664">
        <v>72</v>
      </c>
      <c r="K59" s="677">
        <v>1</v>
      </c>
      <c r="L59" s="664">
        <v>1</v>
      </c>
      <c r="M59" s="665">
        <v>72</v>
      </c>
    </row>
    <row r="60" spans="1:13" ht="14.4" customHeight="1" x14ac:dyDescent="0.3">
      <c r="A60" s="660" t="s">
        <v>1917</v>
      </c>
      <c r="B60" s="661" t="s">
        <v>1832</v>
      </c>
      <c r="C60" s="661" t="s">
        <v>1060</v>
      </c>
      <c r="D60" s="661" t="s">
        <v>1061</v>
      </c>
      <c r="E60" s="661" t="s">
        <v>974</v>
      </c>
      <c r="F60" s="664"/>
      <c r="G60" s="664"/>
      <c r="H60" s="677">
        <v>0</v>
      </c>
      <c r="I60" s="664">
        <v>1</v>
      </c>
      <c r="J60" s="664">
        <v>65.540000000000006</v>
      </c>
      <c r="K60" s="677">
        <v>1</v>
      </c>
      <c r="L60" s="664">
        <v>1</v>
      </c>
      <c r="M60" s="665">
        <v>65.540000000000006</v>
      </c>
    </row>
    <row r="61" spans="1:13" ht="14.4" customHeight="1" x14ac:dyDescent="0.3">
      <c r="A61" s="660" t="s">
        <v>1917</v>
      </c>
      <c r="B61" s="661" t="s">
        <v>1833</v>
      </c>
      <c r="C61" s="661" t="s">
        <v>1048</v>
      </c>
      <c r="D61" s="661" t="s">
        <v>1049</v>
      </c>
      <c r="E61" s="661" t="s">
        <v>1050</v>
      </c>
      <c r="F61" s="664"/>
      <c r="G61" s="664"/>
      <c r="H61" s="677">
        <v>0</v>
      </c>
      <c r="I61" s="664">
        <v>2</v>
      </c>
      <c r="J61" s="664">
        <v>70.22</v>
      </c>
      <c r="K61" s="677">
        <v>1</v>
      </c>
      <c r="L61" s="664">
        <v>2</v>
      </c>
      <c r="M61" s="665">
        <v>70.22</v>
      </c>
    </row>
    <row r="62" spans="1:13" ht="14.4" customHeight="1" x14ac:dyDescent="0.3">
      <c r="A62" s="660" t="s">
        <v>1917</v>
      </c>
      <c r="B62" s="661" t="s">
        <v>1833</v>
      </c>
      <c r="C62" s="661" t="s">
        <v>1052</v>
      </c>
      <c r="D62" s="661" t="s">
        <v>1053</v>
      </c>
      <c r="E62" s="661" t="s">
        <v>1054</v>
      </c>
      <c r="F62" s="664"/>
      <c r="G62" s="664"/>
      <c r="H62" s="677">
        <v>0</v>
      </c>
      <c r="I62" s="664">
        <v>2</v>
      </c>
      <c r="J62" s="664">
        <v>140.46</v>
      </c>
      <c r="K62" s="677">
        <v>1</v>
      </c>
      <c r="L62" s="664">
        <v>2</v>
      </c>
      <c r="M62" s="665">
        <v>140.46</v>
      </c>
    </row>
    <row r="63" spans="1:13" ht="14.4" customHeight="1" x14ac:dyDescent="0.3">
      <c r="A63" s="660" t="s">
        <v>1917</v>
      </c>
      <c r="B63" s="661" t="s">
        <v>1833</v>
      </c>
      <c r="C63" s="661" t="s">
        <v>2036</v>
      </c>
      <c r="D63" s="661" t="s">
        <v>2037</v>
      </c>
      <c r="E63" s="661" t="s">
        <v>1054</v>
      </c>
      <c r="F63" s="664">
        <v>1</v>
      </c>
      <c r="G63" s="664">
        <v>70.23</v>
      </c>
      <c r="H63" s="677">
        <v>1</v>
      </c>
      <c r="I63" s="664"/>
      <c r="J63" s="664"/>
      <c r="K63" s="677">
        <v>0</v>
      </c>
      <c r="L63" s="664">
        <v>1</v>
      </c>
      <c r="M63" s="665">
        <v>70.23</v>
      </c>
    </row>
    <row r="64" spans="1:13" ht="14.4" customHeight="1" x14ac:dyDescent="0.3">
      <c r="A64" s="660" t="s">
        <v>1917</v>
      </c>
      <c r="B64" s="661" t="s">
        <v>1833</v>
      </c>
      <c r="C64" s="661" t="s">
        <v>2038</v>
      </c>
      <c r="D64" s="661" t="s">
        <v>2039</v>
      </c>
      <c r="E64" s="661" t="s">
        <v>1050</v>
      </c>
      <c r="F64" s="664">
        <v>1</v>
      </c>
      <c r="G64" s="664">
        <v>35.11</v>
      </c>
      <c r="H64" s="677">
        <v>1</v>
      </c>
      <c r="I64" s="664"/>
      <c r="J64" s="664"/>
      <c r="K64" s="677">
        <v>0</v>
      </c>
      <c r="L64" s="664">
        <v>1</v>
      </c>
      <c r="M64" s="665">
        <v>35.11</v>
      </c>
    </row>
    <row r="65" spans="1:13" ht="14.4" customHeight="1" x14ac:dyDescent="0.3">
      <c r="A65" s="660" t="s">
        <v>1917</v>
      </c>
      <c r="B65" s="661" t="s">
        <v>1835</v>
      </c>
      <c r="C65" s="661" t="s">
        <v>1139</v>
      </c>
      <c r="D65" s="661" t="s">
        <v>1140</v>
      </c>
      <c r="E65" s="661" t="s">
        <v>1141</v>
      </c>
      <c r="F65" s="664"/>
      <c r="G65" s="664"/>
      <c r="H65" s="677">
        <v>0</v>
      </c>
      <c r="I65" s="664">
        <v>3</v>
      </c>
      <c r="J65" s="664">
        <v>158.91</v>
      </c>
      <c r="K65" s="677">
        <v>1</v>
      </c>
      <c r="L65" s="664">
        <v>3</v>
      </c>
      <c r="M65" s="665">
        <v>158.91</v>
      </c>
    </row>
    <row r="66" spans="1:13" ht="14.4" customHeight="1" x14ac:dyDescent="0.3">
      <c r="A66" s="660" t="s">
        <v>1917</v>
      </c>
      <c r="B66" s="661" t="s">
        <v>1835</v>
      </c>
      <c r="C66" s="661" t="s">
        <v>2068</v>
      </c>
      <c r="D66" s="661" t="s">
        <v>1140</v>
      </c>
      <c r="E66" s="661" t="s">
        <v>2069</v>
      </c>
      <c r="F66" s="664"/>
      <c r="G66" s="664"/>
      <c r="H66" s="677">
        <v>0</v>
      </c>
      <c r="I66" s="664">
        <v>3</v>
      </c>
      <c r="J66" s="664">
        <v>529.74</v>
      </c>
      <c r="K66" s="677">
        <v>1</v>
      </c>
      <c r="L66" s="664">
        <v>3</v>
      </c>
      <c r="M66" s="665">
        <v>529.74</v>
      </c>
    </row>
    <row r="67" spans="1:13" ht="14.4" customHeight="1" x14ac:dyDescent="0.3">
      <c r="A67" s="660" t="s">
        <v>1917</v>
      </c>
      <c r="B67" s="661" t="s">
        <v>1836</v>
      </c>
      <c r="C67" s="661" t="s">
        <v>1964</v>
      </c>
      <c r="D67" s="661" t="s">
        <v>1965</v>
      </c>
      <c r="E67" s="661" t="s">
        <v>1875</v>
      </c>
      <c r="F67" s="664"/>
      <c r="G67" s="664"/>
      <c r="H67" s="677">
        <v>0</v>
      </c>
      <c r="I67" s="664">
        <v>1</v>
      </c>
      <c r="J67" s="664">
        <v>96.53</v>
      </c>
      <c r="K67" s="677">
        <v>1</v>
      </c>
      <c r="L67" s="664">
        <v>1</v>
      </c>
      <c r="M67" s="665">
        <v>96.53</v>
      </c>
    </row>
    <row r="68" spans="1:13" ht="14.4" customHeight="1" x14ac:dyDescent="0.3">
      <c r="A68" s="660" t="s">
        <v>1917</v>
      </c>
      <c r="B68" s="661" t="s">
        <v>1836</v>
      </c>
      <c r="C68" s="661" t="s">
        <v>2070</v>
      </c>
      <c r="D68" s="661" t="s">
        <v>2071</v>
      </c>
      <c r="E68" s="661" t="s">
        <v>1850</v>
      </c>
      <c r="F68" s="664"/>
      <c r="G68" s="664"/>
      <c r="H68" s="677">
        <v>0</v>
      </c>
      <c r="I68" s="664">
        <v>1</v>
      </c>
      <c r="J68" s="664">
        <v>48.27</v>
      </c>
      <c r="K68" s="677">
        <v>1</v>
      </c>
      <c r="L68" s="664">
        <v>1</v>
      </c>
      <c r="M68" s="665">
        <v>48.27</v>
      </c>
    </row>
    <row r="69" spans="1:13" ht="14.4" customHeight="1" x14ac:dyDescent="0.3">
      <c r="A69" s="660" t="s">
        <v>1917</v>
      </c>
      <c r="B69" s="661" t="s">
        <v>1837</v>
      </c>
      <c r="C69" s="661" t="s">
        <v>1018</v>
      </c>
      <c r="D69" s="661" t="s">
        <v>1838</v>
      </c>
      <c r="E69" s="661" t="s">
        <v>1020</v>
      </c>
      <c r="F69" s="664"/>
      <c r="G69" s="664"/>
      <c r="H69" s="677">
        <v>0</v>
      </c>
      <c r="I69" s="664">
        <v>4</v>
      </c>
      <c r="J69" s="664">
        <v>386.12</v>
      </c>
      <c r="K69" s="677">
        <v>1</v>
      </c>
      <c r="L69" s="664">
        <v>4</v>
      </c>
      <c r="M69" s="665">
        <v>386.12</v>
      </c>
    </row>
    <row r="70" spans="1:13" ht="14.4" customHeight="1" x14ac:dyDescent="0.3">
      <c r="A70" s="660" t="s">
        <v>1917</v>
      </c>
      <c r="B70" s="661" t="s">
        <v>1837</v>
      </c>
      <c r="C70" s="661" t="s">
        <v>2072</v>
      </c>
      <c r="D70" s="661" t="s">
        <v>1000</v>
      </c>
      <c r="E70" s="661" t="s">
        <v>2073</v>
      </c>
      <c r="F70" s="664"/>
      <c r="G70" s="664"/>
      <c r="H70" s="677">
        <v>0</v>
      </c>
      <c r="I70" s="664">
        <v>1</v>
      </c>
      <c r="J70" s="664">
        <v>15.61</v>
      </c>
      <c r="K70" s="677">
        <v>1</v>
      </c>
      <c r="L70" s="664">
        <v>1</v>
      </c>
      <c r="M70" s="665">
        <v>15.61</v>
      </c>
    </row>
    <row r="71" spans="1:13" ht="14.4" customHeight="1" x14ac:dyDescent="0.3">
      <c r="A71" s="660" t="s">
        <v>1917</v>
      </c>
      <c r="B71" s="661" t="s">
        <v>1837</v>
      </c>
      <c r="C71" s="661" t="s">
        <v>1970</v>
      </c>
      <c r="D71" s="661" t="s">
        <v>1003</v>
      </c>
      <c r="E71" s="661" t="s">
        <v>1971</v>
      </c>
      <c r="F71" s="664"/>
      <c r="G71" s="664"/>
      <c r="H71" s="677">
        <v>0</v>
      </c>
      <c r="I71" s="664">
        <v>1</v>
      </c>
      <c r="J71" s="664">
        <v>24.14</v>
      </c>
      <c r="K71" s="677">
        <v>1</v>
      </c>
      <c r="L71" s="664">
        <v>1</v>
      </c>
      <c r="M71" s="665">
        <v>24.14</v>
      </c>
    </row>
    <row r="72" spans="1:13" ht="14.4" customHeight="1" x14ac:dyDescent="0.3">
      <c r="A72" s="660" t="s">
        <v>1917</v>
      </c>
      <c r="B72" s="661" t="s">
        <v>1842</v>
      </c>
      <c r="C72" s="661" t="s">
        <v>1123</v>
      </c>
      <c r="D72" s="661" t="s">
        <v>1124</v>
      </c>
      <c r="E72" s="661" t="s">
        <v>1125</v>
      </c>
      <c r="F72" s="664"/>
      <c r="G72" s="664"/>
      <c r="H72" s="677">
        <v>0</v>
      </c>
      <c r="I72" s="664">
        <v>1</v>
      </c>
      <c r="J72" s="664">
        <v>109.97</v>
      </c>
      <c r="K72" s="677">
        <v>1</v>
      </c>
      <c r="L72" s="664">
        <v>1</v>
      </c>
      <c r="M72" s="665">
        <v>109.97</v>
      </c>
    </row>
    <row r="73" spans="1:13" ht="14.4" customHeight="1" x14ac:dyDescent="0.3">
      <c r="A73" s="660" t="s">
        <v>1917</v>
      </c>
      <c r="B73" s="661" t="s">
        <v>1843</v>
      </c>
      <c r="C73" s="661" t="s">
        <v>2033</v>
      </c>
      <c r="D73" s="661" t="s">
        <v>2034</v>
      </c>
      <c r="E73" s="661" t="s">
        <v>2035</v>
      </c>
      <c r="F73" s="664"/>
      <c r="G73" s="664"/>
      <c r="H73" s="677">
        <v>0</v>
      </c>
      <c r="I73" s="664">
        <v>1</v>
      </c>
      <c r="J73" s="664">
        <v>298.95999999999998</v>
      </c>
      <c r="K73" s="677">
        <v>1</v>
      </c>
      <c r="L73" s="664">
        <v>1</v>
      </c>
      <c r="M73" s="665">
        <v>298.95999999999998</v>
      </c>
    </row>
    <row r="74" spans="1:13" ht="14.4" customHeight="1" x14ac:dyDescent="0.3">
      <c r="A74" s="660" t="s">
        <v>1917</v>
      </c>
      <c r="B74" s="661" t="s">
        <v>1843</v>
      </c>
      <c r="C74" s="661" t="s">
        <v>1131</v>
      </c>
      <c r="D74" s="661" t="s">
        <v>1845</v>
      </c>
      <c r="E74" s="661" t="s">
        <v>1149</v>
      </c>
      <c r="F74" s="664"/>
      <c r="G74" s="664"/>
      <c r="H74" s="677">
        <v>0</v>
      </c>
      <c r="I74" s="664">
        <v>6</v>
      </c>
      <c r="J74" s="664">
        <v>1158.5999999999999</v>
      </c>
      <c r="K74" s="677">
        <v>1</v>
      </c>
      <c r="L74" s="664">
        <v>6</v>
      </c>
      <c r="M74" s="665">
        <v>1158.5999999999999</v>
      </c>
    </row>
    <row r="75" spans="1:13" ht="14.4" customHeight="1" x14ac:dyDescent="0.3">
      <c r="A75" s="660" t="s">
        <v>1917</v>
      </c>
      <c r="B75" s="661" t="s">
        <v>1843</v>
      </c>
      <c r="C75" s="661" t="s">
        <v>1992</v>
      </c>
      <c r="D75" s="661" t="s">
        <v>1845</v>
      </c>
      <c r="E75" s="661" t="s">
        <v>1993</v>
      </c>
      <c r="F75" s="664"/>
      <c r="G75" s="664"/>
      <c r="H75" s="677">
        <v>0</v>
      </c>
      <c r="I75" s="664">
        <v>1</v>
      </c>
      <c r="J75" s="664">
        <v>643.69000000000005</v>
      </c>
      <c r="K75" s="677">
        <v>1</v>
      </c>
      <c r="L75" s="664">
        <v>1</v>
      </c>
      <c r="M75" s="665">
        <v>643.69000000000005</v>
      </c>
    </row>
    <row r="76" spans="1:13" ht="14.4" customHeight="1" x14ac:dyDescent="0.3">
      <c r="A76" s="660" t="s">
        <v>1917</v>
      </c>
      <c r="B76" s="661" t="s">
        <v>1846</v>
      </c>
      <c r="C76" s="661" t="s">
        <v>1973</v>
      </c>
      <c r="D76" s="661" t="s">
        <v>1974</v>
      </c>
      <c r="E76" s="661" t="s">
        <v>796</v>
      </c>
      <c r="F76" s="664"/>
      <c r="G76" s="664"/>
      <c r="H76" s="677">
        <v>0</v>
      </c>
      <c r="I76" s="664">
        <v>1</v>
      </c>
      <c r="J76" s="664">
        <v>193.1</v>
      </c>
      <c r="K76" s="677">
        <v>1</v>
      </c>
      <c r="L76" s="664">
        <v>1</v>
      </c>
      <c r="M76" s="665">
        <v>193.1</v>
      </c>
    </row>
    <row r="77" spans="1:13" ht="14.4" customHeight="1" x14ac:dyDescent="0.3">
      <c r="A77" s="660" t="s">
        <v>1917</v>
      </c>
      <c r="B77" s="661" t="s">
        <v>1847</v>
      </c>
      <c r="C77" s="661" t="s">
        <v>2081</v>
      </c>
      <c r="D77" s="661" t="s">
        <v>2082</v>
      </c>
      <c r="E77" s="661" t="s">
        <v>2083</v>
      </c>
      <c r="F77" s="664">
        <v>1</v>
      </c>
      <c r="G77" s="664">
        <v>157.01</v>
      </c>
      <c r="H77" s="677">
        <v>1</v>
      </c>
      <c r="I77" s="664"/>
      <c r="J77" s="664"/>
      <c r="K77" s="677">
        <v>0</v>
      </c>
      <c r="L77" s="664">
        <v>1</v>
      </c>
      <c r="M77" s="665">
        <v>157.01</v>
      </c>
    </row>
    <row r="78" spans="1:13" ht="14.4" customHeight="1" x14ac:dyDescent="0.3">
      <c r="A78" s="660" t="s">
        <v>1917</v>
      </c>
      <c r="B78" s="661" t="s">
        <v>1851</v>
      </c>
      <c r="C78" s="661" t="s">
        <v>2050</v>
      </c>
      <c r="D78" s="661" t="s">
        <v>1560</v>
      </c>
      <c r="E78" s="661" t="s">
        <v>2051</v>
      </c>
      <c r="F78" s="664"/>
      <c r="G78" s="664"/>
      <c r="H78" s="677">
        <v>0</v>
      </c>
      <c r="I78" s="664">
        <v>1</v>
      </c>
      <c r="J78" s="664">
        <v>62.24</v>
      </c>
      <c r="K78" s="677">
        <v>1</v>
      </c>
      <c r="L78" s="664">
        <v>1</v>
      </c>
      <c r="M78" s="665">
        <v>62.24</v>
      </c>
    </row>
    <row r="79" spans="1:13" ht="14.4" customHeight="1" x14ac:dyDescent="0.3">
      <c r="A79" s="660" t="s">
        <v>1917</v>
      </c>
      <c r="B79" s="661" t="s">
        <v>1851</v>
      </c>
      <c r="C79" s="661" t="s">
        <v>2052</v>
      </c>
      <c r="D79" s="661" t="s">
        <v>2053</v>
      </c>
      <c r="E79" s="661" t="s">
        <v>2054</v>
      </c>
      <c r="F79" s="664"/>
      <c r="G79" s="664"/>
      <c r="H79" s="677">
        <v>0</v>
      </c>
      <c r="I79" s="664">
        <v>1</v>
      </c>
      <c r="J79" s="664">
        <v>48.37</v>
      </c>
      <c r="K79" s="677">
        <v>1</v>
      </c>
      <c r="L79" s="664">
        <v>1</v>
      </c>
      <c r="M79" s="665">
        <v>48.37</v>
      </c>
    </row>
    <row r="80" spans="1:13" ht="14.4" customHeight="1" x14ac:dyDescent="0.3">
      <c r="A80" s="660" t="s">
        <v>1917</v>
      </c>
      <c r="B80" s="661" t="s">
        <v>1851</v>
      </c>
      <c r="C80" s="661" t="s">
        <v>2055</v>
      </c>
      <c r="D80" s="661" t="s">
        <v>1852</v>
      </c>
      <c r="E80" s="661" t="s">
        <v>2056</v>
      </c>
      <c r="F80" s="664"/>
      <c r="G80" s="664"/>
      <c r="H80" s="677"/>
      <c r="I80" s="664">
        <v>1</v>
      </c>
      <c r="J80" s="664">
        <v>0</v>
      </c>
      <c r="K80" s="677"/>
      <c r="L80" s="664">
        <v>1</v>
      </c>
      <c r="M80" s="665">
        <v>0</v>
      </c>
    </row>
    <row r="81" spans="1:13" ht="14.4" customHeight="1" x14ac:dyDescent="0.3">
      <c r="A81" s="660" t="s">
        <v>1917</v>
      </c>
      <c r="B81" s="661" t="s">
        <v>1856</v>
      </c>
      <c r="C81" s="661" t="s">
        <v>2031</v>
      </c>
      <c r="D81" s="661" t="s">
        <v>1857</v>
      </c>
      <c r="E81" s="661" t="s">
        <v>2032</v>
      </c>
      <c r="F81" s="664">
        <v>1</v>
      </c>
      <c r="G81" s="664">
        <v>0</v>
      </c>
      <c r="H81" s="677"/>
      <c r="I81" s="664"/>
      <c r="J81" s="664"/>
      <c r="K81" s="677"/>
      <c r="L81" s="664">
        <v>1</v>
      </c>
      <c r="M81" s="665">
        <v>0</v>
      </c>
    </row>
    <row r="82" spans="1:13" ht="14.4" customHeight="1" x14ac:dyDescent="0.3">
      <c r="A82" s="660" t="s">
        <v>1917</v>
      </c>
      <c r="B82" s="661" t="s">
        <v>2581</v>
      </c>
      <c r="C82" s="661" t="s">
        <v>2077</v>
      </c>
      <c r="D82" s="661" t="s">
        <v>2078</v>
      </c>
      <c r="E82" s="661" t="s">
        <v>2079</v>
      </c>
      <c r="F82" s="664"/>
      <c r="G82" s="664"/>
      <c r="H82" s="677">
        <v>0</v>
      </c>
      <c r="I82" s="664">
        <v>1</v>
      </c>
      <c r="J82" s="664">
        <v>123.2</v>
      </c>
      <c r="K82" s="677">
        <v>1</v>
      </c>
      <c r="L82" s="664">
        <v>1</v>
      </c>
      <c r="M82" s="665">
        <v>123.2</v>
      </c>
    </row>
    <row r="83" spans="1:13" ht="14.4" customHeight="1" x14ac:dyDescent="0.3">
      <c r="A83" s="660" t="s">
        <v>1918</v>
      </c>
      <c r="B83" s="661" t="s">
        <v>1811</v>
      </c>
      <c r="C83" s="661" t="s">
        <v>2129</v>
      </c>
      <c r="D83" s="661" t="s">
        <v>997</v>
      </c>
      <c r="E83" s="661" t="s">
        <v>2130</v>
      </c>
      <c r="F83" s="664"/>
      <c r="G83" s="664"/>
      <c r="H83" s="677">
        <v>0</v>
      </c>
      <c r="I83" s="664">
        <v>1</v>
      </c>
      <c r="J83" s="664">
        <v>46.85</v>
      </c>
      <c r="K83" s="677">
        <v>1</v>
      </c>
      <c r="L83" s="664">
        <v>1</v>
      </c>
      <c r="M83" s="665">
        <v>46.85</v>
      </c>
    </row>
    <row r="84" spans="1:13" ht="14.4" customHeight="1" x14ac:dyDescent="0.3">
      <c r="A84" s="660" t="s">
        <v>1918</v>
      </c>
      <c r="B84" s="661" t="s">
        <v>1811</v>
      </c>
      <c r="C84" s="661" t="s">
        <v>2131</v>
      </c>
      <c r="D84" s="661" t="s">
        <v>1057</v>
      </c>
      <c r="E84" s="661" t="s">
        <v>1058</v>
      </c>
      <c r="F84" s="664"/>
      <c r="G84" s="664"/>
      <c r="H84" s="677"/>
      <c r="I84" s="664">
        <v>1</v>
      </c>
      <c r="J84" s="664">
        <v>0</v>
      </c>
      <c r="K84" s="677"/>
      <c r="L84" s="664">
        <v>1</v>
      </c>
      <c r="M84" s="665">
        <v>0</v>
      </c>
    </row>
    <row r="85" spans="1:13" ht="14.4" customHeight="1" x14ac:dyDescent="0.3">
      <c r="A85" s="660" t="s">
        <v>1918</v>
      </c>
      <c r="B85" s="661" t="s">
        <v>1811</v>
      </c>
      <c r="C85" s="661" t="s">
        <v>2132</v>
      </c>
      <c r="D85" s="661" t="s">
        <v>1057</v>
      </c>
      <c r="E85" s="661" t="s">
        <v>2133</v>
      </c>
      <c r="F85" s="664"/>
      <c r="G85" s="664"/>
      <c r="H85" s="677"/>
      <c r="I85" s="664">
        <v>1</v>
      </c>
      <c r="J85" s="664">
        <v>0</v>
      </c>
      <c r="K85" s="677"/>
      <c r="L85" s="664">
        <v>1</v>
      </c>
      <c r="M85" s="665">
        <v>0</v>
      </c>
    </row>
    <row r="86" spans="1:13" ht="14.4" customHeight="1" x14ac:dyDescent="0.3">
      <c r="A86" s="660" t="s">
        <v>1918</v>
      </c>
      <c r="B86" s="661" t="s">
        <v>1811</v>
      </c>
      <c r="C86" s="661" t="s">
        <v>2134</v>
      </c>
      <c r="D86" s="661" t="s">
        <v>1057</v>
      </c>
      <c r="E86" s="661" t="s">
        <v>2135</v>
      </c>
      <c r="F86" s="664"/>
      <c r="G86" s="664"/>
      <c r="H86" s="677"/>
      <c r="I86" s="664">
        <v>1</v>
      </c>
      <c r="J86" s="664">
        <v>0</v>
      </c>
      <c r="K86" s="677"/>
      <c r="L86" s="664">
        <v>1</v>
      </c>
      <c r="M86" s="665">
        <v>0</v>
      </c>
    </row>
    <row r="87" spans="1:13" ht="14.4" customHeight="1" x14ac:dyDescent="0.3">
      <c r="A87" s="660" t="s">
        <v>1918</v>
      </c>
      <c r="B87" s="661" t="s">
        <v>1820</v>
      </c>
      <c r="C87" s="661" t="s">
        <v>2125</v>
      </c>
      <c r="D87" s="661" t="s">
        <v>2126</v>
      </c>
      <c r="E87" s="661" t="s">
        <v>2127</v>
      </c>
      <c r="F87" s="664">
        <v>1</v>
      </c>
      <c r="G87" s="664">
        <v>0</v>
      </c>
      <c r="H87" s="677"/>
      <c r="I87" s="664"/>
      <c r="J87" s="664"/>
      <c r="K87" s="677"/>
      <c r="L87" s="664">
        <v>1</v>
      </c>
      <c r="M87" s="665">
        <v>0</v>
      </c>
    </row>
    <row r="88" spans="1:13" ht="14.4" customHeight="1" x14ac:dyDescent="0.3">
      <c r="A88" s="660" t="s">
        <v>1918</v>
      </c>
      <c r="B88" s="661" t="s">
        <v>1821</v>
      </c>
      <c r="C88" s="661" t="s">
        <v>1100</v>
      </c>
      <c r="D88" s="661" t="s">
        <v>1101</v>
      </c>
      <c r="E88" s="661" t="s">
        <v>1102</v>
      </c>
      <c r="F88" s="664"/>
      <c r="G88" s="664"/>
      <c r="H88" s="677">
        <v>0</v>
      </c>
      <c r="I88" s="664">
        <v>1</v>
      </c>
      <c r="J88" s="664">
        <v>30.83</v>
      </c>
      <c r="K88" s="677">
        <v>1</v>
      </c>
      <c r="L88" s="664">
        <v>1</v>
      </c>
      <c r="M88" s="665">
        <v>30.83</v>
      </c>
    </row>
    <row r="89" spans="1:13" ht="14.4" customHeight="1" x14ac:dyDescent="0.3">
      <c r="A89" s="660" t="s">
        <v>1918</v>
      </c>
      <c r="B89" s="661" t="s">
        <v>1822</v>
      </c>
      <c r="C89" s="661" t="s">
        <v>2150</v>
      </c>
      <c r="D89" s="661" t="s">
        <v>2151</v>
      </c>
      <c r="E89" s="661" t="s">
        <v>2015</v>
      </c>
      <c r="F89" s="664"/>
      <c r="G89" s="664"/>
      <c r="H89" s="677">
        <v>0</v>
      </c>
      <c r="I89" s="664">
        <v>1</v>
      </c>
      <c r="J89" s="664">
        <v>92.38</v>
      </c>
      <c r="K89" s="677">
        <v>1</v>
      </c>
      <c r="L89" s="664">
        <v>1</v>
      </c>
      <c r="M89" s="665">
        <v>92.38</v>
      </c>
    </row>
    <row r="90" spans="1:13" ht="14.4" customHeight="1" x14ac:dyDescent="0.3">
      <c r="A90" s="660" t="s">
        <v>1918</v>
      </c>
      <c r="B90" s="661" t="s">
        <v>1826</v>
      </c>
      <c r="C90" s="661" t="s">
        <v>1164</v>
      </c>
      <c r="D90" s="661" t="s">
        <v>1165</v>
      </c>
      <c r="E90" s="661" t="s">
        <v>1166</v>
      </c>
      <c r="F90" s="664"/>
      <c r="G90" s="664"/>
      <c r="H90" s="677">
        <v>0</v>
      </c>
      <c r="I90" s="664">
        <v>1</v>
      </c>
      <c r="J90" s="664">
        <v>93.43</v>
      </c>
      <c r="K90" s="677">
        <v>1</v>
      </c>
      <c r="L90" s="664">
        <v>1</v>
      </c>
      <c r="M90" s="665">
        <v>93.43</v>
      </c>
    </row>
    <row r="91" spans="1:13" ht="14.4" customHeight="1" x14ac:dyDescent="0.3">
      <c r="A91" s="660" t="s">
        <v>1918</v>
      </c>
      <c r="B91" s="661" t="s">
        <v>1826</v>
      </c>
      <c r="C91" s="661" t="s">
        <v>2119</v>
      </c>
      <c r="D91" s="661" t="s">
        <v>1165</v>
      </c>
      <c r="E91" s="661" t="s">
        <v>2120</v>
      </c>
      <c r="F91" s="664">
        <v>1</v>
      </c>
      <c r="G91" s="664">
        <v>0</v>
      </c>
      <c r="H91" s="677"/>
      <c r="I91" s="664"/>
      <c r="J91" s="664"/>
      <c r="K91" s="677"/>
      <c r="L91" s="664">
        <v>1</v>
      </c>
      <c r="M91" s="665">
        <v>0</v>
      </c>
    </row>
    <row r="92" spans="1:13" ht="14.4" customHeight="1" x14ac:dyDescent="0.3">
      <c r="A92" s="660" t="s">
        <v>1918</v>
      </c>
      <c r="B92" s="661" t="s">
        <v>1829</v>
      </c>
      <c r="C92" s="661" t="s">
        <v>2096</v>
      </c>
      <c r="D92" s="661" t="s">
        <v>2097</v>
      </c>
      <c r="E92" s="661" t="s">
        <v>1830</v>
      </c>
      <c r="F92" s="664">
        <v>1</v>
      </c>
      <c r="G92" s="664">
        <v>0</v>
      </c>
      <c r="H92" s="677"/>
      <c r="I92" s="664"/>
      <c r="J92" s="664"/>
      <c r="K92" s="677"/>
      <c r="L92" s="664">
        <v>1</v>
      </c>
      <c r="M92" s="665">
        <v>0</v>
      </c>
    </row>
    <row r="93" spans="1:13" ht="14.4" customHeight="1" x14ac:dyDescent="0.3">
      <c r="A93" s="660" t="s">
        <v>1918</v>
      </c>
      <c r="B93" s="661" t="s">
        <v>1832</v>
      </c>
      <c r="C93" s="661" t="s">
        <v>2105</v>
      </c>
      <c r="D93" s="661" t="s">
        <v>2106</v>
      </c>
      <c r="E93" s="661" t="s">
        <v>796</v>
      </c>
      <c r="F93" s="664">
        <v>1</v>
      </c>
      <c r="G93" s="664">
        <v>70.23</v>
      </c>
      <c r="H93" s="677">
        <v>1</v>
      </c>
      <c r="I93" s="664"/>
      <c r="J93" s="664"/>
      <c r="K93" s="677">
        <v>0</v>
      </c>
      <c r="L93" s="664">
        <v>1</v>
      </c>
      <c r="M93" s="665">
        <v>70.23</v>
      </c>
    </row>
    <row r="94" spans="1:13" ht="14.4" customHeight="1" x14ac:dyDescent="0.3">
      <c r="A94" s="660" t="s">
        <v>1918</v>
      </c>
      <c r="B94" s="661" t="s">
        <v>1833</v>
      </c>
      <c r="C94" s="661" t="s">
        <v>2107</v>
      </c>
      <c r="D94" s="661" t="s">
        <v>2108</v>
      </c>
      <c r="E94" s="661" t="s">
        <v>2109</v>
      </c>
      <c r="F94" s="664">
        <v>1</v>
      </c>
      <c r="G94" s="664">
        <v>16.38</v>
      </c>
      <c r="H94" s="677">
        <v>1</v>
      </c>
      <c r="I94" s="664"/>
      <c r="J94" s="664"/>
      <c r="K94" s="677">
        <v>0</v>
      </c>
      <c r="L94" s="664">
        <v>1</v>
      </c>
      <c r="M94" s="665">
        <v>16.38</v>
      </c>
    </row>
    <row r="95" spans="1:13" ht="14.4" customHeight="1" x14ac:dyDescent="0.3">
      <c r="A95" s="660" t="s">
        <v>1918</v>
      </c>
      <c r="B95" s="661" t="s">
        <v>1833</v>
      </c>
      <c r="C95" s="661" t="s">
        <v>1048</v>
      </c>
      <c r="D95" s="661" t="s">
        <v>1049</v>
      </c>
      <c r="E95" s="661" t="s">
        <v>1050</v>
      </c>
      <c r="F95" s="664"/>
      <c r="G95" s="664"/>
      <c r="H95" s="677">
        <v>0</v>
      </c>
      <c r="I95" s="664">
        <v>6</v>
      </c>
      <c r="J95" s="664">
        <v>210.66</v>
      </c>
      <c r="K95" s="677">
        <v>1</v>
      </c>
      <c r="L95" s="664">
        <v>6</v>
      </c>
      <c r="M95" s="665">
        <v>210.66</v>
      </c>
    </row>
    <row r="96" spans="1:13" ht="14.4" customHeight="1" x14ac:dyDescent="0.3">
      <c r="A96" s="660" t="s">
        <v>1918</v>
      </c>
      <c r="B96" s="661" t="s">
        <v>1833</v>
      </c>
      <c r="C96" s="661" t="s">
        <v>1052</v>
      </c>
      <c r="D96" s="661" t="s">
        <v>1053</v>
      </c>
      <c r="E96" s="661" t="s">
        <v>1054</v>
      </c>
      <c r="F96" s="664"/>
      <c r="G96" s="664"/>
      <c r="H96" s="677">
        <v>0</v>
      </c>
      <c r="I96" s="664">
        <v>1</v>
      </c>
      <c r="J96" s="664">
        <v>70.23</v>
      </c>
      <c r="K96" s="677">
        <v>1</v>
      </c>
      <c r="L96" s="664">
        <v>1</v>
      </c>
      <c r="M96" s="665">
        <v>70.23</v>
      </c>
    </row>
    <row r="97" spans="1:13" ht="14.4" customHeight="1" x14ac:dyDescent="0.3">
      <c r="A97" s="660" t="s">
        <v>1918</v>
      </c>
      <c r="B97" s="661" t="s">
        <v>1834</v>
      </c>
      <c r="C97" s="661" t="s">
        <v>2116</v>
      </c>
      <c r="D97" s="661" t="s">
        <v>2117</v>
      </c>
      <c r="E97" s="661" t="s">
        <v>2118</v>
      </c>
      <c r="F97" s="664">
        <v>1</v>
      </c>
      <c r="G97" s="664">
        <v>0</v>
      </c>
      <c r="H97" s="677"/>
      <c r="I97" s="664"/>
      <c r="J97" s="664"/>
      <c r="K97" s="677"/>
      <c r="L97" s="664">
        <v>1</v>
      </c>
      <c r="M97" s="665">
        <v>0</v>
      </c>
    </row>
    <row r="98" spans="1:13" ht="14.4" customHeight="1" x14ac:dyDescent="0.3">
      <c r="A98" s="660" t="s">
        <v>1918</v>
      </c>
      <c r="B98" s="661" t="s">
        <v>1836</v>
      </c>
      <c r="C98" s="661" t="s">
        <v>2136</v>
      </c>
      <c r="D98" s="661" t="s">
        <v>1094</v>
      </c>
      <c r="E98" s="661" t="s">
        <v>2137</v>
      </c>
      <c r="F98" s="664">
        <v>1</v>
      </c>
      <c r="G98" s="664">
        <v>0</v>
      </c>
      <c r="H98" s="677"/>
      <c r="I98" s="664"/>
      <c r="J98" s="664"/>
      <c r="K98" s="677"/>
      <c r="L98" s="664">
        <v>1</v>
      </c>
      <c r="M98" s="665">
        <v>0</v>
      </c>
    </row>
    <row r="99" spans="1:13" ht="14.4" customHeight="1" x14ac:dyDescent="0.3">
      <c r="A99" s="660" t="s">
        <v>1918</v>
      </c>
      <c r="B99" s="661" t="s">
        <v>1836</v>
      </c>
      <c r="C99" s="661" t="s">
        <v>1963</v>
      </c>
      <c r="D99" s="661" t="s">
        <v>1094</v>
      </c>
      <c r="E99" s="661" t="s">
        <v>1050</v>
      </c>
      <c r="F99" s="664"/>
      <c r="G99" s="664"/>
      <c r="H99" s="677">
        <v>0</v>
      </c>
      <c r="I99" s="664">
        <v>1</v>
      </c>
      <c r="J99" s="664">
        <v>48.27</v>
      </c>
      <c r="K99" s="677">
        <v>1</v>
      </c>
      <c r="L99" s="664">
        <v>1</v>
      </c>
      <c r="M99" s="665">
        <v>48.27</v>
      </c>
    </row>
    <row r="100" spans="1:13" ht="14.4" customHeight="1" x14ac:dyDescent="0.3">
      <c r="A100" s="660" t="s">
        <v>1918</v>
      </c>
      <c r="B100" s="661" t="s">
        <v>1836</v>
      </c>
      <c r="C100" s="661" t="s">
        <v>2138</v>
      </c>
      <c r="D100" s="661" t="s">
        <v>1094</v>
      </c>
      <c r="E100" s="661" t="s">
        <v>2139</v>
      </c>
      <c r="F100" s="664">
        <v>1</v>
      </c>
      <c r="G100" s="664">
        <v>0</v>
      </c>
      <c r="H100" s="677"/>
      <c r="I100" s="664"/>
      <c r="J100" s="664"/>
      <c r="K100" s="677"/>
      <c r="L100" s="664">
        <v>1</v>
      </c>
      <c r="M100" s="665">
        <v>0</v>
      </c>
    </row>
    <row r="101" spans="1:13" ht="14.4" customHeight="1" x14ac:dyDescent="0.3">
      <c r="A101" s="660" t="s">
        <v>1918</v>
      </c>
      <c r="B101" s="661" t="s">
        <v>1837</v>
      </c>
      <c r="C101" s="661" t="s">
        <v>1018</v>
      </c>
      <c r="D101" s="661" t="s">
        <v>1838</v>
      </c>
      <c r="E101" s="661" t="s">
        <v>1020</v>
      </c>
      <c r="F101" s="664"/>
      <c r="G101" s="664"/>
      <c r="H101" s="677">
        <v>0</v>
      </c>
      <c r="I101" s="664">
        <v>1</v>
      </c>
      <c r="J101" s="664">
        <v>96.53</v>
      </c>
      <c r="K101" s="677">
        <v>1</v>
      </c>
      <c r="L101" s="664">
        <v>1</v>
      </c>
      <c r="M101" s="665">
        <v>96.53</v>
      </c>
    </row>
    <row r="102" spans="1:13" ht="14.4" customHeight="1" x14ac:dyDescent="0.3">
      <c r="A102" s="660" t="s">
        <v>1918</v>
      </c>
      <c r="B102" s="661" t="s">
        <v>1837</v>
      </c>
      <c r="C102" s="661" t="s">
        <v>2072</v>
      </c>
      <c r="D102" s="661" t="s">
        <v>1000</v>
      </c>
      <c r="E102" s="661" t="s">
        <v>2073</v>
      </c>
      <c r="F102" s="664"/>
      <c r="G102" s="664"/>
      <c r="H102" s="677">
        <v>0</v>
      </c>
      <c r="I102" s="664">
        <v>1</v>
      </c>
      <c r="J102" s="664">
        <v>15.61</v>
      </c>
      <c r="K102" s="677">
        <v>1</v>
      </c>
      <c r="L102" s="664">
        <v>1</v>
      </c>
      <c r="M102" s="665">
        <v>15.61</v>
      </c>
    </row>
    <row r="103" spans="1:13" ht="14.4" customHeight="1" x14ac:dyDescent="0.3">
      <c r="A103" s="660" t="s">
        <v>1918</v>
      </c>
      <c r="B103" s="661" t="s">
        <v>1837</v>
      </c>
      <c r="C103" s="661" t="s">
        <v>1970</v>
      </c>
      <c r="D103" s="661" t="s">
        <v>1003</v>
      </c>
      <c r="E103" s="661" t="s">
        <v>1971</v>
      </c>
      <c r="F103" s="664"/>
      <c r="G103" s="664"/>
      <c r="H103" s="677">
        <v>0</v>
      </c>
      <c r="I103" s="664">
        <v>1</v>
      </c>
      <c r="J103" s="664">
        <v>24.14</v>
      </c>
      <c r="K103" s="677">
        <v>1</v>
      </c>
      <c r="L103" s="664">
        <v>1</v>
      </c>
      <c r="M103" s="665">
        <v>24.14</v>
      </c>
    </row>
    <row r="104" spans="1:13" ht="14.4" customHeight="1" x14ac:dyDescent="0.3">
      <c r="A104" s="660" t="s">
        <v>1918</v>
      </c>
      <c r="B104" s="661" t="s">
        <v>1843</v>
      </c>
      <c r="C104" s="661" t="s">
        <v>1085</v>
      </c>
      <c r="D104" s="661" t="s">
        <v>1844</v>
      </c>
      <c r="E104" s="661" t="s">
        <v>796</v>
      </c>
      <c r="F104" s="664"/>
      <c r="G104" s="664"/>
      <c r="H104" s="677">
        <v>0</v>
      </c>
      <c r="I104" s="664">
        <v>1</v>
      </c>
      <c r="J104" s="664">
        <v>124.91</v>
      </c>
      <c r="K104" s="677">
        <v>1</v>
      </c>
      <c r="L104" s="664">
        <v>1</v>
      </c>
      <c r="M104" s="665">
        <v>124.91</v>
      </c>
    </row>
    <row r="105" spans="1:13" ht="14.4" customHeight="1" x14ac:dyDescent="0.3">
      <c r="A105" s="660" t="s">
        <v>1918</v>
      </c>
      <c r="B105" s="661" t="s">
        <v>1843</v>
      </c>
      <c r="C105" s="661" t="s">
        <v>1131</v>
      </c>
      <c r="D105" s="661" t="s">
        <v>1845</v>
      </c>
      <c r="E105" s="661" t="s">
        <v>1149</v>
      </c>
      <c r="F105" s="664"/>
      <c r="G105" s="664"/>
      <c r="H105" s="677">
        <v>0</v>
      </c>
      <c r="I105" s="664">
        <v>3</v>
      </c>
      <c r="J105" s="664">
        <v>579.29999999999995</v>
      </c>
      <c r="K105" s="677">
        <v>1</v>
      </c>
      <c r="L105" s="664">
        <v>3</v>
      </c>
      <c r="M105" s="665">
        <v>579.29999999999995</v>
      </c>
    </row>
    <row r="106" spans="1:13" ht="14.4" customHeight="1" x14ac:dyDescent="0.3">
      <c r="A106" s="660" t="s">
        <v>1918</v>
      </c>
      <c r="B106" s="661" t="s">
        <v>1843</v>
      </c>
      <c r="C106" s="661" t="s">
        <v>2103</v>
      </c>
      <c r="D106" s="661" t="s">
        <v>1845</v>
      </c>
      <c r="E106" s="661" t="s">
        <v>2104</v>
      </c>
      <c r="F106" s="664">
        <v>1</v>
      </c>
      <c r="G106" s="664">
        <v>0</v>
      </c>
      <c r="H106" s="677"/>
      <c r="I106" s="664"/>
      <c r="J106" s="664"/>
      <c r="K106" s="677"/>
      <c r="L106" s="664">
        <v>1</v>
      </c>
      <c r="M106" s="665">
        <v>0</v>
      </c>
    </row>
    <row r="107" spans="1:13" ht="14.4" customHeight="1" x14ac:dyDescent="0.3">
      <c r="A107" s="660" t="s">
        <v>1918</v>
      </c>
      <c r="B107" s="661" t="s">
        <v>1846</v>
      </c>
      <c r="C107" s="661" t="s">
        <v>1147</v>
      </c>
      <c r="D107" s="661" t="s">
        <v>1148</v>
      </c>
      <c r="E107" s="661" t="s">
        <v>1149</v>
      </c>
      <c r="F107" s="664"/>
      <c r="G107" s="664"/>
      <c r="H107" s="677">
        <v>0</v>
      </c>
      <c r="I107" s="664">
        <v>1</v>
      </c>
      <c r="J107" s="664">
        <v>298.95999999999998</v>
      </c>
      <c r="K107" s="677">
        <v>1</v>
      </c>
      <c r="L107" s="664">
        <v>1</v>
      </c>
      <c r="M107" s="665">
        <v>298.95999999999998</v>
      </c>
    </row>
    <row r="108" spans="1:13" ht="14.4" customHeight="1" x14ac:dyDescent="0.3">
      <c r="A108" s="660" t="s">
        <v>1918</v>
      </c>
      <c r="B108" s="661" t="s">
        <v>1885</v>
      </c>
      <c r="C108" s="661" t="s">
        <v>1630</v>
      </c>
      <c r="D108" s="661" t="s">
        <v>1631</v>
      </c>
      <c r="E108" s="661" t="s">
        <v>1632</v>
      </c>
      <c r="F108" s="664"/>
      <c r="G108" s="664"/>
      <c r="H108" s="677">
        <v>0</v>
      </c>
      <c r="I108" s="664">
        <v>2</v>
      </c>
      <c r="J108" s="664">
        <v>239.4</v>
      </c>
      <c r="K108" s="677">
        <v>1</v>
      </c>
      <c r="L108" s="664">
        <v>2</v>
      </c>
      <c r="M108" s="665">
        <v>239.4</v>
      </c>
    </row>
    <row r="109" spans="1:13" ht="14.4" customHeight="1" x14ac:dyDescent="0.3">
      <c r="A109" s="660" t="s">
        <v>1919</v>
      </c>
      <c r="B109" s="661" t="s">
        <v>1872</v>
      </c>
      <c r="C109" s="661" t="s">
        <v>2284</v>
      </c>
      <c r="D109" s="661" t="s">
        <v>2285</v>
      </c>
      <c r="E109" s="661" t="s">
        <v>2286</v>
      </c>
      <c r="F109" s="664"/>
      <c r="G109" s="664"/>
      <c r="H109" s="677"/>
      <c r="I109" s="664">
        <v>3</v>
      </c>
      <c r="J109" s="664">
        <v>0</v>
      </c>
      <c r="K109" s="677"/>
      <c r="L109" s="664">
        <v>3</v>
      </c>
      <c r="M109" s="665">
        <v>0</v>
      </c>
    </row>
    <row r="110" spans="1:13" ht="14.4" customHeight="1" x14ac:dyDescent="0.3">
      <c r="A110" s="660" t="s">
        <v>1920</v>
      </c>
      <c r="B110" s="661" t="s">
        <v>1811</v>
      </c>
      <c r="C110" s="661" t="s">
        <v>1157</v>
      </c>
      <c r="D110" s="661" t="s">
        <v>1057</v>
      </c>
      <c r="E110" s="661" t="s">
        <v>1812</v>
      </c>
      <c r="F110" s="664"/>
      <c r="G110" s="664"/>
      <c r="H110" s="677">
        <v>0</v>
      </c>
      <c r="I110" s="664">
        <v>4</v>
      </c>
      <c r="J110" s="664">
        <v>1338.64</v>
      </c>
      <c r="K110" s="677">
        <v>1</v>
      </c>
      <c r="L110" s="664">
        <v>4</v>
      </c>
      <c r="M110" s="665">
        <v>1338.64</v>
      </c>
    </row>
    <row r="111" spans="1:13" ht="14.4" customHeight="1" x14ac:dyDescent="0.3">
      <c r="A111" s="660" t="s">
        <v>1920</v>
      </c>
      <c r="B111" s="661" t="s">
        <v>1811</v>
      </c>
      <c r="C111" s="661" t="s">
        <v>2411</v>
      </c>
      <c r="D111" s="661" t="s">
        <v>1057</v>
      </c>
      <c r="E111" s="661" t="s">
        <v>2412</v>
      </c>
      <c r="F111" s="664"/>
      <c r="G111" s="664"/>
      <c r="H111" s="677"/>
      <c r="I111" s="664">
        <v>1</v>
      </c>
      <c r="J111" s="664">
        <v>0</v>
      </c>
      <c r="K111" s="677"/>
      <c r="L111" s="664">
        <v>1</v>
      </c>
      <c r="M111" s="665">
        <v>0</v>
      </c>
    </row>
    <row r="112" spans="1:13" ht="14.4" customHeight="1" x14ac:dyDescent="0.3">
      <c r="A112" s="660" t="s">
        <v>1920</v>
      </c>
      <c r="B112" s="661" t="s">
        <v>1820</v>
      </c>
      <c r="C112" s="661" t="s">
        <v>2375</v>
      </c>
      <c r="D112" s="661" t="s">
        <v>2376</v>
      </c>
      <c r="E112" s="661" t="s">
        <v>2377</v>
      </c>
      <c r="F112" s="664">
        <v>2</v>
      </c>
      <c r="G112" s="664">
        <v>0</v>
      </c>
      <c r="H112" s="677"/>
      <c r="I112" s="664"/>
      <c r="J112" s="664"/>
      <c r="K112" s="677"/>
      <c r="L112" s="664">
        <v>2</v>
      </c>
      <c r="M112" s="665">
        <v>0</v>
      </c>
    </row>
    <row r="113" spans="1:13" ht="14.4" customHeight="1" x14ac:dyDescent="0.3">
      <c r="A113" s="660" t="s">
        <v>1920</v>
      </c>
      <c r="B113" s="661" t="s">
        <v>1821</v>
      </c>
      <c r="C113" s="661" t="s">
        <v>2344</v>
      </c>
      <c r="D113" s="661" t="s">
        <v>2345</v>
      </c>
      <c r="E113" s="661" t="s">
        <v>2346</v>
      </c>
      <c r="F113" s="664">
        <v>3</v>
      </c>
      <c r="G113" s="664">
        <v>138.75</v>
      </c>
      <c r="H113" s="677">
        <v>1</v>
      </c>
      <c r="I113" s="664"/>
      <c r="J113" s="664"/>
      <c r="K113" s="677">
        <v>0</v>
      </c>
      <c r="L113" s="664">
        <v>3</v>
      </c>
      <c r="M113" s="665">
        <v>138.75</v>
      </c>
    </row>
    <row r="114" spans="1:13" ht="14.4" customHeight="1" x14ac:dyDescent="0.3">
      <c r="A114" s="660" t="s">
        <v>1920</v>
      </c>
      <c r="B114" s="661" t="s">
        <v>1822</v>
      </c>
      <c r="C114" s="661" t="s">
        <v>2020</v>
      </c>
      <c r="D114" s="661" t="s">
        <v>2021</v>
      </c>
      <c r="E114" s="661" t="s">
        <v>2022</v>
      </c>
      <c r="F114" s="664"/>
      <c r="G114" s="664"/>
      <c r="H114" s="677">
        <v>0</v>
      </c>
      <c r="I114" s="664">
        <v>4</v>
      </c>
      <c r="J114" s="664">
        <v>482.44</v>
      </c>
      <c r="K114" s="677">
        <v>1</v>
      </c>
      <c r="L114" s="664">
        <v>4</v>
      </c>
      <c r="M114" s="665">
        <v>482.44</v>
      </c>
    </row>
    <row r="115" spans="1:13" ht="14.4" customHeight="1" x14ac:dyDescent="0.3">
      <c r="A115" s="660" t="s">
        <v>1920</v>
      </c>
      <c r="B115" s="661" t="s">
        <v>1822</v>
      </c>
      <c r="C115" s="661" t="s">
        <v>1089</v>
      </c>
      <c r="D115" s="661" t="s">
        <v>1823</v>
      </c>
      <c r="E115" s="661" t="s">
        <v>1824</v>
      </c>
      <c r="F115" s="664"/>
      <c r="G115" s="664"/>
      <c r="H115" s="677">
        <v>0</v>
      </c>
      <c r="I115" s="664">
        <v>5</v>
      </c>
      <c r="J115" s="664">
        <v>923.7</v>
      </c>
      <c r="K115" s="677">
        <v>1</v>
      </c>
      <c r="L115" s="664">
        <v>5</v>
      </c>
      <c r="M115" s="665">
        <v>923.7</v>
      </c>
    </row>
    <row r="116" spans="1:13" ht="14.4" customHeight="1" x14ac:dyDescent="0.3">
      <c r="A116" s="660" t="s">
        <v>1920</v>
      </c>
      <c r="B116" s="661" t="s">
        <v>1825</v>
      </c>
      <c r="C116" s="661" t="s">
        <v>1071</v>
      </c>
      <c r="D116" s="661" t="s">
        <v>1072</v>
      </c>
      <c r="E116" s="661" t="s">
        <v>1036</v>
      </c>
      <c r="F116" s="664"/>
      <c r="G116" s="664"/>
      <c r="H116" s="677">
        <v>0</v>
      </c>
      <c r="I116" s="664">
        <v>1</v>
      </c>
      <c r="J116" s="664">
        <v>1385.62</v>
      </c>
      <c r="K116" s="677">
        <v>1</v>
      </c>
      <c r="L116" s="664">
        <v>1</v>
      </c>
      <c r="M116" s="665">
        <v>1385.62</v>
      </c>
    </row>
    <row r="117" spans="1:13" ht="14.4" customHeight="1" x14ac:dyDescent="0.3">
      <c r="A117" s="660" t="s">
        <v>1920</v>
      </c>
      <c r="B117" s="661" t="s">
        <v>1826</v>
      </c>
      <c r="C117" s="661" t="s">
        <v>1998</v>
      </c>
      <c r="D117" s="661" t="s">
        <v>1165</v>
      </c>
      <c r="E117" s="661" t="s">
        <v>1999</v>
      </c>
      <c r="F117" s="664"/>
      <c r="G117" s="664"/>
      <c r="H117" s="677">
        <v>0</v>
      </c>
      <c r="I117" s="664">
        <v>4</v>
      </c>
      <c r="J117" s="664">
        <v>747.48</v>
      </c>
      <c r="K117" s="677">
        <v>1</v>
      </c>
      <c r="L117" s="664">
        <v>4</v>
      </c>
      <c r="M117" s="665">
        <v>747.48</v>
      </c>
    </row>
    <row r="118" spans="1:13" ht="14.4" customHeight="1" x14ac:dyDescent="0.3">
      <c r="A118" s="660" t="s">
        <v>1920</v>
      </c>
      <c r="B118" s="661" t="s">
        <v>2582</v>
      </c>
      <c r="C118" s="661" t="s">
        <v>2329</v>
      </c>
      <c r="D118" s="661" t="s">
        <v>2330</v>
      </c>
      <c r="E118" s="661" t="s">
        <v>2331</v>
      </c>
      <c r="F118" s="664"/>
      <c r="G118" s="664"/>
      <c r="H118" s="677">
        <v>0</v>
      </c>
      <c r="I118" s="664">
        <v>4</v>
      </c>
      <c r="J118" s="664">
        <v>8105.28</v>
      </c>
      <c r="K118" s="677">
        <v>1</v>
      </c>
      <c r="L118" s="664">
        <v>4</v>
      </c>
      <c r="M118" s="665">
        <v>8105.28</v>
      </c>
    </row>
    <row r="119" spans="1:13" ht="14.4" customHeight="1" x14ac:dyDescent="0.3">
      <c r="A119" s="660" t="s">
        <v>1920</v>
      </c>
      <c r="B119" s="661" t="s">
        <v>1829</v>
      </c>
      <c r="C119" s="661" t="s">
        <v>1010</v>
      </c>
      <c r="D119" s="661" t="s">
        <v>1011</v>
      </c>
      <c r="E119" s="661" t="s">
        <v>1830</v>
      </c>
      <c r="F119" s="664"/>
      <c r="G119" s="664"/>
      <c r="H119" s="677">
        <v>0</v>
      </c>
      <c r="I119" s="664">
        <v>1</v>
      </c>
      <c r="J119" s="664">
        <v>72</v>
      </c>
      <c r="K119" s="677">
        <v>1</v>
      </c>
      <c r="L119" s="664">
        <v>1</v>
      </c>
      <c r="M119" s="665">
        <v>72</v>
      </c>
    </row>
    <row r="120" spans="1:13" ht="14.4" customHeight="1" x14ac:dyDescent="0.3">
      <c r="A120" s="660" t="s">
        <v>1920</v>
      </c>
      <c r="B120" s="661" t="s">
        <v>1829</v>
      </c>
      <c r="C120" s="661" t="s">
        <v>2181</v>
      </c>
      <c r="D120" s="661" t="s">
        <v>1011</v>
      </c>
      <c r="E120" s="661" t="s">
        <v>2182</v>
      </c>
      <c r="F120" s="664"/>
      <c r="G120" s="664"/>
      <c r="H120" s="677">
        <v>0</v>
      </c>
      <c r="I120" s="664">
        <v>4</v>
      </c>
      <c r="J120" s="664">
        <v>576.04</v>
      </c>
      <c r="K120" s="677">
        <v>1</v>
      </c>
      <c r="L120" s="664">
        <v>4</v>
      </c>
      <c r="M120" s="665">
        <v>576.04</v>
      </c>
    </row>
    <row r="121" spans="1:13" ht="14.4" customHeight="1" x14ac:dyDescent="0.3">
      <c r="A121" s="660" t="s">
        <v>1920</v>
      </c>
      <c r="B121" s="661" t="s">
        <v>2583</v>
      </c>
      <c r="C121" s="661" t="s">
        <v>2390</v>
      </c>
      <c r="D121" s="661" t="s">
        <v>2391</v>
      </c>
      <c r="E121" s="661" t="s">
        <v>2392</v>
      </c>
      <c r="F121" s="664">
        <v>1</v>
      </c>
      <c r="G121" s="664">
        <v>459.3</v>
      </c>
      <c r="H121" s="677">
        <v>1</v>
      </c>
      <c r="I121" s="664"/>
      <c r="J121" s="664"/>
      <c r="K121" s="677">
        <v>0</v>
      </c>
      <c r="L121" s="664">
        <v>1</v>
      </c>
      <c r="M121" s="665">
        <v>459.3</v>
      </c>
    </row>
    <row r="122" spans="1:13" ht="14.4" customHeight="1" x14ac:dyDescent="0.3">
      <c r="A122" s="660" t="s">
        <v>1920</v>
      </c>
      <c r="B122" s="661" t="s">
        <v>1832</v>
      </c>
      <c r="C122" s="661" t="s">
        <v>1060</v>
      </c>
      <c r="D122" s="661" t="s">
        <v>1061</v>
      </c>
      <c r="E122" s="661" t="s">
        <v>974</v>
      </c>
      <c r="F122" s="664"/>
      <c r="G122" s="664"/>
      <c r="H122" s="677">
        <v>0</v>
      </c>
      <c r="I122" s="664">
        <v>2</v>
      </c>
      <c r="J122" s="664">
        <v>131.08000000000001</v>
      </c>
      <c r="K122" s="677">
        <v>1</v>
      </c>
      <c r="L122" s="664">
        <v>2</v>
      </c>
      <c r="M122" s="665">
        <v>131.08000000000001</v>
      </c>
    </row>
    <row r="123" spans="1:13" ht="14.4" customHeight="1" x14ac:dyDescent="0.3">
      <c r="A123" s="660" t="s">
        <v>1920</v>
      </c>
      <c r="B123" s="661" t="s">
        <v>1832</v>
      </c>
      <c r="C123" s="661" t="s">
        <v>2315</v>
      </c>
      <c r="D123" s="661" t="s">
        <v>1061</v>
      </c>
      <c r="E123" s="661" t="s">
        <v>2316</v>
      </c>
      <c r="F123" s="664"/>
      <c r="G123" s="664"/>
      <c r="H123" s="677">
        <v>0</v>
      </c>
      <c r="I123" s="664">
        <v>1</v>
      </c>
      <c r="J123" s="664">
        <v>229.38</v>
      </c>
      <c r="K123" s="677">
        <v>1</v>
      </c>
      <c r="L123" s="664">
        <v>1</v>
      </c>
      <c r="M123" s="665">
        <v>229.38</v>
      </c>
    </row>
    <row r="124" spans="1:13" ht="14.4" customHeight="1" x14ac:dyDescent="0.3">
      <c r="A124" s="660" t="s">
        <v>1920</v>
      </c>
      <c r="B124" s="661" t="s">
        <v>1833</v>
      </c>
      <c r="C124" s="661" t="s">
        <v>2317</v>
      </c>
      <c r="D124" s="661" t="s">
        <v>1049</v>
      </c>
      <c r="E124" s="661" t="s">
        <v>1095</v>
      </c>
      <c r="F124" s="664">
        <v>1</v>
      </c>
      <c r="G124" s="664">
        <v>105.32</v>
      </c>
      <c r="H124" s="677">
        <v>1</v>
      </c>
      <c r="I124" s="664"/>
      <c r="J124" s="664"/>
      <c r="K124" s="677">
        <v>0</v>
      </c>
      <c r="L124" s="664">
        <v>1</v>
      </c>
      <c r="M124" s="665">
        <v>105.32</v>
      </c>
    </row>
    <row r="125" spans="1:13" ht="14.4" customHeight="1" x14ac:dyDescent="0.3">
      <c r="A125" s="660" t="s">
        <v>1920</v>
      </c>
      <c r="B125" s="661" t="s">
        <v>1833</v>
      </c>
      <c r="C125" s="661" t="s">
        <v>2107</v>
      </c>
      <c r="D125" s="661" t="s">
        <v>2108</v>
      </c>
      <c r="E125" s="661" t="s">
        <v>2109</v>
      </c>
      <c r="F125" s="664">
        <v>6</v>
      </c>
      <c r="G125" s="664">
        <v>98.28</v>
      </c>
      <c r="H125" s="677">
        <v>1</v>
      </c>
      <c r="I125" s="664"/>
      <c r="J125" s="664"/>
      <c r="K125" s="677">
        <v>0</v>
      </c>
      <c r="L125" s="664">
        <v>6</v>
      </c>
      <c r="M125" s="665">
        <v>98.28</v>
      </c>
    </row>
    <row r="126" spans="1:13" ht="14.4" customHeight="1" x14ac:dyDescent="0.3">
      <c r="A126" s="660" t="s">
        <v>1920</v>
      </c>
      <c r="B126" s="661" t="s">
        <v>1833</v>
      </c>
      <c r="C126" s="661" t="s">
        <v>2318</v>
      </c>
      <c r="D126" s="661" t="s">
        <v>2319</v>
      </c>
      <c r="E126" s="661" t="s">
        <v>2320</v>
      </c>
      <c r="F126" s="664">
        <v>4</v>
      </c>
      <c r="G126" s="664">
        <v>131.04</v>
      </c>
      <c r="H126" s="677">
        <v>1</v>
      </c>
      <c r="I126" s="664"/>
      <c r="J126" s="664"/>
      <c r="K126" s="677">
        <v>0</v>
      </c>
      <c r="L126" s="664">
        <v>4</v>
      </c>
      <c r="M126" s="665">
        <v>131.04</v>
      </c>
    </row>
    <row r="127" spans="1:13" ht="14.4" customHeight="1" x14ac:dyDescent="0.3">
      <c r="A127" s="660" t="s">
        <v>1920</v>
      </c>
      <c r="B127" s="661" t="s">
        <v>1833</v>
      </c>
      <c r="C127" s="661" t="s">
        <v>1048</v>
      </c>
      <c r="D127" s="661" t="s">
        <v>1049</v>
      </c>
      <c r="E127" s="661" t="s">
        <v>1050</v>
      </c>
      <c r="F127" s="664"/>
      <c r="G127" s="664"/>
      <c r="H127" s="677">
        <v>0</v>
      </c>
      <c r="I127" s="664">
        <v>12</v>
      </c>
      <c r="J127" s="664">
        <v>421.31999999999994</v>
      </c>
      <c r="K127" s="677">
        <v>1</v>
      </c>
      <c r="L127" s="664">
        <v>12</v>
      </c>
      <c r="M127" s="665">
        <v>421.31999999999994</v>
      </c>
    </row>
    <row r="128" spans="1:13" ht="14.4" customHeight="1" x14ac:dyDescent="0.3">
      <c r="A128" s="660" t="s">
        <v>1920</v>
      </c>
      <c r="B128" s="661" t="s">
        <v>2584</v>
      </c>
      <c r="C128" s="661" t="s">
        <v>2453</v>
      </c>
      <c r="D128" s="661" t="s">
        <v>2454</v>
      </c>
      <c r="E128" s="661" t="s">
        <v>2455</v>
      </c>
      <c r="F128" s="664">
        <v>2</v>
      </c>
      <c r="G128" s="664">
        <v>1006.04</v>
      </c>
      <c r="H128" s="677">
        <v>1</v>
      </c>
      <c r="I128" s="664"/>
      <c r="J128" s="664"/>
      <c r="K128" s="677">
        <v>0</v>
      </c>
      <c r="L128" s="664">
        <v>2</v>
      </c>
      <c r="M128" s="665">
        <v>1006.04</v>
      </c>
    </row>
    <row r="129" spans="1:13" ht="14.4" customHeight="1" x14ac:dyDescent="0.3">
      <c r="A129" s="660" t="s">
        <v>1920</v>
      </c>
      <c r="B129" s="661" t="s">
        <v>1836</v>
      </c>
      <c r="C129" s="661" t="s">
        <v>1963</v>
      </c>
      <c r="D129" s="661" t="s">
        <v>1094</v>
      </c>
      <c r="E129" s="661" t="s">
        <v>1050</v>
      </c>
      <c r="F129" s="664"/>
      <c r="G129" s="664"/>
      <c r="H129" s="677">
        <v>0</v>
      </c>
      <c r="I129" s="664">
        <v>4</v>
      </c>
      <c r="J129" s="664">
        <v>193.08</v>
      </c>
      <c r="K129" s="677">
        <v>1</v>
      </c>
      <c r="L129" s="664">
        <v>4</v>
      </c>
      <c r="M129" s="665">
        <v>193.08</v>
      </c>
    </row>
    <row r="130" spans="1:13" ht="14.4" customHeight="1" x14ac:dyDescent="0.3">
      <c r="A130" s="660" t="s">
        <v>1920</v>
      </c>
      <c r="B130" s="661" t="s">
        <v>1836</v>
      </c>
      <c r="C130" s="661" t="s">
        <v>1093</v>
      </c>
      <c r="D130" s="661" t="s">
        <v>1094</v>
      </c>
      <c r="E130" s="661" t="s">
        <v>1095</v>
      </c>
      <c r="F130" s="664"/>
      <c r="G130" s="664"/>
      <c r="H130" s="677">
        <v>0</v>
      </c>
      <c r="I130" s="664">
        <v>2</v>
      </c>
      <c r="J130" s="664">
        <v>289.62</v>
      </c>
      <c r="K130" s="677">
        <v>1</v>
      </c>
      <c r="L130" s="664">
        <v>2</v>
      </c>
      <c r="M130" s="665">
        <v>289.62</v>
      </c>
    </row>
    <row r="131" spans="1:13" ht="14.4" customHeight="1" x14ac:dyDescent="0.3">
      <c r="A131" s="660" t="s">
        <v>1920</v>
      </c>
      <c r="B131" s="661" t="s">
        <v>1836</v>
      </c>
      <c r="C131" s="661" t="s">
        <v>2413</v>
      </c>
      <c r="D131" s="661" t="s">
        <v>2414</v>
      </c>
      <c r="E131" s="661" t="s">
        <v>2415</v>
      </c>
      <c r="F131" s="664"/>
      <c r="G131" s="664"/>
      <c r="H131" s="677">
        <v>0</v>
      </c>
      <c r="I131" s="664">
        <v>2</v>
      </c>
      <c r="J131" s="664">
        <v>643.58000000000004</v>
      </c>
      <c r="K131" s="677">
        <v>1</v>
      </c>
      <c r="L131" s="664">
        <v>2</v>
      </c>
      <c r="M131" s="665">
        <v>643.58000000000004</v>
      </c>
    </row>
    <row r="132" spans="1:13" ht="14.4" customHeight="1" x14ac:dyDescent="0.3">
      <c r="A132" s="660" t="s">
        <v>1920</v>
      </c>
      <c r="B132" s="661" t="s">
        <v>1837</v>
      </c>
      <c r="C132" s="661" t="s">
        <v>1018</v>
      </c>
      <c r="D132" s="661" t="s">
        <v>1838</v>
      </c>
      <c r="E132" s="661" t="s">
        <v>1020</v>
      </c>
      <c r="F132" s="664"/>
      <c r="G132" s="664"/>
      <c r="H132" s="677">
        <v>0</v>
      </c>
      <c r="I132" s="664">
        <v>7</v>
      </c>
      <c r="J132" s="664">
        <v>675.71</v>
      </c>
      <c r="K132" s="677">
        <v>1</v>
      </c>
      <c r="L132" s="664">
        <v>7</v>
      </c>
      <c r="M132" s="665">
        <v>675.71</v>
      </c>
    </row>
    <row r="133" spans="1:13" ht="14.4" customHeight="1" x14ac:dyDescent="0.3">
      <c r="A133" s="660" t="s">
        <v>1920</v>
      </c>
      <c r="B133" s="661" t="s">
        <v>1837</v>
      </c>
      <c r="C133" s="661" t="s">
        <v>999</v>
      </c>
      <c r="D133" s="661" t="s">
        <v>1000</v>
      </c>
      <c r="E133" s="661" t="s">
        <v>1001</v>
      </c>
      <c r="F133" s="664"/>
      <c r="G133" s="664"/>
      <c r="H133" s="677">
        <v>0</v>
      </c>
      <c r="I133" s="664">
        <v>5</v>
      </c>
      <c r="J133" s="664">
        <v>52.05</v>
      </c>
      <c r="K133" s="677">
        <v>1</v>
      </c>
      <c r="L133" s="664">
        <v>5</v>
      </c>
      <c r="M133" s="665">
        <v>52.05</v>
      </c>
    </row>
    <row r="134" spans="1:13" ht="14.4" customHeight="1" x14ac:dyDescent="0.3">
      <c r="A134" s="660" t="s">
        <v>1920</v>
      </c>
      <c r="B134" s="661" t="s">
        <v>1837</v>
      </c>
      <c r="C134" s="661" t="s">
        <v>2014</v>
      </c>
      <c r="D134" s="661" t="s">
        <v>1839</v>
      </c>
      <c r="E134" s="661" t="s">
        <v>2015</v>
      </c>
      <c r="F134" s="664"/>
      <c r="G134" s="664"/>
      <c r="H134" s="677">
        <v>0</v>
      </c>
      <c r="I134" s="664">
        <v>2</v>
      </c>
      <c r="J134" s="664">
        <v>160.9</v>
      </c>
      <c r="K134" s="677">
        <v>1</v>
      </c>
      <c r="L134" s="664">
        <v>2</v>
      </c>
      <c r="M134" s="665">
        <v>160.9</v>
      </c>
    </row>
    <row r="135" spans="1:13" ht="14.4" customHeight="1" x14ac:dyDescent="0.3">
      <c r="A135" s="660" t="s">
        <v>1920</v>
      </c>
      <c r="B135" s="661" t="s">
        <v>1840</v>
      </c>
      <c r="C135" s="661" t="s">
        <v>1135</v>
      </c>
      <c r="D135" s="661" t="s">
        <v>1841</v>
      </c>
      <c r="E135" s="661" t="s">
        <v>1137</v>
      </c>
      <c r="F135" s="664"/>
      <c r="G135" s="664"/>
      <c r="H135" s="677">
        <v>0</v>
      </c>
      <c r="I135" s="664">
        <v>1</v>
      </c>
      <c r="J135" s="664">
        <v>291.82</v>
      </c>
      <c r="K135" s="677">
        <v>1</v>
      </c>
      <c r="L135" s="664">
        <v>1</v>
      </c>
      <c r="M135" s="665">
        <v>291.82</v>
      </c>
    </row>
    <row r="136" spans="1:13" ht="14.4" customHeight="1" x14ac:dyDescent="0.3">
      <c r="A136" s="660" t="s">
        <v>1920</v>
      </c>
      <c r="B136" s="661" t="s">
        <v>1840</v>
      </c>
      <c r="C136" s="661" t="s">
        <v>2416</v>
      </c>
      <c r="D136" s="661" t="s">
        <v>1968</v>
      </c>
      <c r="E136" s="661" t="s">
        <v>1137</v>
      </c>
      <c r="F136" s="664"/>
      <c r="G136" s="664"/>
      <c r="H136" s="677">
        <v>0</v>
      </c>
      <c r="I136" s="664">
        <v>1</v>
      </c>
      <c r="J136" s="664">
        <v>583.62</v>
      </c>
      <c r="K136" s="677">
        <v>1</v>
      </c>
      <c r="L136" s="664">
        <v>1</v>
      </c>
      <c r="M136" s="665">
        <v>583.62</v>
      </c>
    </row>
    <row r="137" spans="1:13" ht="14.4" customHeight="1" x14ac:dyDescent="0.3">
      <c r="A137" s="660" t="s">
        <v>1920</v>
      </c>
      <c r="B137" s="661" t="s">
        <v>2585</v>
      </c>
      <c r="C137" s="661" t="s">
        <v>2422</v>
      </c>
      <c r="D137" s="661" t="s">
        <v>2423</v>
      </c>
      <c r="E137" s="661" t="s">
        <v>2001</v>
      </c>
      <c r="F137" s="664"/>
      <c r="G137" s="664"/>
      <c r="H137" s="677">
        <v>0</v>
      </c>
      <c r="I137" s="664">
        <v>1</v>
      </c>
      <c r="J137" s="664">
        <v>432.31</v>
      </c>
      <c r="K137" s="677">
        <v>1</v>
      </c>
      <c r="L137" s="664">
        <v>1</v>
      </c>
      <c r="M137" s="665">
        <v>432.31</v>
      </c>
    </row>
    <row r="138" spans="1:13" ht="14.4" customHeight="1" x14ac:dyDescent="0.3">
      <c r="A138" s="660" t="s">
        <v>1920</v>
      </c>
      <c r="B138" s="661" t="s">
        <v>2586</v>
      </c>
      <c r="C138" s="661" t="s">
        <v>2350</v>
      </c>
      <c r="D138" s="661" t="s">
        <v>2351</v>
      </c>
      <c r="E138" s="661" t="s">
        <v>2352</v>
      </c>
      <c r="F138" s="664"/>
      <c r="G138" s="664"/>
      <c r="H138" s="677">
        <v>0</v>
      </c>
      <c r="I138" s="664">
        <v>1</v>
      </c>
      <c r="J138" s="664">
        <v>287.95999999999998</v>
      </c>
      <c r="K138" s="677">
        <v>1</v>
      </c>
      <c r="L138" s="664">
        <v>1</v>
      </c>
      <c r="M138" s="665">
        <v>287.95999999999998</v>
      </c>
    </row>
    <row r="139" spans="1:13" ht="14.4" customHeight="1" x14ac:dyDescent="0.3">
      <c r="A139" s="660" t="s">
        <v>1920</v>
      </c>
      <c r="B139" s="661" t="s">
        <v>1842</v>
      </c>
      <c r="C139" s="661" t="s">
        <v>2229</v>
      </c>
      <c r="D139" s="661" t="s">
        <v>1124</v>
      </c>
      <c r="E139" s="661" t="s">
        <v>2230</v>
      </c>
      <c r="F139" s="664"/>
      <c r="G139" s="664"/>
      <c r="H139" s="677">
        <v>0</v>
      </c>
      <c r="I139" s="664">
        <v>4</v>
      </c>
      <c r="J139" s="664">
        <v>1466.12</v>
      </c>
      <c r="K139" s="677">
        <v>1</v>
      </c>
      <c r="L139" s="664">
        <v>4</v>
      </c>
      <c r="M139" s="665">
        <v>1466.12</v>
      </c>
    </row>
    <row r="140" spans="1:13" ht="14.4" customHeight="1" x14ac:dyDescent="0.3">
      <c r="A140" s="660" t="s">
        <v>1920</v>
      </c>
      <c r="B140" s="661" t="s">
        <v>1843</v>
      </c>
      <c r="C140" s="661" t="s">
        <v>2195</v>
      </c>
      <c r="D140" s="661" t="s">
        <v>1844</v>
      </c>
      <c r="E140" s="661" t="s">
        <v>2196</v>
      </c>
      <c r="F140" s="664"/>
      <c r="G140" s="664"/>
      <c r="H140" s="677">
        <v>0</v>
      </c>
      <c r="I140" s="664">
        <v>7</v>
      </c>
      <c r="J140" s="664">
        <v>2914.59</v>
      </c>
      <c r="K140" s="677">
        <v>1</v>
      </c>
      <c r="L140" s="664">
        <v>7</v>
      </c>
      <c r="M140" s="665">
        <v>2914.59</v>
      </c>
    </row>
    <row r="141" spans="1:13" ht="14.4" customHeight="1" x14ac:dyDescent="0.3">
      <c r="A141" s="660" t="s">
        <v>1920</v>
      </c>
      <c r="B141" s="661" t="s">
        <v>1843</v>
      </c>
      <c r="C141" s="661" t="s">
        <v>1992</v>
      </c>
      <c r="D141" s="661" t="s">
        <v>1845</v>
      </c>
      <c r="E141" s="661" t="s">
        <v>1993</v>
      </c>
      <c r="F141" s="664"/>
      <c r="G141" s="664"/>
      <c r="H141" s="677">
        <v>0</v>
      </c>
      <c r="I141" s="664">
        <v>4</v>
      </c>
      <c r="J141" s="664">
        <v>2574.7600000000002</v>
      </c>
      <c r="K141" s="677">
        <v>1</v>
      </c>
      <c r="L141" s="664">
        <v>4</v>
      </c>
      <c r="M141" s="665">
        <v>2574.7600000000002</v>
      </c>
    </row>
    <row r="142" spans="1:13" ht="14.4" customHeight="1" x14ac:dyDescent="0.3">
      <c r="A142" s="660" t="s">
        <v>1920</v>
      </c>
      <c r="B142" s="661" t="s">
        <v>1846</v>
      </c>
      <c r="C142" s="661" t="s">
        <v>2424</v>
      </c>
      <c r="D142" s="661" t="s">
        <v>2425</v>
      </c>
      <c r="E142" s="661" t="s">
        <v>2426</v>
      </c>
      <c r="F142" s="664"/>
      <c r="G142" s="664"/>
      <c r="H142" s="677">
        <v>0</v>
      </c>
      <c r="I142" s="664">
        <v>2</v>
      </c>
      <c r="J142" s="664">
        <v>749.48</v>
      </c>
      <c r="K142" s="677">
        <v>1</v>
      </c>
      <c r="L142" s="664">
        <v>2</v>
      </c>
      <c r="M142" s="665">
        <v>749.48</v>
      </c>
    </row>
    <row r="143" spans="1:13" ht="14.4" customHeight="1" x14ac:dyDescent="0.3">
      <c r="A143" s="660" t="s">
        <v>1920</v>
      </c>
      <c r="B143" s="661" t="s">
        <v>1846</v>
      </c>
      <c r="C143" s="661" t="s">
        <v>2427</v>
      </c>
      <c r="D143" s="661" t="s">
        <v>1974</v>
      </c>
      <c r="E143" s="661" t="s">
        <v>2428</v>
      </c>
      <c r="F143" s="664"/>
      <c r="G143" s="664"/>
      <c r="H143" s="677">
        <v>0</v>
      </c>
      <c r="I143" s="664">
        <v>2</v>
      </c>
      <c r="J143" s="664">
        <v>1158.6199999999999</v>
      </c>
      <c r="K143" s="677">
        <v>1</v>
      </c>
      <c r="L143" s="664">
        <v>2</v>
      </c>
      <c r="M143" s="665">
        <v>1158.6199999999999</v>
      </c>
    </row>
    <row r="144" spans="1:13" ht="14.4" customHeight="1" x14ac:dyDescent="0.3">
      <c r="A144" s="660" t="s">
        <v>1920</v>
      </c>
      <c r="B144" s="661" t="s">
        <v>2587</v>
      </c>
      <c r="C144" s="661" t="s">
        <v>2309</v>
      </c>
      <c r="D144" s="661" t="s">
        <v>2310</v>
      </c>
      <c r="E144" s="661" t="s">
        <v>1137</v>
      </c>
      <c r="F144" s="664"/>
      <c r="G144" s="664"/>
      <c r="H144" s="677">
        <v>0</v>
      </c>
      <c r="I144" s="664">
        <v>1</v>
      </c>
      <c r="J144" s="664">
        <v>739.33</v>
      </c>
      <c r="K144" s="677">
        <v>1</v>
      </c>
      <c r="L144" s="664">
        <v>1</v>
      </c>
      <c r="M144" s="665">
        <v>739.33</v>
      </c>
    </row>
    <row r="145" spans="1:13" ht="14.4" customHeight="1" x14ac:dyDescent="0.3">
      <c r="A145" s="660" t="s">
        <v>1920</v>
      </c>
      <c r="B145" s="661" t="s">
        <v>2587</v>
      </c>
      <c r="C145" s="661" t="s">
        <v>2311</v>
      </c>
      <c r="D145" s="661" t="s">
        <v>2310</v>
      </c>
      <c r="E145" s="661" t="s">
        <v>1137</v>
      </c>
      <c r="F145" s="664"/>
      <c r="G145" s="664"/>
      <c r="H145" s="677"/>
      <c r="I145" s="664">
        <v>2</v>
      </c>
      <c r="J145" s="664">
        <v>0</v>
      </c>
      <c r="K145" s="677"/>
      <c r="L145" s="664">
        <v>2</v>
      </c>
      <c r="M145" s="665">
        <v>0</v>
      </c>
    </row>
    <row r="146" spans="1:13" ht="14.4" customHeight="1" x14ac:dyDescent="0.3">
      <c r="A146" s="660" t="s">
        <v>1920</v>
      </c>
      <c r="B146" s="661" t="s">
        <v>2587</v>
      </c>
      <c r="C146" s="661" t="s">
        <v>2312</v>
      </c>
      <c r="D146" s="661" t="s">
        <v>2310</v>
      </c>
      <c r="E146" s="661" t="s">
        <v>893</v>
      </c>
      <c r="F146" s="664"/>
      <c r="G146" s="664"/>
      <c r="H146" s="677">
        <v>0</v>
      </c>
      <c r="I146" s="664">
        <v>4</v>
      </c>
      <c r="J146" s="664">
        <v>985.76</v>
      </c>
      <c r="K146" s="677">
        <v>1</v>
      </c>
      <c r="L146" s="664">
        <v>4</v>
      </c>
      <c r="M146" s="665">
        <v>985.76</v>
      </c>
    </row>
    <row r="147" spans="1:13" ht="14.4" customHeight="1" x14ac:dyDescent="0.3">
      <c r="A147" s="660" t="s">
        <v>1920</v>
      </c>
      <c r="B147" s="661" t="s">
        <v>2587</v>
      </c>
      <c r="C147" s="661" t="s">
        <v>2313</v>
      </c>
      <c r="D147" s="661" t="s">
        <v>2314</v>
      </c>
      <c r="E147" s="661" t="s">
        <v>1137</v>
      </c>
      <c r="F147" s="664"/>
      <c r="G147" s="664"/>
      <c r="H147" s="677"/>
      <c r="I147" s="664">
        <v>1</v>
      </c>
      <c r="J147" s="664">
        <v>0</v>
      </c>
      <c r="K147" s="677"/>
      <c r="L147" s="664">
        <v>1</v>
      </c>
      <c r="M147" s="665">
        <v>0</v>
      </c>
    </row>
    <row r="148" spans="1:13" ht="14.4" customHeight="1" x14ac:dyDescent="0.3">
      <c r="A148" s="660" t="s">
        <v>1920</v>
      </c>
      <c r="B148" s="661" t="s">
        <v>1847</v>
      </c>
      <c r="C148" s="661" t="s">
        <v>2437</v>
      </c>
      <c r="D148" s="661" t="s">
        <v>2082</v>
      </c>
      <c r="E148" s="661" t="s">
        <v>2438</v>
      </c>
      <c r="F148" s="664">
        <v>1</v>
      </c>
      <c r="G148" s="664">
        <v>523.38</v>
      </c>
      <c r="H148" s="677">
        <v>1</v>
      </c>
      <c r="I148" s="664"/>
      <c r="J148" s="664"/>
      <c r="K148" s="677">
        <v>0</v>
      </c>
      <c r="L148" s="664">
        <v>1</v>
      </c>
      <c r="M148" s="665">
        <v>523.38</v>
      </c>
    </row>
    <row r="149" spans="1:13" ht="14.4" customHeight="1" x14ac:dyDescent="0.3">
      <c r="A149" s="660" t="s">
        <v>1920</v>
      </c>
      <c r="B149" s="661" t="s">
        <v>1851</v>
      </c>
      <c r="C149" s="661" t="s">
        <v>2050</v>
      </c>
      <c r="D149" s="661" t="s">
        <v>1560</v>
      </c>
      <c r="E149" s="661" t="s">
        <v>2051</v>
      </c>
      <c r="F149" s="664"/>
      <c r="G149" s="664"/>
      <c r="H149" s="677">
        <v>0</v>
      </c>
      <c r="I149" s="664">
        <v>1</v>
      </c>
      <c r="J149" s="664">
        <v>62.24</v>
      </c>
      <c r="K149" s="677">
        <v>1</v>
      </c>
      <c r="L149" s="664">
        <v>1</v>
      </c>
      <c r="M149" s="665">
        <v>62.24</v>
      </c>
    </row>
    <row r="150" spans="1:13" ht="14.4" customHeight="1" x14ac:dyDescent="0.3">
      <c r="A150" s="660" t="s">
        <v>1920</v>
      </c>
      <c r="B150" s="661" t="s">
        <v>1851</v>
      </c>
      <c r="C150" s="661" t="s">
        <v>1538</v>
      </c>
      <c r="D150" s="661" t="s">
        <v>1539</v>
      </c>
      <c r="E150" s="661" t="s">
        <v>1882</v>
      </c>
      <c r="F150" s="664"/>
      <c r="G150" s="664"/>
      <c r="H150" s="677">
        <v>0</v>
      </c>
      <c r="I150" s="664">
        <v>1</v>
      </c>
      <c r="J150" s="664">
        <v>82.99</v>
      </c>
      <c r="K150" s="677">
        <v>1</v>
      </c>
      <c r="L150" s="664">
        <v>1</v>
      </c>
      <c r="M150" s="665">
        <v>82.99</v>
      </c>
    </row>
    <row r="151" spans="1:13" ht="14.4" customHeight="1" x14ac:dyDescent="0.3">
      <c r="A151" s="660" t="s">
        <v>1920</v>
      </c>
      <c r="B151" s="661" t="s">
        <v>1856</v>
      </c>
      <c r="C151" s="661" t="s">
        <v>1234</v>
      </c>
      <c r="D151" s="661" t="s">
        <v>1857</v>
      </c>
      <c r="E151" s="661" t="s">
        <v>1858</v>
      </c>
      <c r="F151" s="664"/>
      <c r="G151" s="664"/>
      <c r="H151" s="677">
        <v>0</v>
      </c>
      <c r="I151" s="664">
        <v>1</v>
      </c>
      <c r="J151" s="664">
        <v>150.04</v>
      </c>
      <c r="K151" s="677">
        <v>1</v>
      </c>
      <c r="L151" s="664">
        <v>1</v>
      </c>
      <c r="M151" s="665">
        <v>150.04</v>
      </c>
    </row>
    <row r="152" spans="1:13" ht="14.4" customHeight="1" x14ac:dyDescent="0.3">
      <c r="A152" s="660" t="s">
        <v>1920</v>
      </c>
      <c r="B152" s="661" t="s">
        <v>1883</v>
      </c>
      <c r="C152" s="661" t="s">
        <v>2356</v>
      </c>
      <c r="D152" s="661" t="s">
        <v>2357</v>
      </c>
      <c r="E152" s="661" t="s">
        <v>1884</v>
      </c>
      <c r="F152" s="664">
        <v>2</v>
      </c>
      <c r="G152" s="664">
        <v>0</v>
      </c>
      <c r="H152" s="677"/>
      <c r="I152" s="664"/>
      <c r="J152" s="664"/>
      <c r="K152" s="677"/>
      <c r="L152" s="664">
        <v>2</v>
      </c>
      <c r="M152" s="665">
        <v>0</v>
      </c>
    </row>
    <row r="153" spans="1:13" ht="14.4" customHeight="1" x14ac:dyDescent="0.3">
      <c r="A153" s="660" t="s">
        <v>1920</v>
      </c>
      <c r="B153" s="661" t="s">
        <v>1885</v>
      </c>
      <c r="C153" s="661" t="s">
        <v>1630</v>
      </c>
      <c r="D153" s="661" t="s">
        <v>1631</v>
      </c>
      <c r="E153" s="661" t="s">
        <v>1632</v>
      </c>
      <c r="F153" s="664"/>
      <c r="G153" s="664"/>
      <c r="H153" s="677">
        <v>0</v>
      </c>
      <c r="I153" s="664">
        <v>1</v>
      </c>
      <c r="J153" s="664">
        <v>119.7</v>
      </c>
      <c r="K153" s="677">
        <v>1</v>
      </c>
      <c r="L153" s="664">
        <v>1</v>
      </c>
      <c r="M153" s="665">
        <v>119.7</v>
      </c>
    </row>
    <row r="154" spans="1:13" ht="14.4" customHeight="1" x14ac:dyDescent="0.3">
      <c r="A154" s="660" t="s">
        <v>1920</v>
      </c>
      <c r="B154" s="661" t="s">
        <v>1886</v>
      </c>
      <c r="C154" s="661" t="s">
        <v>2405</v>
      </c>
      <c r="D154" s="661" t="s">
        <v>2406</v>
      </c>
      <c r="E154" s="661" t="s">
        <v>2407</v>
      </c>
      <c r="F154" s="664"/>
      <c r="G154" s="664"/>
      <c r="H154" s="677">
        <v>0</v>
      </c>
      <c r="I154" s="664">
        <v>1</v>
      </c>
      <c r="J154" s="664">
        <v>66.819999999999993</v>
      </c>
      <c r="K154" s="677">
        <v>1</v>
      </c>
      <c r="L154" s="664">
        <v>1</v>
      </c>
      <c r="M154" s="665">
        <v>66.819999999999993</v>
      </c>
    </row>
    <row r="155" spans="1:13" ht="14.4" customHeight="1" x14ac:dyDescent="0.3">
      <c r="A155" s="660" t="s">
        <v>1920</v>
      </c>
      <c r="B155" s="661" t="s">
        <v>1863</v>
      </c>
      <c r="C155" s="661" t="s">
        <v>1223</v>
      </c>
      <c r="D155" s="661" t="s">
        <v>1224</v>
      </c>
      <c r="E155" s="661" t="s">
        <v>1864</v>
      </c>
      <c r="F155" s="664"/>
      <c r="G155" s="664"/>
      <c r="H155" s="677">
        <v>0</v>
      </c>
      <c r="I155" s="664">
        <v>1</v>
      </c>
      <c r="J155" s="664">
        <v>66.819999999999993</v>
      </c>
      <c r="K155" s="677">
        <v>1</v>
      </c>
      <c r="L155" s="664">
        <v>1</v>
      </c>
      <c r="M155" s="665">
        <v>66.819999999999993</v>
      </c>
    </row>
    <row r="156" spans="1:13" ht="14.4" customHeight="1" x14ac:dyDescent="0.3">
      <c r="A156" s="660" t="s">
        <v>1920</v>
      </c>
      <c r="B156" s="661" t="s">
        <v>2588</v>
      </c>
      <c r="C156" s="661" t="s">
        <v>2397</v>
      </c>
      <c r="D156" s="661" t="s">
        <v>2398</v>
      </c>
      <c r="E156" s="661" t="s">
        <v>2399</v>
      </c>
      <c r="F156" s="664">
        <v>4</v>
      </c>
      <c r="G156" s="664">
        <v>193.68</v>
      </c>
      <c r="H156" s="677">
        <v>1</v>
      </c>
      <c r="I156" s="664"/>
      <c r="J156" s="664"/>
      <c r="K156" s="677">
        <v>0</v>
      </c>
      <c r="L156" s="664">
        <v>4</v>
      </c>
      <c r="M156" s="665">
        <v>193.68</v>
      </c>
    </row>
    <row r="157" spans="1:13" ht="14.4" customHeight="1" x14ac:dyDescent="0.3">
      <c r="A157" s="660" t="s">
        <v>1920</v>
      </c>
      <c r="B157" s="661" t="s">
        <v>1869</v>
      </c>
      <c r="C157" s="661" t="s">
        <v>2290</v>
      </c>
      <c r="D157" s="661" t="s">
        <v>2291</v>
      </c>
      <c r="E157" s="661" t="s">
        <v>2292</v>
      </c>
      <c r="F157" s="664"/>
      <c r="G157" s="664"/>
      <c r="H157" s="677">
        <v>0</v>
      </c>
      <c r="I157" s="664">
        <v>4</v>
      </c>
      <c r="J157" s="664">
        <v>41.04</v>
      </c>
      <c r="K157" s="677">
        <v>1</v>
      </c>
      <c r="L157" s="664">
        <v>4</v>
      </c>
      <c r="M157" s="665">
        <v>41.04</v>
      </c>
    </row>
    <row r="158" spans="1:13" ht="14.4" customHeight="1" x14ac:dyDescent="0.3">
      <c r="A158" s="660" t="s">
        <v>1920</v>
      </c>
      <c r="B158" s="661" t="s">
        <v>1869</v>
      </c>
      <c r="C158" s="661" t="s">
        <v>2293</v>
      </c>
      <c r="D158" s="661" t="s">
        <v>2294</v>
      </c>
      <c r="E158" s="661" t="s">
        <v>2295</v>
      </c>
      <c r="F158" s="664"/>
      <c r="G158" s="664"/>
      <c r="H158" s="677">
        <v>0</v>
      </c>
      <c r="I158" s="664">
        <v>1</v>
      </c>
      <c r="J158" s="664">
        <v>16.920000000000002</v>
      </c>
      <c r="K158" s="677">
        <v>1</v>
      </c>
      <c r="L158" s="664">
        <v>1</v>
      </c>
      <c r="M158" s="665">
        <v>16.920000000000002</v>
      </c>
    </row>
    <row r="159" spans="1:13" ht="14.4" customHeight="1" x14ac:dyDescent="0.3">
      <c r="A159" s="660" t="s">
        <v>1920</v>
      </c>
      <c r="B159" s="661" t="s">
        <v>2589</v>
      </c>
      <c r="C159" s="661" t="s">
        <v>2466</v>
      </c>
      <c r="D159" s="661" t="s">
        <v>2467</v>
      </c>
      <c r="E159" s="661" t="s">
        <v>2468</v>
      </c>
      <c r="F159" s="664"/>
      <c r="G159" s="664"/>
      <c r="H159" s="677">
        <v>0</v>
      </c>
      <c r="I159" s="664">
        <v>1</v>
      </c>
      <c r="J159" s="664">
        <v>1252.54</v>
      </c>
      <c r="K159" s="677">
        <v>1</v>
      </c>
      <c r="L159" s="664">
        <v>1</v>
      </c>
      <c r="M159" s="665">
        <v>1252.54</v>
      </c>
    </row>
    <row r="160" spans="1:13" ht="14.4" customHeight="1" x14ac:dyDescent="0.3">
      <c r="A160" s="660" t="s">
        <v>1920</v>
      </c>
      <c r="B160" s="661" t="s">
        <v>2590</v>
      </c>
      <c r="C160" s="661" t="s">
        <v>2369</v>
      </c>
      <c r="D160" s="661" t="s">
        <v>2370</v>
      </c>
      <c r="E160" s="661" t="s">
        <v>1095</v>
      </c>
      <c r="F160" s="664">
        <v>1</v>
      </c>
      <c r="G160" s="664">
        <v>340.97</v>
      </c>
      <c r="H160" s="677">
        <v>1</v>
      </c>
      <c r="I160" s="664"/>
      <c r="J160" s="664"/>
      <c r="K160" s="677">
        <v>0</v>
      </c>
      <c r="L160" s="664">
        <v>1</v>
      </c>
      <c r="M160" s="665">
        <v>340.97</v>
      </c>
    </row>
    <row r="161" spans="1:13" ht="14.4" customHeight="1" x14ac:dyDescent="0.3">
      <c r="A161" s="660" t="s">
        <v>1920</v>
      </c>
      <c r="B161" s="661" t="s">
        <v>1817</v>
      </c>
      <c r="C161" s="661" t="s">
        <v>2470</v>
      </c>
      <c r="D161" s="661" t="s">
        <v>1078</v>
      </c>
      <c r="E161" s="661" t="s">
        <v>2471</v>
      </c>
      <c r="F161" s="664"/>
      <c r="G161" s="664"/>
      <c r="H161" s="677">
        <v>0</v>
      </c>
      <c r="I161" s="664">
        <v>4</v>
      </c>
      <c r="J161" s="664">
        <v>535.76</v>
      </c>
      <c r="K161" s="677">
        <v>1</v>
      </c>
      <c r="L161" s="664">
        <v>4</v>
      </c>
      <c r="M161" s="665">
        <v>535.76</v>
      </c>
    </row>
    <row r="162" spans="1:13" ht="14.4" customHeight="1" x14ac:dyDescent="0.3">
      <c r="A162" s="660" t="s">
        <v>1921</v>
      </c>
      <c r="B162" s="661" t="s">
        <v>1829</v>
      </c>
      <c r="C162" s="661" t="s">
        <v>2181</v>
      </c>
      <c r="D162" s="661" t="s">
        <v>1011</v>
      </c>
      <c r="E162" s="661" t="s">
        <v>2182</v>
      </c>
      <c r="F162" s="664"/>
      <c r="G162" s="664"/>
      <c r="H162" s="677">
        <v>0</v>
      </c>
      <c r="I162" s="664">
        <v>1</v>
      </c>
      <c r="J162" s="664">
        <v>144.01</v>
      </c>
      <c r="K162" s="677">
        <v>1</v>
      </c>
      <c r="L162" s="664">
        <v>1</v>
      </c>
      <c r="M162" s="665">
        <v>144.01</v>
      </c>
    </row>
    <row r="163" spans="1:13" ht="14.4" customHeight="1" x14ac:dyDescent="0.3">
      <c r="A163" s="660" t="s">
        <v>1921</v>
      </c>
      <c r="B163" s="661" t="s">
        <v>1833</v>
      </c>
      <c r="C163" s="661" t="s">
        <v>1048</v>
      </c>
      <c r="D163" s="661" t="s">
        <v>1049</v>
      </c>
      <c r="E163" s="661" t="s">
        <v>1050</v>
      </c>
      <c r="F163" s="664"/>
      <c r="G163" s="664"/>
      <c r="H163" s="677">
        <v>0</v>
      </c>
      <c r="I163" s="664">
        <v>1</v>
      </c>
      <c r="J163" s="664">
        <v>35.11</v>
      </c>
      <c r="K163" s="677">
        <v>1</v>
      </c>
      <c r="L163" s="664">
        <v>1</v>
      </c>
      <c r="M163" s="665">
        <v>35.11</v>
      </c>
    </row>
    <row r="164" spans="1:13" ht="14.4" customHeight="1" x14ac:dyDescent="0.3">
      <c r="A164" s="660" t="s">
        <v>1921</v>
      </c>
      <c r="B164" s="661" t="s">
        <v>1840</v>
      </c>
      <c r="C164" s="661" t="s">
        <v>1967</v>
      </c>
      <c r="D164" s="661" t="s">
        <v>1968</v>
      </c>
      <c r="E164" s="661" t="s">
        <v>893</v>
      </c>
      <c r="F164" s="664"/>
      <c r="G164" s="664"/>
      <c r="H164" s="677">
        <v>0</v>
      </c>
      <c r="I164" s="664">
        <v>1</v>
      </c>
      <c r="J164" s="664">
        <v>194.54</v>
      </c>
      <c r="K164" s="677">
        <v>1</v>
      </c>
      <c r="L164" s="664">
        <v>1</v>
      </c>
      <c r="M164" s="665">
        <v>194.54</v>
      </c>
    </row>
    <row r="165" spans="1:13" ht="14.4" customHeight="1" x14ac:dyDescent="0.3">
      <c r="A165" s="660" t="s">
        <v>1921</v>
      </c>
      <c r="B165" s="661" t="s">
        <v>2591</v>
      </c>
      <c r="C165" s="661" t="s">
        <v>2488</v>
      </c>
      <c r="D165" s="661" t="s">
        <v>2489</v>
      </c>
      <c r="E165" s="661" t="s">
        <v>2490</v>
      </c>
      <c r="F165" s="664"/>
      <c r="G165" s="664"/>
      <c r="H165" s="677">
        <v>0</v>
      </c>
      <c r="I165" s="664">
        <v>3</v>
      </c>
      <c r="J165" s="664">
        <v>120.75</v>
      </c>
      <c r="K165" s="677">
        <v>1</v>
      </c>
      <c r="L165" s="664">
        <v>3</v>
      </c>
      <c r="M165" s="665">
        <v>120.75</v>
      </c>
    </row>
    <row r="166" spans="1:13" ht="14.4" customHeight="1" x14ac:dyDescent="0.3">
      <c r="A166" s="660" t="s">
        <v>1922</v>
      </c>
      <c r="B166" s="661" t="s">
        <v>1811</v>
      </c>
      <c r="C166" s="661" t="s">
        <v>2166</v>
      </c>
      <c r="D166" s="661" t="s">
        <v>997</v>
      </c>
      <c r="E166" s="661" t="s">
        <v>2167</v>
      </c>
      <c r="F166" s="664"/>
      <c r="G166" s="664"/>
      <c r="H166" s="677"/>
      <c r="I166" s="664">
        <v>1</v>
      </c>
      <c r="J166" s="664">
        <v>0</v>
      </c>
      <c r="K166" s="677"/>
      <c r="L166" s="664">
        <v>1</v>
      </c>
      <c r="M166" s="665">
        <v>0</v>
      </c>
    </row>
    <row r="167" spans="1:13" ht="14.4" customHeight="1" x14ac:dyDescent="0.3">
      <c r="A167" s="660" t="s">
        <v>1922</v>
      </c>
      <c r="B167" s="661" t="s">
        <v>1822</v>
      </c>
      <c r="C167" s="661" t="s">
        <v>1089</v>
      </c>
      <c r="D167" s="661" t="s">
        <v>1823</v>
      </c>
      <c r="E167" s="661" t="s">
        <v>1824</v>
      </c>
      <c r="F167" s="664"/>
      <c r="G167" s="664"/>
      <c r="H167" s="677">
        <v>0</v>
      </c>
      <c r="I167" s="664">
        <v>1</v>
      </c>
      <c r="J167" s="664">
        <v>184.74</v>
      </c>
      <c r="K167" s="677">
        <v>1</v>
      </c>
      <c r="L167" s="664">
        <v>1</v>
      </c>
      <c r="M167" s="665">
        <v>184.74</v>
      </c>
    </row>
    <row r="168" spans="1:13" ht="14.4" customHeight="1" x14ac:dyDescent="0.3">
      <c r="A168" s="660" t="s">
        <v>1922</v>
      </c>
      <c r="B168" s="661" t="s">
        <v>1833</v>
      </c>
      <c r="C168" s="661" t="s">
        <v>1048</v>
      </c>
      <c r="D168" s="661" t="s">
        <v>1049</v>
      </c>
      <c r="E168" s="661" t="s">
        <v>1050</v>
      </c>
      <c r="F168" s="664"/>
      <c r="G168" s="664"/>
      <c r="H168" s="677">
        <v>0</v>
      </c>
      <c r="I168" s="664">
        <v>3</v>
      </c>
      <c r="J168" s="664">
        <v>105.33</v>
      </c>
      <c r="K168" s="677">
        <v>1</v>
      </c>
      <c r="L168" s="664">
        <v>3</v>
      </c>
      <c r="M168" s="665">
        <v>105.33</v>
      </c>
    </row>
    <row r="169" spans="1:13" ht="14.4" customHeight="1" x14ac:dyDescent="0.3">
      <c r="A169" s="660" t="s">
        <v>1922</v>
      </c>
      <c r="B169" s="661" t="s">
        <v>1835</v>
      </c>
      <c r="C169" s="661" t="s">
        <v>1139</v>
      </c>
      <c r="D169" s="661" t="s">
        <v>1140</v>
      </c>
      <c r="E169" s="661" t="s">
        <v>1141</v>
      </c>
      <c r="F169" s="664"/>
      <c r="G169" s="664"/>
      <c r="H169" s="677">
        <v>0</v>
      </c>
      <c r="I169" s="664">
        <v>2</v>
      </c>
      <c r="J169" s="664">
        <v>105.94</v>
      </c>
      <c r="K169" s="677">
        <v>1</v>
      </c>
      <c r="L169" s="664">
        <v>2</v>
      </c>
      <c r="M169" s="665">
        <v>105.94</v>
      </c>
    </row>
    <row r="170" spans="1:13" ht="14.4" customHeight="1" x14ac:dyDescent="0.3">
      <c r="A170" s="660" t="s">
        <v>1922</v>
      </c>
      <c r="B170" s="661" t="s">
        <v>1837</v>
      </c>
      <c r="C170" s="661" t="s">
        <v>1018</v>
      </c>
      <c r="D170" s="661" t="s">
        <v>1838</v>
      </c>
      <c r="E170" s="661" t="s">
        <v>1020</v>
      </c>
      <c r="F170" s="664"/>
      <c r="G170" s="664"/>
      <c r="H170" s="677">
        <v>0</v>
      </c>
      <c r="I170" s="664">
        <v>1</v>
      </c>
      <c r="J170" s="664">
        <v>96.53</v>
      </c>
      <c r="K170" s="677">
        <v>1</v>
      </c>
      <c r="L170" s="664">
        <v>1</v>
      </c>
      <c r="M170" s="665">
        <v>96.53</v>
      </c>
    </row>
    <row r="171" spans="1:13" ht="14.4" customHeight="1" x14ac:dyDescent="0.3">
      <c r="A171" s="660" t="s">
        <v>1922</v>
      </c>
      <c r="B171" s="661" t="s">
        <v>1837</v>
      </c>
      <c r="C171" s="661" t="s">
        <v>2072</v>
      </c>
      <c r="D171" s="661" t="s">
        <v>1000</v>
      </c>
      <c r="E171" s="661" t="s">
        <v>2073</v>
      </c>
      <c r="F171" s="664"/>
      <c r="G171" s="664"/>
      <c r="H171" s="677">
        <v>0</v>
      </c>
      <c r="I171" s="664">
        <v>1</v>
      </c>
      <c r="J171" s="664">
        <v>15.61</v>
      </c>
      <c r="K171" s="677">
        <v>1</v>
      </c>
      <c r="L171" s="664">
        <v>1</v>
      </c>
      <c r="M171" s="665">
        <v>15.61</v>
      </c>
    </row>
    <row r="172" spans="1:13" ht="14.4" customHeight="1" x14ac:dyDescent="0.3">
      <c r="A172" s="660" t="s">
        <v>1922</v>
      </c>
      <c r="B172" s="661" t="s">
        <v>2580</v>
      </c>
      <c r="C172" s="661" t="s">
        <v>2010</v>
      </c>
      <c r="D172" s="661" t="s">
        <v>2011</v>
      </c>
      <c r="E172" s="661" t="s">
        <v>1303</v>
      </c>
      <c r="F172" s="664"/>
      <c r="G172" s="664"/>
      <c r="H172" s="677">
        <v>0</v>
      </c>
      <c r="I172" s="664">
        <v>1</v>
      </c>
      <c r="J172" s="664">
        <v>204.76</v>
      </c>
      <c r="K172" s="677">
        <v>1</v>
      </c>
      <c r="L172" s="664">
        <v>1</v>
      </c>
      <c r="M172" s="665">
        <v>204.76</v>
      </c>
    </row>
    <row r="173" spans="1:13" ht="14.4" customHeight="1" x14ac:dyDescent="0.3">
      <c r="A173" s="660" t="s">
        <v>1922</v>
      </c>
      <c r="B173" s="661" t="s">
        <v>1843</v>
      </c>
      <c r="C173" s="661" t="s">
        <v>1085</v>
      </c>
      <c r="D173" s="661" t="s">
        <v>1844</v>
      </c>
      <c r="E173" s="661" t="s">
        <v>796</v>
      </c>
      <c r="F173" s="664"/>
      <c r="G173" s="664"/>
      <c r="H173" s="677">
        <v>0</v>
      </c>
      <c r="I173" s="664">
        <v>1</v>
      </c>
      <c r="J173" s="664">
        <v>124.91</v>
      </c>
      <c r="K173" s="677">
        <v>1</v>
      </c>
      <c r="L173" s="664">
        <v>1</v>
      </c>
      <c r="M173" s="665">
        <v>124.91</v>
      </c>
    </row>
    <row r="174" spans="1:13" ht="14.4" customHeight="1" x14ac:dyDescent="0.3">
      <c r="A174" s="660" t="s">
        <v>1922</v>
      </c>
      <c r="B174" s="661" t="s">
        <v>1843</v>
      </c>
      <c r="C174" s="661" t="s">
        <v>1131</v>
      </c>
      <c r="D174" s="661" t="s">
        <v>1845</v>
      </c>
      <c r="E174" s="661" t="s">
        <v>1149</v>
      </c>
      <c r="F174" s="664"/>
      <c r="G174" s="664"/>
      <c r="H174" s="677">
        <v>0</v>
      </c>
      <c r="I174" s="664">
        <v>2</v>
      </c>
      <c r="J174" s="664">
        <v>386.2</v>
      </c>
      <c r="K174" s="677">
        <v>1</v>
      </c>
      <c r="L174" s="664">
        <v>2</v>
      </c>
      <c r="M174" s="665">
        <v>386.2</v>
      </c>
    </row>
    <row r="175" spans="1:13" ht="14.4" customHeight="1" x14ac:dyDescent="0.3">
      <c r="A175" s="660" t="s">
        <v>1922</v>
      </c>
      <c r="B175" s="661" t="s">
        <v>1863</v>
      </c>
      <c r="C175" s="661" t="s">
        <v>1223</v>
      </c>
      <c r="D175" s="661" t="s">
        <v>1224</v>
      </c>
      <c r="E175" s="661" t="s">
        <v>1864</v>
      </c>
      <c r="F175" s="664"/>
      <c r="G175" s="664"/>
      <c r="H175" s="677">
        <v>0</v>
      </c>
      <c r="I175" s="664">
        <v>1</v>
      </c>
      <c r="J175" s="664">
        <v>66.819999999999993</v>
      </c>
      <c r="K175" s="677">
        <v>1</v>
      </c>
      <c r="L175" s="664">
        <v>1</v>
      </c>
      <c r="M175" s="665">
        <v>66.819999999999993</v>
      </c>
    </row>
    <row r="176" spans="1:13" ht="14.4" customHeight="1" x14ac:dyDescent="0.3">
      <c r="A176" s="660" t="s">
        <v>1922</v>
      </c>
      <c r="B176" s="661" t="s">
        <v>1874</v>
      </c>
      <c r="C176" s="661" t="s">
        <v>2157</v>
      </c>
      <c r="D176" s="661" t="s">
        <v>2158</v>
      </c>
      <c r="E176" s="661" t="s">
        <v>2159</v>
      </c>
      <c r="F176" s="664"/>
      <c r="G176" s="664"/>
      <c r="H176" s="677">
        <v>0</v>
      </c>
      <c r="I176" s="664">
        <v>1</v>
      </c>
      <c r="J176" s="664">
        <v>132</v>
      </c>
      <c r="K176" s="677">
        <v>1</v>
      </c>
      <c r="L176" s="664">
        <v>1</v>
      </c>
      <c r="M176" s="665">
        <v>132</v>
      </c>
    </row>
    <row r="177" spans="1:13" ht="14.4" customHeight="1" x14ac:dyDescent="0.3">
      <c r="A177" s="660" t="s">
        <v>1924</v>
      </c>
      <c r="B177" s="661" t="s">
        <v>1822</v>
      </c>
      <c r="C177" s="661" t="s">
        <v>2020</v>
      </c>
      <c r="D177" s="661" t="s">
        <v>2021</v>
      </c>
      <c r="E177" s="661" t="s">
        <v>2022</v>
      </c>
      <c r="F177" s="664"/>
      <c r="G177" s="664"/>
      <c r="H177" s="677">
        <v>0</v>
      </c>
      <c r="I177" s="664">
        <v>2</v>
      </c>
      <c r="J177" s="664">
        <v>241.22</v>
      </c>
      <c r="K177" s="677">
        <v>1</v>
      </c>
      <c r="L177" s="664">
        <v>2</v>
      </c>
      <c r="M177" s="665">
        <v>241.22</v>
      </c>
    </row>
    <row r="178" spans="1:13" ht="14.4" customHeight="1" x14ac:dyDescent="0.3">
      <c r="A178" s="660" t="s">
        <v>1924</v>
      </c>
      <c r="B178" s="661" t="s">
        <v>1822</v>
      </c>
      <c r="C178" s="661" t="s">
        <v>1089</v>
      </c>
      <c r="D178" s="661" t="s">
        <v>1823</v>
      </c>
      <c r="E178" s="661" t="s">
        <v>1824</v>
      </c>
      <c r="F178" s="664"/>
      <c r="G178" s="664"/>
      <c r="H178" s="677">
        <v>0</v>
      </c>
      <c r="I178" s="664">
        <v>4</v>
      </c>
      <c r="J178" s="664">
        <v>738.96</v>
      </c>
      <c r="K178" s="677">
        <v>1</v>
      </c>
      <c r="L178" s="664">
        <v>4</v>
      </c>
      <c r="M178" s="665">
        <v>738.96</v>
      </c>
    </row>
    <row r="179" spans="1:13" ht="14.4" customHeight="1" x14ac:dyDescent="0.3">
      <c r="A179" s="660" t="s">
        <v>1924</v>
      </c>
      <c r="B179" s="661" t="s">
        <v>1825</v>
      </c>
      <c r="C179" s="661" t="s">
        <v>2178</v>
      </c>
      <c r="D179" s="661" t="s">
        <v>1072</v>
      </c>
      <c r="E179" s="661" t="s">
        <v>1042</v>
      </c>
      <c r="F179" s="664"/>
      <c r="G179" s="664"/>
      <c r="H179" s="677">
        <v>0</v>
      </c>
      <c r="I179" s="664">
        <v>1</v>
      </c>
      <c r="J179" s="664">
        <v>2309.36</v>
      </c>
      <c r="K179" s="677">
        <v>1</v>
      </c>
      <c r="L179" s="664">
        <v>1</v>
      </c>
      <c r="M179" s="665">
        <v>2309.36</v>
      </c>
    </row>
    <row r="180" spans="1:13" ht="14.4" customHeight="1" x14ac:dyDescent="0.3">
      <c r="A180" s="660" t="s">
        <v>1924</v>
      </c>
      <c r="B180" s="661" t="s">
        <v>1826</v>
      </c>
      <c r="C180" s="661" t="s">
        <v>1164</v>
      </c>
      <c r="D180" s="661" t="s">
        <v>1165</v>
      </c>
      <c r="E180" s="661" t="s">
        <v>1166</v>
      </c>
      <c r="F180" s="664"/>
      <c r="G180" s="664"/>
      <c r="H180" s="677">
        <v>0</v>
      </c>
      <c r="I180" s="664">
        <v>2</v>
      </c>
      <c r="J180" s="664">
        <v>186.86</v>
      </c>
      <c r="K180" s="677">
        <v>1</v>
      </c>
      <c r="L180" s="664">
        <v>2</v>
      </c>
      <c r="M180" s="665">
        <v>186.86</v>
      </c>
    </row>
    <row r="181" spans="1:13" ht="14.4" customHeight="1" x14ac:dyDescent="0.3">
      <c r="A181" s="660" t="s">
        <v>1924</v>
      </c>
      <c r="B181" s="661" t="s">
        <v>1829</v>
      </c>
      <c r="C181" s="661" t="s">
        <v>1010</v>
      </c>
      <c r="D181" s="661" t="s">
        <v>1011</v>
      </c>
      <c r="E181" s="661" t="s">
        <v>1830</v>
      </c>
      <c r="F181" s="664"/>
      <c r="G181" s="664"/>
      <c r="H181" s="677">
        <v>0</v>
      </c>
      <c r="I181" s="664">
        <v>5</v>
      </c>
      <c r="J181" s="664">
        <v>360</v>
      </c>
      <c r="K181" s="677">
        <v>1</v>
      </c>
      <c r="L181" s="664">
        <v>5</v>
      </c>
      <c r="M181" s="665">
        <v>360</v>
      </c>
    </row>
    <row r="182" spans="1:13" ht="14.4" customHeight="1" x14ac:dyDescent="0.3">
      <c r="A182" s="660" t="s">
        <v>1924</v>
      </c>
      <c r="B182" s="661" t="s">
        <v>1833</v>
      </c>
      <c r="C182" s="661" t="s">
        <v>1048</v>
      </c>
      <c r="D182" s="661" t="s">
        <v>1049</v>
      </c>
      <c r="E182" s="661" t="s">
        <v>1050</v>
      </c>
      <c r="F182" s="664"/>
      <c r="G182" s="664"/>
      <c r="H182" s="677">
        <v>0</v>
      </c>
      <c r="I182" s="664">
        <v>3</v>
      </c>
      <c r="J182" s="664">
        <v>105.33</v>
      </c>
      <c r="K182" s="677">
        <v>1</v>
      </c>
      <c r="L182" s="664">
        <v>3</v>
      </c>
      <c r="M182" s="665">
        <v>105.33</v>
      </c>
    </row>
    <row r="183" spans="1:13" ht="14.4" customHeight="1" x14ac:dyDescent="0.3">
      <c r="A183" s="660" t="s">
        <v>1924</v>
      </c>
      <c r="B183" s="661" t="s">
        <v>1833</v>
      </c>
      <c r="C183" s="661" t="s">
        <v>1052</v>
      </c>
      <c r="D183" s="661" t="s">
        <v>1053</v>
      </c>
      <c r="E183" s="661" t="s">
        <v>1054</v>
      </c>
      <c r="F183" s="664"/>
      <c r="G183" s="664"/>
      <c r="H183" s="677">
        <v>0</v>
      </c>
      <c r="I183" s="664">
        <v>1</v>
      </c>
      <c r="J183" s="664">
        <v>70.23</v>
      </c>
      <c r="K183" s="677">
        <v>1</v>
      </c>
      <c r="L183" s="664">
        <v>1</v>
      </c>
      <c r="M183" s="665">
        <v>70.23</v>
      </c>
    </row>
    <row r="184" spans="1:13" ht="14.4" customHeight="1" x14ac:dyDescent="0.3">
      <c r="A184" s="660" t="s">
        <v>1924</v>
      </c>
      <c r="B184" s="661" t="s">
        <v>1835</v>
      </c>
      <c r="C184" s="661" t="s">
        <v>2179</v>
      </c>
      <c r="D184" s="661" t="s">
        <v>2180</v>
      </c>
      <c r="E184" s="661" t="s">
        <v>1020</v>
      </c>
      <c r="F184" s="664"/>
      <c r="G184" s="664"/>
      <c r="H184" s="677">
        <v>0</v>
      </c>
      <c r="I184" s="664">
        <v>1</v>
      </c>
      <c r="J184" s="664">
        <v>39.729999999999997</v>
      </c>
      <c r="K184" s="677">
        <v>1</v>
      </c>
      <c r="L184" s="664">
        <v>1</v>
      </c>
      <c r="M184" s="665">
        <v>39.729999999999997</v>
      </c>
    </row>
    <row r="185" spans="1:13" ht="14.4" customHeight="1" x14ac:dyDescent="0.3">
      <c r="A185" s="660" t="s">
        <v>1924</v>
      </c>
      <c r="B185" s="661" t="s">
        <v>1836</v>
      </c>
      <c r="C185" s="661" t="s">
        <v>1963</v>
      </c>
      <c r="D185" s="661" t="s">
        <v>1094</v>
      </c>
      <c r="E185" s="661" t="s">
        <v>1050</v>
      </c>
      <c r="F185" s="664"/>
      <c r="G185" s="664"/>
      <c r="H185" s="677">
        <v>0</v>
      </c>
      <c r="I185" s="664">
        <v>1</v>
      </c>
      <c r="J185" s="664">
        <v>48.27</v>
      </c>
      <c r="K185" s="677">
        <v>1</v>
      </c>
      <c r="L185" s="664">
        <v>1</v>
      </c>
      <c r="M185" s="665">
        <v>48.27</v>
      </c>
    </row>
    <row r="186" spans="1:13" ht="14.4" customHeight="1" x14ac:dyDescent="0.3">
      <c r="A186" s="660" t="s">
        <v>1924</v>
      </c>
      <c r="B186" s="661" t="s">
        <v>1836</v>
      </c>
      <c r="C186" s="661" t="s">
        <v>1964</v>
      </c>
      <c r="D186" s="661" t="s">
        <v>1965</v>
      </c>
      <c r="E186" s="661" t="s">
        <v>1875</v>
      </c>
      <c r="F186" s="664"/>
      <c r="G186" s="664"/>
      <c r="H186" s="677">
        <v>0</v>
      </c>
      <c r="I186" s="664">
        <v>1</v>
      </c>
      <c r="J186" s="664">
        <v>96.53</v>
      </c>
      <c r="K186" s="677">
        <v>1</v>
      </c>
      <c r="L186" s="664">
        <v>1</v>
      </c>
      <c r="M186" s="665">
        <v>96.53</v>
      </c>
    </row>
    <row r="187" spans="1:13" ht="14.4" customHeight="1" x14ac:dyDescent="0.3">
      <c r="A187" s="660" t="s">
        <v>1924</v>
      </c>
      <c r="B187" s="661" t="s">
        <v>1837</v>
      </c>
      <c r="C187" s="661" t="s">
        <v>1063</v>
      </c>
      <c r="D187" s="661" t="s">
        <v>1839</v>
      </c>
      <c r="E187" s="661" t="s">
        <v>836</v>
      </c>
      <c r="F187" s="664"/>
      <c r="G187" s="664"/>
      <c r="H187" s="677">
        <v>0</v>
      </c>
      <c r="I187" s="664">
        <v>2</v>
      </c>
      <c r="J187" s="664">
        <v>96.54</v>
      </c>
      <c r="K187" s="677">
        <v>1</v>
      </c>
      <c r="L187" s="664">
        <v>2</v>
      </c>
      <c r="M187" s="665">
        <v>96.54</v>
      </c>
    </row>
    <row r="188" spans="1:13" ht="14.4" customHeight="1" x14ac:dyDescent="0.3">
      <c r="A188" s="660" t="s">
        <v>1924</v>
      </c>
      <c r="B188" s="661" t="s">
        <v>1843</v>
      </c>
      <c r="C188" s="661" t="s">
        <v>1131</v>
      </c>
      <c r="D188" s="661" t="s">
        <v>1845</v>
      </c>
      <c r="E188" s="661" t="s">
        <v>1149</v>
      </c>
      <c r="F188" s="664"/>
      <c r="G188" s="664"/>
      <c r="H188" s="677">
        <v>0</v>
      </c>
      <c r="I188" s="664">
        <v>3</v>
      </c>
      <c r="J188" s="664">
        <v>579.29999999999995</v>
      </c>
      <c r="K188" s="677">
        <v>1</v>
      </c>
      <c r="L188" s="664">
        <v>3</v>
      </c>
      <c r="M188" s="665">
        <v>579.29999999999995</v>
      </c>
    </row>
    <row r="189" spans="1:13" ht="14.4" customHeight="1" x14ac:dyDescent="0.3">
      <c r="A189" s="660" t="s">
        <v>1924</v>
      </c>
      <c r="B189" s="661" t="s">
        <v>1856</v>
      </c>
      <c r="C189" s="661" t="s">
        <v>1234</v>
      </c>
      <c r="D189" s="661" t="s">
        <v>1857</v>
      </c>
      <c r="E189" s="661" t="s">
        <v>1858</v>
      </c>
      <c r="F189" s="664"/>
      <c r="G189" s="664"/>
      <c r="H189" s="677">
        <v>0</v>
      </c>
      <c r="I189" s="664">
        <v>1</v>
      </c>
      <c r="J189" s="664">
        <v>150.04</v>
      </c>
      <c r="K189" s="677">
        <v>1</v>
      </c>
      <c r="L189" s="664">
        <v>1</v>
      </c>
      <c r="M189" s="665">
        <v>150.04</v>
      </c>
    </row>
    <row r="190" spans="1:13" ht="14.4" customHeight="1" x14ac:dyDescent="0.3">
      <c r="A190" s="660" t="s">
        <v>1925</v>
      </c>
      <c r="B190" s="661" t="s">
        <v>1821</v>
      </c>
      <c r="C190" s="661" t="s">
        <v>2531</v>
      </c>
      <c r="D190" s="661" t="s">
        <v>2532</v>
      </c>
      <c r="E190" s="661" t="s">
        <v>2533</v>
      </c>
      <c r="F190" s="664">
        <v>1</v>
      </c>
      <c r="G190" s="664">
        <v>0</v>
      </c>
      <c r="H190" s="677"/>
      <c r="I190" s="664"/>
      <c r="J190" s="664"/>
      <c r="K190" s="677"/>
      <c r="L190" s="664">
        <v>1</v>
      </c>
      <c r="M190" s="665">
        <v>0</v>
      </c>
    </row>
    <row r="191" spans="1:13" ht="14.4" customHeight="1" x14ac:dyDescent="0.3">
      <c r="A191" s="660" t="s">
        <v>1925</v>
      </c>
      <c r="B191" s="661" t="s">
        <v>1825</v>
      </c>
      <c r="C191" s="661" t="s">
        <v>2183</v>
      </c>
      <c r="D191" s="661" t="s">
        <v>1072</v>
      </c>
      <c r="E191" s="661" t="s">
        <v>2184</v>
      </c>
      <c r="F191" s="664"/>
      <c r="G191" s="664"/>
      <c r="H191" s="677">
        <v>0</v>
      </c>
      <c r="I191" s="664">
        <v>1</v>
      </c>
      <c r="J191" s="664">
        <v>277.12</v>
      </c>
      <c r="K191" s="677">
        <v>1</v>
      </c>
      <c r="L191" s="664">
        <v>1</v>
      </c>
      <c r="M191" s="665">
        <v>277.12</v>
      </c>
    </row>
    <row r="192" spans="1:13" ht="14.4" customHeight="1" x14ac:dyDescent="0.3">
      <c r="A192" s="660" t="s">
        <v>1925</v>
      </c>
      <c r="B192" s="661" t="s">
        <v>1826</v>
      </c>
      <c r="C192" s="661" t="s">
        <v>1164</v>
      </c>
      <c r="D192" s="661" t="s">
        <v>1165</v>
      </c>
      <c r="E192" s="661" t="s">
        <v>1166</v>
      </c>
      <c r="F192" s="664"/>
      <c r="G192" s="664"/>
      <c r="H192" s="677">
        <v>0</v>
      </c>
      <c r="I192" s="664">
        <v>3</v>
      </c>
      <c r="J192" s="664">
        <v>280.29000000000002</v>
      </c>
      <c r="K192" s="677">
        <v>1</v>
      </c>
      <c r="L192" s="664">
        <v>3</v>
      </c>
      <c r="M192" s="665">
        <v>280.29000000000002</v>
      </c>
    </row>
    <row r="193" spans="1:13" ht="14.4" customHeight="1" x14ac:dyDescent="0.3">
      <c r="A193" s="660" t="s">
        <v>1925</v>
      </c>
      <c r="B193" s="661" t="s">
        <v>1829</v>
      </c>
      <c r="C193" s="661" t="s">
        <v>1010</v>
      </c>
      <c r="D193" s="661" t="s">
        <v>1011</v>
      </c>
      <c r="E193" s="661" t="s">
        <v>1830</v>
      </c>
      <c r="F193" s="664"/>
      <c r="G193" s="664"/>
      <c r="H193" s="677">
        <v>0</v>
      </c>
      <c r="I193" s="664">
        <v>1</v>
      </c>
      <c r="J193" s="664">
        <v>72</v>
      </c>
      <c r="K193" s="677">
        <v>1</v>
      </c>
      <c r="L193" s="664">
        <v>1</v>
      </c>
      <c r="M193" s="665">
        <v>72</v>
      </c>
    </row>
    <row r="194" spans="1:13" ht="14.4" customHeight="1" x14ac:dyDescent="0.3">
      <c r="A194" s="660" t="s">
        <v>1925</v>
      </c>
      <c r="B194" s="661" t="s">
        <v>1829</v>
      </c>
      <c r="C194" s="661" t="s">
        <v>2181</v>
      </c>
      <c r="D194" s="661" t="s">
        <v>1011</v>
      </c>
      <c r="E194" s="661" t="s">
        <v>2182</v>
      </c>
      <c r="F194" s="664"/>
      <c r="G194" s="664"/>
      <c r="H194" s="677">
        <v>0</v>
      </c>
      <c r="I194" s="664">
        <v>2</v>
      </c>
      <c r="J194" s="664">
        <v>288.02</v>
      </c>
      <c r="K194" s="677">
        <v>1</v>
      </c>
      <c r="L194" s="664">
        <v>2</v>
      </c>
      <c r="M194" s="665">
        <v>288.02</v>
      </c>
    </row>
    <row r="195" spans="1:13" ht="14.4" customHeight="1" x14ac:dyDescent="0.3">
      <c r="A195" s="660" t="s">
        <v>1925</v>
      </c>
      <c r="B195" s="661" t="s">
        <v>1833</v>
      </c>
      <c r="C195" s="661" t="s">
        <v>2317</v>
      </c>
      <c r="D195" s="661" t="s">
        <v>1049</v>
      </c>
      <c r="E195" s="661" t="s">
        <v>1095</v>
      </c>
      <c r="F195" s="664">
        <v>1</v>
      </c>
      <c r="G195" s="664">
        <v>105.32</v>
      </c>
      <c r="H195" s="677">
        <v>1</v>
      </c>
      <c r="I195" s="664"/>
      <c r="J195" s="664"/>
      <c r="K195" s="677">
        <v>0</v>
      </c>
      <c r="L195" s="664">
        <v>1</v>
      </c>
      <c r="M195" s="665">
        <v>105.32</v>
      </c>
    </row>
    <row r="196" spans="1:13" ht="14.4" customHeight="1" x14ac:dyDescent="0.3">
      <c r="A196" s="660" t="s">
        <v>1925</v>
      </c>
      <c r="B196" s="661" t="s">
        <v>1833</v>
      </c>
      <c r="C196" s="661" t="s">
        <v>2038</v>
      </c>
      <c r="D196" s="661" t="s">
        <v>2039</v>
      </c>
      <c r="E196" s="661" t="s">
        <v>1050</v>
      </c>
      <c r="F196" s="664">
        <v>3</v>
      </c>
      <c r="G196" s="664">
        <v>105.33</v>
      </c>
      <c r="H196" s="677">
        <v>1</v>
      </c>
      <c r="I196" s="664"/>
      <c r="J196" s="664"/>
      <c r="K196" s="677">
        <v>0</v>
      </c>
      <c r="L196" s="664">
        <v>3</v>
      </c>
      <c r="M196" s="665">
        <v>105.33</v>
      </c>
    </row>
    <row r="197" spans="1:13" ht="14.4" customHeight="1" x14ac:dyDescent="0.3">
      <c r="A197" s="660" t="s">
        <v>1925</v>
      </c>
      <c r="B197" s="661" t="s">
        <v>1835</v>
      </c>
      <c r="C197" s="661" t="s">
        <v>2068</v>
      </c>
      <c r="D197" s="661" t="s">
        <v>1140</v>
      </c>
      <c r="E197" s="661" t="s">
        <v>2069</v>
      </c>
      <c r="F197" s="664"/>
      <c r="G197" s="664"/>
      <c r="H197" s="677">
        <v>0</v>
      </c>
      <c r="I197" s="664">
        <v>1</v>
      </c>
      <c r="J197" s="664">
        <v>176.58</v>
      </c>
      <c r="K197" s="677">
        <v>1</v>
      </c>
      <c r="L197" s="664">
        <v>1</v>
      </c>
      <c r="M197" s="665">
        <v>176.58</v>
      </c>
    </row>
    <row r="198" spans="1:13" ht="14.4" customHeight="1" x14ac:dyDescent="0.3">
      <c r="A198" s="660" t="s">
        <v>1925</v>
      </c>
      <c r="B198" s="661" t="s">
        <v>1837</v>
      </c>
      <c r="C198" s="661" t="s">
        <v>999</v>
      </c>
      <c r="D198" s="661" t="s">
        <v>1000</v>
      </c>
      <c r="E198" s="661" t="s">
        <v>1001</v>
      </c>
      <c r="F198" s="664"/>
      <c r="G198" s="664"/>
      <c r="H198" s="677">
        <v>0</v>
      </c>
      <c r="I198" s="664">
        <v>5</v>
      </c>
      <c r="J198" s="664">
        <v>52.05</v>
      </c>
      <c r="K198" s="677">
        <v>1</v>
      </c>
      <c r="L198" s="664">
        <v>5</v>
      </c>
      <c r="M198" s="665">
        <v>52.05</v>
      </c>
    </row>
    <row r="199" spans="1:13" ht="14.4" customHeight="1" x14ac:dyDescent="0.3">
      <c r="A199" s="660" t="s">
        <v>1925</v>
      </c>
      <c r="B199" s="661" t="s">
        <v>1840</v>
      </c>
      <c r="C199" s="661" t="s">
        <v>1135</v>
      </c>
      <c r="D199" s="661" t="s">
        <v>1841</v>
      </c>
      <c r="E199" s="661" t="s">
        <v>1137</v>
      </c>
      <c r="F199" s="664"/>
      <c r="G199" s="664"/>
      <c r="H199" s="677">
        <v>0</v>
      </c>
      <c r="I199" s="664">
        <v>1</v>
      </c>
      <c r="J199" s="664">
        <v>291.82</v>
      </c>
      <c r="K199" s="677">
        <v>1</v>
      </c>
      <c r="L199" s="664">
        <v>1</v>
      </c>
      <c r="M199" s="665">
        <v>291.82</v>
      </c>
    </row>
    <row r="200" spans="1:13" ht="14.4" customHeight="1" x14ac:dyDescent="0.3">
      <c r="A200" s="660" t="s">
        <v>1925</v>
      </c>
      <c r="B200" s="661" t="s">
        <v>1840</v>
      </c>
      <c r="C200" s="661" t="s">
        <v>2416</v>
      </c>
      <c r="D200" s="661" t="s">
        <v>1968</v>
      </c>
      <c r="E200" s="661" t="s">
        <v>1137</v>
      </c>
      <c r="F200" s="664"/>
      <c r="G200" s="664"/>
      <c r="H200" s="677">
        <v>0</v>
      </c>
      <c r="I200" s="664">
        <v>1</v>
      </c>
      <c r="J200" s="664">
        <v>583.62</v>
      </c>
      <c r="K200" s="677">
        <v>1</v>
      </c>
      <c r="L200" s="664">
        <v>1</v>
      </c>
      <c r="M200" s="665">
        <v>583.62</v>
      </c>
    </row>
    <row r="201" spans="1:13" ht="14.4" customHeight="1" x14ac:dyDescent="0.3">
      <c r="A201" s="660" t="s">
        <v>1925</v>
      </c>
      <c r="B201" s="661" t="s">
        <v>2580</v>
      </c>
      <c r="C201" s="661" t="s">
        <v>2548</v>
      </c>
      <c r="D201" s="661" t="s">
        <v>2011</v>
      </c>
      <c r="E201" s="661" t="s">
        <v>2549</v>
      </c>
      <c r="F201" s="664"/>
      <c r="G201" s="664"/>
      <c r="H201" s="677">
        <v>0</v>
      </c>
      <c r="I201" s="664">
        <v>1</v>
      </c>
      <c r="J201" s="664">
        <v>614.29999999999995</v>
      </c>
      <c r="K201" s="677">
        <v>1</v>
      </c>
      <c r="L201" s="664">
        <v>1</v>
      </c>
      <c r="M201" s="665">
        <v>614.29999999999995</v>
      </c>
    </row>
    <row r="202" spans="1:13" ht="14.4" customHeight="1" x14ac:dyDescent="0.3">
      <c r="A202" s="660" t="s">
        <v>1925</v>
      </c>
      <c r="B202" s="661" t="s">
        <v>1843</v>
      </c>
      <c r="C202" s="661" t="s">
        <v>2195</v>
      </c>
      <c r="D202" s="661" t="s">
        <v>1844</v>
      </c>
      <c r="E202" s="661" t="s">
        <v>2196</v>
      </c>
      <c r="F202" s="664"/>
      <c r="G202" s="664"/>
      <c r="H202" s="677">
        <v>0</v>
      </c>
      <c r="I202" s="664">
        <v>2</v>
      </c>
      <c r="J202" s="664">
        <v>832.74</v>
      </c>
      <c r="K202" s="677">
        <v>1</v>
      </c>
      <c r="L202" s="664">
        <v>2</v>
      </c>
      <c r="M202" s="665">
        <v>832.74</v>
      </c>
    </row>
    <row r="203" spans="1:13" ht="14.4" customHeight="1" x14ac:dyDescent="0.3">
      <c r="A203" s="660" t="s">
        <v>1925</v>
      </c>
      <c r="B203" s="661" t="s">
        <v>1846</v>
      </c>
      <c r="C203" s="661" t="s">
        <v>2427</v>
      </c>
      <c r="D203" s="661" t="s">
        <v>1974</v>
      </c>
      <c r="E203" s="661" t="s">
        <v>2428</v>
      </c>
      <c r="F203" s="664"/>
      <c r="G203" s="664"/>
      <c r="H203" s="677">
        <v>0</v>
      </c>
      <c r="I203" s="664">
        <v>2</v>
      </c>
      <c r="J203" s="664">
        <v>1158.6199999999999</v>
      </c>
      <c r="K203" s="677">
        <v>1</v>
      </c>
      <c r="L203" s="664">
        <v>2</v>
      </c>
      <c r="M203" s="665">
        <v>1158.6199999999999</v>
      </c>
    </row>
    <row r="204" spans="1:13" ht="14.4" customHeight="1" x14ac:dyDescent="0.3">
      <c r="A204" s="660" t="s">
        <v>1925</v>
      </c>
      <c r="B204" s="661" t="s">
        <v>2592</v>
      </c>
      <c r="C204" s="661" t="s">
        <v>2528</v>
      </c>
      <c r="D204" s="661" t="s">
        <v>2529</v>
      </c>
      <c r="E204" s="661" t="s">
        <v>2530</v>
      </c>
      <c r="F204" s="664"/>
      <c r="G204" s="664"/>
      <c r="H204" s="677">
        <v>0</v>
      </c>
      <c r="I204" s="664">
        <v>1</v>
      </c>
      <c r="J204" s="664">
        <v>556.04</v>
      </c>
      <c r="K204" s="677">
        <v>1</v>
      </c>
      <c r="L204" s="664">
        <v>1</v>
      </c>
      <c r="M204" s="665">
        <v>556.04</v>
      </c>
    </row>
    <row r="205" spans="1:13" ht="14.4" customHeight="1" x14ac:dyDescent="0.3">
      <c r="A205" s="660" t="s">
        <v>1925</v>
      </c>
      <c r="B205" s="661" t="s">
        <v>1856</v>
      </c>
      <c r="C205" s="661" t="s">
        <v>1234</v>
      </c>
      <c r="D205" s="661" t="s">
        <v>1857</v>
      </c>
      <c r="E205" s="661" t="s">
        <v>1858</v>
      </c>
      <c r="F205" s="664"/>
      <c r="G205" s="664"/>
      <c r="H205" s="677">
        <v>0</v>
      </c>
      <c r="I205" s="664">
        <v>1</v>
      </c>
      <c r="J205" s="664">
        <v>154.36000000000001</v>
      </c>
      <c r="K205" s="677">
        <v>1</v>
      </c>
      <c r="L205" s="664">
        <v>1</v>
      </c>
      <c r="M205" s="665">
        <v>154.36000000000001</v>
      </c>
    </row>
    <row r="206" spans="1:13" ht="14.4" customHeight="1" thickBot="1" x14ac:dyDescent="0.35">
      <c r="A206" s="666" t="s">
        <v>1925</v>
      </c>
      <c r="B206" s="667" t="s">
        <v>1876</v>
      </c>
      <c r="C206" s="667" t="s">
        <v>1116</v>
      </c>
      <c r="D206" s="667" t="s">
        <v>1117</v>
      </c>
      <c r="E206" s="667" t="s">
        <v>1877</v>
      </c>
      <c r="F206" s="670"/>
      <c r="G206" s="670"/>
      <c r="H206" s="678">
        <v>0</v>
      </c>
      <c r="I206" s="670">
        <v>1</v>
      </c>
      <c r="J206" s="670">
        <v>63.75</v>
      </c>
      <c r="K206" s="678">
        <v>1</v>
      </c>
      <c r="L206" s="670">
        <v>1</v>
      </c>
      <c r="M206" s="671">
        <v>63.75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77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179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552</v>
      </c>
      <c r="B5" s="645" t="s">
        <v>553</v>
      </c>
      <c r="C5" s="646" t="s">
        <v>554</v>
      </c>
      <c r="D5" s="646" t="s">
        <v>554</v>
      </c>
      <c r="E5" s="646"/>
      <c r="F5" s="646" t="s">
        <v>554</v>
      </c>
      <c r="G5" s="646" t="s">
        <v>554</v>
      </c>
      <c r="H5" s="646" t="s">
        <v>554</v>
      </c>
      <c r="I5" s="647" t="s">
        <v>554</v>
      </c>
      <c r="J5" s="648" t="s">
        <v>74</v>
      </c>
    </row>
    <row r="6" spans="1:10" ht="14.4" customHeight="1" x14ac:dyDescent="0.3">
      <c r="A6" s="644" t="s">
        <v>552</v>
      </c>
      <c r="B6" s="645" t="s">
        <v>2594</v>
      </c>
      <c r="C6" s="646" t="s">
        <v>554</v>
      </c>
      <c r="D6" s="646">
        <v>43.667250000000003</v>
      </c>
      <c r="E6" s="646"/>
      <c r="F6" s="646" t="s">
        <v>554</v>
      </c>
      <c r="G6" s="646" t="s">
        <v>554</v>
      </c>
      <c r="H6" s="646" t="s">
        <v>554</v>
      </c>
      <c r="I6" s="647" t="s">
        <v>554</v>
      </c>
      <c r="J6" s="648" t="s">
        <v>1</v>
      </c>
    </row>
    <row r="7" spans="1:10" ht="14.4" customHeight="1" x14ac:dyDescent="0.3">
      <c r="A7" s="644" t="s">
        <v>552</v>
      </c>
      <c r="B7" s="645" t="s">
        <v>356</v>
      </c>
      <c r="C7" s="646">
        <v>686.17252000000008</v>
      </c>
      <c r="D7" s="646">
        <v>523.27532000000201</v>
      </c>
      <c r="E7" s="646"/>
      <c r="F7" s="646">
        <v>680.99811999999997</v>
      </c>
      <c r="G7" s="646">
        <v>604.83331428254996</v>
      </c>
      <c r="H7" s="646">
        <v>76.164805717450008</v>
      </c>
      <c r="I7" s="647">
        <v>1.1259269354364123</v>
      </c>
      <c r="J7" s="648" t="s">
        <v>1</v>
      </c>
    </row>
    <row r="8" spans="1:10" ht="14.4" customHeight="1" x14ac:dyDescent="0.3">
      <c r="A8" s="644" t="s">
        <v>552</v>
      </c>
      <c r="B8" s="645" t="s">
        <v>357</v>
      </c>
      <c r="C8" s="646" t="s">
        <v>554</v>
      </c>
      <c r="D8" s="646">
        <v>66.796750000000003</v>
      </c>
      <c r="E8" s="646"/>
      <c r="F8" s="646">
        <v>211.76187999999999</v>
      </c>
      <c r="G8" s="646">
        <v>109.16666322818116</v>
      </c>
      <c r="H8" s="646">
        <v>102.59521677181883</v>
      </c>
      <c r="I8" s="647">
        <v>1.939803542015142</v>
      </c>
      <c r="J8" s="648" t="s">
        <v>1</v>
      </c>
    </row>
    <row r="9" spans="1:10" ht="14.4" customHeight="1" x14ac:dyDescent="0.3">
      <c r="A9" s="644" t="s">
        <v>552</v>
      </c>
      <c r="B9" s="645" t="s">
        <v>358</v>
      </c>
      <c r="C9" s="646">
        <v>76.878689999999992</v>
      </c>
      <c r="D9" s="646">
        <v>182.77187999999998</v>
      </c>
      <c r="E9" s="646"/>
      <c r="F9" s="646">
        <v>133.83347000000001</v>
      </c>
      <c r="G9" s="646">
        <v>186.33332746428465</v>
      </c>
      <c r="H9" s="646">
        <v>-52.499857464284645</v>
      </c>
      <c r="I9" s="647">
        <v>0.71824762548531462</v>
      </c>
      <c r="J9" s="648" t="s">
        <v>1</v>
      </c>
    </row>
    <row r="10" spans="1:10" ht="14.4" customHeight="1" x14ac:dyDescent="0.3">
      <c r="A10" s="644" t="s">
        <v>552</v>
      </c>
      <c r="B10" s="645" t="s">
        <v>359</v>
      </c>
      <c r="C10" s="646">
        <v>0.18149999999999999</v>
      </c>
      <c r="D10" s="646">
        <v>0.18149999999999999</v>
      </c>
      <c r="E10" s="646"/>
      <c r="F10" s="646">
        <v>0</v>
      </c>
      <c r="G10" s="646">
        <v>0.33333332283399997</v>
      </c>
      <c r="H10" s="646">
        <v>-0.33333332283399997</v>
      </c>
      <c r="I10" s="647">
        <v>0</v>
      </c>
      <c r="J10" s="648" t="s">
        <v>1</v>
      </c>
    </row>
    <row r="11" spans="1:10" ht="14.4" customHeight="1" x14ac:dyDescent="0.3">
      <c r="A11" s="644" t="s">
        <v>552</v>
      </c>
      <c r="B11" s="645" t="s">
        <v>360</v>
      </c>
      <c r="C11" s="646">
        <v>116.82333999999999</v>
      </c>
      <c r="D11" s="646">
        <v>102.2587</v>
      </c>
      <c r="E11" s="646"/>
      <c r="F11" s="646">
        <v>181.33664999999999</v>
      </c>
      <c r="G11" s="646">
        <v>170.33332796824598</v>
      </c>
      <c r="H11" s="646">
        <v>11.00332203175401</v>
      </c>
      <c r="I11" s="647">
        <v>1.0645987615166264</v>
      </c>
      <c r="J11" s="648" t="s">
        <v>1</v>
      </c>
    </row>
    <row r="12" spans="1:10" ht="14.4" customHeight="1" x14ac:dyDescent="0.3">
      <c r="A12" s="644" t="s">
        <v>552</v>
      </c>
      <c r="B12" s="645" t="s">
        <v>361</v>
      </c>
      <c r="C12" s="646">
        <v>3410.3259699999999</v>
      </c>
      <c r="D12" s="646">
        <v>3619.8511500000113</v>
      </c>
      <c r="E12" s="646"/>
      <c r="F12" s="646">
        <v>3839.3364500000002</v>
      </c>
      <c r="G12" s="646">
        <v>3816.6665464509165</v>
      </c>
      <c r="H12" s="646">
        <v>22.669903549083756</v>
      </c>
      <c r="I12" s="647">
        <v>1.0059397129073706</v>
      </c>
      <c r="J12" s="648" t="s">
        <v>1</v>
      </c>
    </row>
    <row r="13" spans="1:10" ht="14.4" customHeight="1" x14ac:dyDescent="0.3">
      <c r="A13" s="644" t="s">
        <v>552</v>
      </c>
      <c r="B13" s="645" t="s">
        <v>362</v>
      </c>
      <c r="C13" s="646">
        <v>198.8785</v>
      </c>
      <c r="D13" s="646">
        <v>175.72576000000001</v>
      </c>
      <c r="E13" s="646"/>
      <c r="F13" s="646">
        <v>162.36469</v>
      </c>
      <c r="G13" s="646">
        <v>186.16666080286785</v>
      </c>
      <c r="H13" s="646">
        <v>-23.801970802867856</v>
      </c>
      <c r="I13" s="647">
        <v>0.87214697465046231</v>
      </c>
      <c r="J13" s="648" t="s">
        <v>1</v>
      </c>
    </row>
    <row r="14" spans="1:10" ht="14.4" customHeight="1" x14ac:dyDescent="0.3">
      <c r="A14" s="644" t="s">
        <v>552</v>
      </c>
      <c r="B14" s="645" t="s">
        <v>363</v>
      </c>
      <c r="C14" s="646">
        <v>416.24940000000004</v>
      </c>
      <c r="D14" s="646">
        <v>252.90265000000102</v>
      </c>
      <c r="E14" s="646"/>
      <c r="F14" s="646">
        <v>309.04785000000004</v>
      </c>
      <c r="G14" s="646">
        <v>321.66665653494664</v>
      </c>
      <c r="H14" s="646">
        <v>-12.6188065349466</v>
      </c>
      <c r="I14" s="647">
        <v>0.96077054839665776</v>
      </c>
      <c r="J14" s="648" t="s">
        <v>1</v>
      </c>
    </row>
    <row r="15" spans="1:10" ht="14.4" customHeight="1" x14ac:dyDescent="0.3">
      <c r="A15" s="644" t="s">
        <v>552</v>
      </c>
      <c r="B15" s="645" t="s">
        <v>364</v>
      </c>
      <c r="C15" s="646">
        <v>58.1267</v>
      </c>
      <c r="D15" s="646">
        <v>5.6847599999999998</v>
      </c>
      <c r="E15" s="646"/>
      <c r="F15" s="646">
        <v>14.630400000000002</v>
      </c>
      <c r="G15" s="646">
        <v>41.833332015684498</v>
      </c>
      <c r="H15" s="646">
        <v>-27.202932015684496</v>
      </c>
      <c r="I15" s="647">
        <v>0.34973068830650761</v>
      </c>
      <c r="J15" s="648" t="s">
        <v>1</v>
      </c>
    </row>
    <row r="16" spans="1:10" ht="14.4" customHeight="1" x14ac:dyDescent="0.3">
      <c r="A16" s="644" t="s">
        <v>552</v>
      </c>
      <c r="B16" s="645" t="s">
        <v>365</v>
      </c>
      <c r="C16" s="646">
        <v>35.67024</v>
      </c>
      <c r="D16" s="646">
        <v>41.107219999999998</v>
      </c>
      <c r="E16" s="646"/>
      <c r="F16" s="646">
        <v>43.95635</v>
      </c>
      <c r="G16" s="646">
        <v>44.666665259774668</v>
      </c>
      <c r="H16" s="646">
        <v>-0.71031525977466714</v>
      </c>
      <c r="I16" s="647">
        <v>0.9840974190563907</v>
      </c>
      <c r="J16" s="648" t="s">
        <v>1</v>
      </c>
    </row>
    <row r="17" spans="1:10" ht="14.4" customHeight="1" x14ac:dyDescent="0.3">
      <c r="A17" s="644" t="s">
        <v>552</v>
      </c>
      <c r="B17" s="645" t="s">
        <v>366</v>
      </c>
      <c r="C17" s="646">
        <v>888.9237599999999</v>
      </c>
      <c r="D17" s="646">
        <v>470.14146000000102</v>
      </c>
      <c r="E17" s="646"/>
      <c r="F17" s="646">
        <v>624.52295000000106</v>
      </c>
      <c r="G17" s="646">
        <v>505.33331741655837</v>
      </c>
      <c r="H17" s="646">
        <v>119.18963258344269</v>
      </c>
      <c r="I17" s="647">
        <v>1.235863396446492</v>
      </c>
      <c r="J17" s="648" t="s">
        <v>1</v>
      </c>
    </row>
    <row r="18" spans="1:10" ht="14.4" customHeight="1" x14ac:dyDescent="0.3">
      <c r="A18" s="644" t="s">
        <v>552</v>
      </c>
      <c r="B18" s="645" t="s">
        <v>367</v>
      </c>
      <c r="C18" s="646" t="s">
        <v>554</v>
      </c>
      <c r="D18" s="646" t="s">
        <v>554</v>
      </c>
      <c r="E18" s="646"/>
      <c r="F18" s="646">
        <v>119.65058999999999</v>
      </c>
      <c r="G18" s="646">
        <v>0</v>
      </c>
      <c r="H18" s="646">
        <v>119.65058999999999</v>
      </c>
      <c r="I18" s="647" t="s">
        <v>554</v>
      </c>
      <c r="J18" s="648" t="s">
        <v>1</v>
      </c>
    </row>
    <row r="19" spans="1:10" ht="14.4" customHeight="1" x14ac:dyDescent="0.3">
      <c r="A19" s="644" t="s">
        <v>552</v>
      </c>
      <c r="B19" s="645" t="s">
        <v>369</v>
      </c>
      <c r="C19" s="646">
        <v>125.33651</v>
      </c>
      <c r="D19" s="646">
        <v>0</v>
      </c>
      <c r="E19" s="646"/>
      <c r="F19" s="646">
        <v>33.3018</v>
      </c>
      <c r="G19" s="646">
        <v>10.333076199333666</v>
      </c>
      <c r="H19" s="646">
        <v>22.968723800666332</v>
      </c>
      <c r="I19" s="647">
        <v>3.2228350355286728</v>
      </c>
      <c r="J19" s="648" t="s">
        <v>1</v>
      </c>
    </row>
    <row r="20" spans="1:10" ht="14.4" customHeight="1" x14ac:dyDescent="0.3">
      <c r="A20" s="644" t="s">
        <v>552</v>
      </c>
      <c r="B20" s="645" t="s">
        <v>556</v>
      </c>
      <c r="C20" s="646">
        <v>6013.5671299999995</v>
      </c>
      <c r="D20" s="646">
        <v>5484.3644000000149</v>
      </c>
      <c r="E20" s="646"/>
      <c r="F20" s="646">
        <v>6354.7412000000022</v>
      </c>
      <c r="G20" s="646">
        <v>5997.6662209461792</v>
      </c>
      <c r="H20" s="646">
        <v>357.07497905382297</v>
      </c>
      <c r="I20" s="647">
        <v>1.0595356536858918</v>
      </c>
      <c r="J20" s="648" t="s">
        <v>557</v>
      </c>
    </row>
    <row r="22" spans="1:10" ht="14.4" customHeight="1" x14ac:dyDescent="0.3">
      <c r="A22" s="644" t="s">
        <v>552</v>
      </c>
      <c r="B22" s="645" t="s">
        <v>553</v>
      </c>
      <c r="C22" s="646" t="s">
        <v>554</v>
      </c>
      <c r="D22" s="646" t="s">
        <v>554</v>
      </c>
      <c r="E22" s="646"/>
      <c r="F22" s="646" t="s">
        <v>554</v>
      </c>
      <c r="G22" s="646" t="s">
        <v>554</v>
      </c>
      <c r="H22" s="646" t="s">
        <v>554</v>
      </c>
      <c r="I22" s="647" t="s">
        <v>554</v>
      </c>
      <c r="J22" s="648" t="s">
        <v>74</v>
      </c>
    </row>
    <row r="23" spans="1:10" ht="14.4" customHeight="1" x14ac:dyDescent="0.3">
      <c r="A23" s="644" t="s">
        <v>558</v>
      </c>
      <c r="B23" s="645" t="s">
        <v>559</v>
      </c>
      <c r="C23" s="646" t="s">
        <v>554</v>
      </c>
      <c r="D23" s="646" t="s">
        <v>554</v>
      </c>
      <c r="E23" s="646"/>
      <c r="F23" s="646" t="s">
        <v>554</v>
      </c>
      <c r="G23" s="646" t="s">
        <v>554</v>
      </c>
      <c r="H23" s="646" t="s">
        <v>554</v>
      </c>
      <c r="I23" s="647" t="s">
        <v>554</v>
      </c>
      <c r="J23" s="648" t="s">
        <v>0</v>
      </c>
    </row>
    <row r="24" spans="1:10" ht="14.4" customHeight="1" x14ac:dyDescent="0.3">
      <c r="A24" s="644" t="s">
        <v>558</v>
      </c>
      <c r="B24" s="645" t="s">
        <v>356</v>
      </c>
      <c r="C24" s="646">
        <v>0</v>
      </c>
      <c r="D24" s="646">
        <v>0</v>
      </c>
      <c r="E24" s="646"/>
      <c r="F24" s="646" t="s">
        <v>554</v>
      </c>
      <c r="G24" s="646" t="s">
        <v>554</v>
      </c>
      <c r="H24" s="646" t="s">
        <v>554</v>
      </c>
      <c r="I24" s="647" t="s">
        <v>554</v>
      </c>
      <c r="J24" s="648" t="s">
        <v>1</v>
      </c>
    </row>
    <row r="25" spans="1:10" ht="14.4" customHeight="1" x14ac:dyDescent="0.3">
      <c r="A25" s="644" t="s">
        <v>558</v>
      </c>
      <c r="B25" s="645" t="s">
        <v>358</v>
      </c>
      <c r="C25" s="646">
        <v>0.2263</v>
      </c>
      <c r="D25" s="646">
        <v>3.0217399999999999</v>
      </c>
      <c r="E25" s="646"/>
      <c r="F25" s="646">
        <v>0.42144000000000004</v>
      </c>
      <c r="G25" s="646">
        <v>2.6417558939816668</v>
      </c>
      <c r="H25" s="646">
        <v>-2.2203158939816667</v>
      </c>
      <c r="I25" s="647">
        <v>0.15953025824986566</v>
      </c>
      <c r="J25" s="648" t="s">
        <v>1</v>
      </c>
    </row>
    <row r="26" spans="1:10" ht="14.4" customHeight="1" x14ac:dyDescent="0.3">
      <c r="A26" s="644" t="s">
        <v>558</v>
      </c>
      <c r="B26" s="645" t="s">
        <v>359</v>
      </c>
      <c r="C26" s="646">
        <v>0</v>
      </c>
      <c r="D26" s="646">
        <v>0</v>
      </c>
      <c r="E26" s="646"/>
      <c r="F26" s="646" t="s">
        <v>554</v>
      </c>
      <c r="G26" s="646" t="s">
        <v>554</v>
      </c>
      <c r="H26" s="646" t="s">
        <v>554</v>
      </c>
      <c r="I26" s="647" t="s">
        <v>554</v>
      </c>
      <c r="J26" s="648" t="s">
        <v>1</v>
      </c>
    </row>
    <row r="27" spans="1:10" ht="14.4" customHeight="1" x14ac:dyDescent="0.3">
      <c r="A27" s="644" t="s">
        <v>558</v>
      </c>
      <c r="B27" s="645" t="s">
        <v>360</v>
      </c>
      <c r="C27" s="646">
        <v>31.47334</v>
      </c>
      <c r="D27" s="646">
        <v>17.58051</v>
      </c>
      <c r="E27" s="646"/>
      <c r="F27" s="646">
        <v>69.407299999999992</v>
      </c>
      <c r="G27" s="646">
        <v>52.986664115610999</v>
      </c>
      <c r="H27" s="646">
        <v>16.420635884388993</v>
      </c>
      <c r="I27" s="647">
        <v>1.3099012960801042</v>
      </c>
      <c r="J27" s="648" t="s">
        <v>1</v>
      </c>
    </row>
    <row r="28" spans="1:10" ht="14.4" customHeight="1" x14ac:dyDescent="0.3">
      <c r="A28" s="644" t="s">
        <v>558</v>
      </c>
      <c r="B28" s="645" t="s">
        <v>361</v>
      </c>
      <c r="C28" s="646">
        <v>46.92136</v>
      </c>
      <c r="D28" s="646">
        <v>84.599599999999995</v>
      </c>
      <c r="E28" s="646"/>
      <c r="F28" s="646">
        <v>73.821570000000008</v>
      </c>
      <c r="G28" s="646">
        <v>95.123568634347819</v>
      </c>
      <c r="H28" s="646">
        <v>-21.301998634347811</v>
      </c>
      <c r="I28" s="647">
        <v>0.77605971958188336</v>
      </c>
      <c r="J28" s="648" t="s">
        <v>1</v>
      </c>
    </row>
    <row r="29" spans="1:10" ht="14.4" customHeight="1" x14ac:dyDescent="0.3">
      <c r="A29" s="644" t="s">
        <v>558</v>
      </c>
      <c r="B29" s="645" t="s">
        <v>362</v>
      </c>
      <c r="C29" s="646">
        <v>4.0480200000000002</v>
      </c>
      <c r="D29" s="646">
        <v>4.5926999999999998</v>
      </c>
      <c r="E29" s="646"/>
      <c r="F29" s="646">
        <v>5.5852199999999996</v>
      </c>
      <c r="G29" s="646">
        <v>6.792148360632833</v>
      </c>
      <c r="H29" s="646">
        <v>-1.2069283606328334</v>
      </c>
      <c r="I29" s="647">
        <v>0.82230535957839668</v>
      </c>
      <c r="J29" s="648" t="s">
        <v>1</v>
      </c>
    </row>
    <row r="30" spans="1:10" ht="14.4" customHeight="1" x14ac:dyDescent="0.3">
      <c r="A30" s="644" t="s">
        <v>558</v>
      </c>
      <c r="B30" s="645" t="s">
        <v>363</v>
      </c>
      <c r="C30" s="646">
        <v>0</v>
      </c>
      <c r="D30" s="646" t="s">
        <v>554</v>
      </c>
      <c r="E30" s="646"/>
      <c r="F30" s="646" t="s">
        <v>554</v>
      </c>
      <c r="G30" s="646" t="s">
        <v>554</v>
      </c>
      <c r="H30" s="646" t="s">
        <v>554</v>
      </c>
      <c r="I30" s="647" t="s">
        <v>554</v>
      </c>
      <c r="J30" s="648" t="s">
        <v>1</v>
      </c>
    </row>
    <row r="31" spans="1:10" ht="14.4" customHeight="1" x14ac:dyDescent="0.3">
      <c r="A31" s="644" t="s">
        <v>558</v>
      </c>
      <c r="B31" s="645" t="s">
        <v>364</v>
      </c>
      <c r="C31" s="646">
        <v>0.18</v>
      </c>
      <c r="D31" s="646">
        <v>0.30199999999999999</v>
      </c>
      <c r="E31" s="646"/>
      <c r="F31" s="646">
        <v>1.9022000000000001</v>
      </c>
      <c r="G31" s="646">
        <v>1.4650322088516667</v>
      </c>
      <c r="H31" s="646">
        <v>0.43716779114833337</v>
      </c>
      <c r="I31" s="647">
        <v>1.2984014880403194</v>
      </c>
      <c r="J31" s="648" t="s">
        <v>1</v>
      </c>
    </row>
    <row r="32" spans="1:10" ht="14.4" customHeight="1" x14ac:dyDescent="0.3">
      <c r="A32" s="644" t="s">
        <v>558</v>
      </c>
      <c r="B32" s="645" t="s">
        <v>365</v>
      </c>
      <c r="C32" s="646">
        <v>4.7404999999999999</v>
      </c>
      <c r="D32" s="646">
        <v>9.1679999999999993</v>
      </c>
      <c r="E32" s="646"/>
      <c r="F32" s="646">
        <v>10.031500000000001</v>
      </c>
      <c r="G32" s="646">
        <v>10.348561064429001</v>
      </c>
      <c r="H32" s="646">
        <v>-0.31706106442899973</v>
      </c>
      <c r="I32" s="647">
        <v>0.96936182117929126</v>
      </c>
      <c r="J32" s="648" t="s">
        <v>1</v>
      </c>
    </row>
    <row r="33" spans="1:10" ht="14.4" customHeight="1" x14ac:dyDescent="0.3">
      <c r="A33" s="644" t="s">
        <v>558</v>
      </c>
      <c r="B33" s="645" t="s">
        <v>367</v>
      </c>
      <c r="C33" s="646" t="s">
        <v>554</v>
      </c>
      <c r="D33" s="646" t="s">
        <v>554</v>
      </c>
      <c r="E33" s="646"/>
      <c r="F33" s="646">
        <v>8.0225000000000009</v>
      </c>
      <c r="G33" s="646">
        <v>0</v>
      </c>
      <c r="H33" s="646">
        <v>8.0225000000000009</v>
      </c>
      <c r="I33" s="647" t="s">
        <v>554</v>
      </c>
      <c r="J33" s="648" t="s">
        <v>1</v>
      </c>
    </row>
    <row r="34" spans="1:10" ht="14.4" customHeight="1" x14ac:dyDescent="0.3">
      <c r="A34" s="644" t="s">
        <v>558</v>
      </c>
      <c r="B34" s="645" t="s">
        <v>560</v>
      </c>
      <c r="C34" s="646">
        <v>87.589519999999993</v>
      </c>
      <c r="D34" s="646">
        <v>119.26454999999999</v>
      </c>
      <c r="E34" s="646"/>
      <c r="F34" s="646">
        <v>169.19172999999998</v>
      </c>
      <c r="G34" s="646">
        <v>169.35773027785396</v>
      </c>
      <c r="H34" s="646">
        <v>-0.16600027785398197</v>
      </c>
      <c r="I34" s="647">
        <v>0.99901982461868355</v>
      </c>
      <c r="J34" s="648" t="s">
        <v>561</v>
      </c>
    </row>
    <row r="35" spans="1:10" ht="14.4" customHeight="1" x14ac:dyDescent="0.3">
      <c r="A35" s="644" t="s">
        <v>554</v>
      </c>
      <c r="B35" s="645" t="s">
        <v>554</v>
      </c>
      <c r="C35" s="646" t="s">
        <v>554</v>
      </c>
      <c r="D35" s="646" t="s">
        <v>554</v>
      </c>
      <c r="E35" s="646"/>
      <c r="F35" s="646" t="s">
        <v>554</v>
      </c>
      <c r="G35" s="646" t="s">
        <v>554</v>
      </c>
      <c r="H35" s="646" t="s">
        <v>554</v>
      </c>
      <c r="I35" s="647" t="s">
        <v>554</v>
      </c>
      <c r="J35" s="648" t="s">
        <v>562</v>
      </c>
    </row>
    <row r="36" spans="1:10" ht="14.4" customHeight="1" x14ac:dyDescent="0.3">
      <c r="A36" s="644" t="s">
        <v>2595</v>
      </c>
      <c r="B36" s="645" t="s">
        <v>2596</v>
      </c>
      <c r="C36" s="646" t="s">
        <v>554</v>
      </c>
      <c r="D36" s="646" t="s">
        <v>554</v>
      </c>
      <c r="E36" s="646"/>
      <c r="F36" s="646" t="s">
        <v>554</v>
      </c>
      <c r="G36" s="646" t="s">
        <v>554</v>
      </c>
      <c r="H36" s="646" t="s">
        <v>554</v>
      </c>
      <c r="I36" s="647" t="s">
        <v>554</v>
      </c>
      <c r="J36" s="648" t="s">
        <v>0</v>
      </c>
    </row>
    <row r="37" spans="1:10" ht="14.4" customHeight="1" x14ac:dyDescent="0.3">
      <c r="A37" s="644" t="s">
        <v>2595</v>
      </c>
      <c r="B37" s="645" t="s">
        <v>361</v>
      </c>
      <c r="C37" s="646">
        <v>217.15201999999999</v>
      </c>
      <c r="D37" s="646">
        <v>0</v>
      </c>
      <c r="E37" s="646"/>
      <c r="F37" s="646">
        <v>181.48107999999999</v>
      </c>
      <c r="G37" s="646">
        <v>89.205770303376497</v>
      </c>
      <c r="H37" s="646">
        <v>92.275309696623495</v>
      </c>
      <c r="I37" s="647">
        <v>2.0344096506628206</v>
      </c>
      <c r="J37" s="648" t="s">
        <v>1</v>
      </c>
    </row>
    <row r="38" spans="1:10" ht="14.4" customHeight="1" x14ac:dyDescent="0.3">
      <c r="A38" s="644" t="s">
        <v>2595</v>
      </c>
      <c r="B38" s="645" t="s">
        <v>362</v>
      </c>
      <c r="C38" s="646">
        <v>0</v>
      </c>
      <c r="D38" s="646" t="s">
        <v>554</v>
      </c>
      <c r="E38" s="646"/>
      <c r="F38" s="646" t="s">
        <v>554</v>
      </c>
      <c r="G38" s="646" t="s">
        <v>554</v>
      </c>
      <c r="H38" s="646" t="s">
        <v>554</v>
      </c>
      <c r="I38" s="647" t="s">
        <v>554</v>
      </c>
      <c r="J38" s="648" t="s">
        <v>1</v>
      </c>
    </row>
    <row r="39" spans="1:10" ht="14.4" customHeight="1" x14ac:dyDescent="0.3">
      <c r="A39" s="644" t="s">
        <v>2595</v>
      </c>
      <c r="B39" s="645" t="s">
        <v>2597</v>
      </c>
      <c r="C39" s="646">
        <v>217.15201999999999</v>
      </c>
      <c r="D39" s="646">
        <v>0</v>
      </c>
      <c r="E39" s="646"/>
      <c r="F39" s="646">
        <v>181.48107999999999</v>
      </c>
      <c r="G39" s="646">
        <v>89.205770303376497</v>
      </c>
      <c r="H39" s="646">
        <v>92.275309696623495</v>
      </c>
      <c r="I39" s="647">
        <v>2.0344096506628206</v>
      </c>
      <c r="J39" s="648" t="s">
        <v>561</v>
      </c>
    </row>
    <row r="40" spans="1:10" ht="14.4" customHeight="1" x14ac:dyDescent="0.3">
      <c r="A40" s="644" t="s">
        <v>554</v>
      </c>
      <c r="B40" s="645" t="s">
        <v>554</v>
      </c>
      <c r="C40" s="646" t="s">
        <v>554</v>
      </c>
      <c r="D40" s="646" t="s">
        <v>554</v>
      </c>
      <c r="E40" s="646"/>
      <c r="F40" s="646" t="s">
        <v>554</v>
      </c>
      <c r="G40" s="646" t="s">
        <v>554</v>
      </c>
      <c r="H40" s="646" t="s">
        <v>554</v>
      </c>
      <c r="I40" s="647" t="s">
        <v>554</v>
      </c>
      <c r="J40" s="648" t="s">
        <v>562</v>
      </c>
    </row>
    <row r="41" spans="1:10" ht="14.4" customHeight="1" x14ac:dyDescent="0.3">
      <c r="A41" s="644" t="s">
        <v>563</v>
      </c>
      <c r="B41" s="645" t="s">
        <v>564</v>
      </c>
      <c r="C41" s="646" t="s">
        <v>554</v>
      </c>
      <c r="D41" s="646" t="s">
        <v>554</v>
      </c>
      <c r="E41" s="646"/>
      <c r="F41" s="646" t="s">
        <v>554</v>
      </c>
      <c r="G41" s="646" t="s">
        <v>554</v>
      </c>
      <c r="H41" s="646" t="s">
        <v>554</v>
      </c>
      <c r="I41" s="647" t="s">
        <v>554</v>
      </c>
      <c r="J41" s="648" t="s">
        <v>0</v>
      </c>
    </row>
    <row r="42" spans="1:10" ht="14.4" customHeight="1" x14ac:dyDescent="0.3">
      <c r="A42" s="644" t="s">
        <v>563</v>
      </c>
      <c r="B42" s="645" t="s">
        <v>360</v>
      </c>
      <c r="C42" s="646">
        <v>2.2522500000000001</v>
      </c>
      <c r="D42" s="646">
        <v>0.64136000000000004</v>
      </c>
      <c r="E42" s="646"/>
      <c r="F42" s="646">
        <v>1.2980499999999999</v>
      </c>
      <c r="G42" s="646">
        <v>1.3099812742181667</v>
      </c>
      <c r="H42" s="646">
        <v>-1.1931274218166754E-2</v>
      </c>
      <c r="I42" s="647">
        <v>0.99089202689153888</v>
      </c>
      <c r="J42" s="648" t="s">
        <v>1</v>
      </c>
    </row>
    <row r="43" spans="1:10" ht="14.4" customHeight="1" x14ac:dyDescent="0.3">
      <c r="A43" s="644" t="s">
        <v>563</v>
      </c>
      <c r="B43" s="645" t="s">
        <v>361</v>
      </c>
      <c r="C43" s="646">
        <v>1.5168699999999999</v>
      </c>
      <c r="D43" s="646">
        <v>3.0444300000000002</v>
      </c>
      <c r="E43" s="646"/>
      <c r="F43" s="646">
        <v>2.1501399999999999</v>
      </c>
      <c r="G43" s="646">
        <v>2.6818508288939999</v>
      </c>
      <c r="H43" s="646">
        <v>-0.53171082889400001</v>
      </c>
      <c r="I43" s="647">
        <v>0.80173735870563745</v>
      </c>
      <c r="J43" s="648" t="s">
        <v>1</v>
      </c>
    </row>
    <row r="44" spans="1:10" ht="14.4" customHeight="1" x14ac:dyDescent="0.3">
      <c r="A44" s="644" t="s">
        <v>563</v>
      </c>
      <c r="B44" s="645" t="s">
        <v>364</v>
      </c>
      <c r="C44" s="646" t="s">
        <v>554</v>
      </c>
      <c r="D44" s="646">
        <v>0</v>
      </c>
      <c r="E44" s="646"/>
      <c r="F44" s="646">
        <v>0.03</v>
      </c>
      <c r="G44" s="646">
        <v>0.11610395860516666</v>
      </c>
      <c r="H44" s="646">
        <v>-8.6103958605166661E-2</v>
      </c>
      <c r="I44" s="647">
        <v>0.25838912264844166</v>
      </c>
      <c r="J44" s="648" t="s">
        <v>1</v>
      </c>
    </row>
    <row r="45" spans="1:10" ht="14.4" customHeight="1" x14ac:dyDescent="0.3">
      <c r="A45" s="644" t="s">
        <v>563</v>
      </c>
      <c r="B45" s="645" t="s">
        <v>365</v>
      </c>
      <c r="C45" s="646">
        <v>0</v>
      </c>
      <c r="D45" s="646">
        <v>7.8E-2</v>
      </c>
      <c r="E45" s="646"/>
      <c r="F45" s="646">
        <v>0.28399999999999997</v>
      </c>
      <c r="G45" s="646">
        <v>0.32586110600849999</v>
      </c>
      <c r="H45" s="646">
        <v>-4.1861106008500015E-2</v>
      </c>
      <c r="I45" s="647">
        <v>0.871536967018678</v>
      </c>
      <c r="J45" s="648" t="s">
        <v>1</v>
      </c>
    </row>
    <row r="46" spans="1:10" ht="14.4" customHeight="1" x14ac:dyDescent="0.3">
      <c r="A46" s="644" t="s">
        <v>563</v>
      </c>
      <c r="B46" s="645" t="s">
        <v>565</v>
      </c>
      <c r="C46" s="646">
        <v>3.76912</v>
      </c>
      <c r="D46" s="646">
        <v>3.7637900000000002</v>
      </c>
      <c r="E46" s="646"/>
      <c r="F46" s="646">
        <v>3.7621899999999995</v>
      </c>
      <c r="G46" s="646">
        <v>4.4337971677258334</v>
      </c>
      <c r="H46" s="646">
        <v>-0.67160716772583395</v>
      </c>
      <c r="I46" s="647">
        <v>0.84852550932763748</v>
      </c>
      <c r="J46" s="648" t="s">
        <v>561</v>
      </c>
    </row>
    <row r="47" spans="1:10" ht="14.4" customHeight="1" x14ac:dyDescent="0.3">
      <c r="A47" s="644" t="s">
        <v>554</v>
      </c>
      <c r="B47" s="645" t="s">
        <v>554</v>
      </c>
      <c r="C47" s="646" t="s">
        <v>554</v>
      </c>
      <c r="D47" s="646" t="s">
        <v>554</v>
      </c>
      <c r="E47" s="646"/>
      <c r="F47" s="646" t="s">
        <v>554</v>
      </c>
      <c r="G47" s="646" t="s">
        <v>554</v>
      </c>
      <c r="H47" s="646" t="s">
        <v>554</v>
      </c>
      <c r="I47" s="647" t="s">
        <v>554</v>
      </c>
      <c r="J47" s="648" t="s">
        <v>562</v>
      </c>
    </row>
    <row r="48" spans="1:10" ht="14.4" customHeight="1" x14ac:dyDescent="0.3">
      <c r="A48" s="644" t="s">
        <v>566</v>
      </c>
      <c r="B48" s="645" t="s">
        <v>567</v>
      </c>
      <c r="C48" s="646" t="s">
        <v>554</v>
      </c>
      <c r="D48" s="646" t="s">
        <v>554</v>
      </c>
      <c r="E48" s="646"/>
      <c r="F48" s="646" t="s">
        <v>554</v>
      </c>
      <c r="G48" s="646" t="s">
        <v>554</v>
      </c>
      <c r="H48" s="646" t="s">
        <v>554</v>
      </c>
      <c r="I48" s="647" t="s">
        <v>554</v>
      </c>
      <c r="J48" s="648" t="s">
        <v>0</v>
      </c>
    </row>
    <row r="49" spans="1:10" ht="14.4" customHeight="1" x14ac:dyDescent="0.3">
      <c r="A49" s="644" t="s">
        <v>566</v>
      </c>
      <c r="B49" s="645" t="s">
        <v>358</v>
      </c>
      <c r="C49" s="646">
        <v>76.195009999999996</v>
      </c>
      <c r="D49" s="646">
        <v>178.83537999999999</v>
      </c>
      <c r="E49" s="646"/>
      <c r="F49" s="646">
        <v>105.06130999999999</v>
      </c>
      <c r="G49" s="646">
        <v>166.82733826571166</v>
      </c>
      <c r="H49" s="646">
        <v>-61.766028265711668</v>
      </c>
      <c r="I49" s="647">
        <v>0.62976075199776438</v>
      </c>
      <c r="J49" s="648" t="s">
        <v>1</v>
      </c>
    </row>
    <row r="50" spans="1:10" ht="14.4" customHeight="1" x14ac:dyDescent="0.3">
      <c r="A50" s="644" t="s">
        <v>566</v>
      </c>
      <c r="B50" s="645" t="s">
        <v>359</v>
      </c>
      <c r="C50" s="646">
        <v>0.18149999999999999</v>
      </c>
      <c r="D50" s="646">
        <v>0.18149999999999999</v>
      </c>
      <c r="E50" s="646"/>
      <c r="F50" s="646">
        <v>0</v>
      </c>
      <c r="G50" s="646">
        <v>0.24351088266683332</v>
      </c>
      <c r="H50" s="646">
        <v>-0.24351088266683332</v>
      </c>
      <c r="I50" s="647">
        <v>0</v>
      </c>
      <c r="J50" s="648" t="s">
        <v>1</v>
      </c>
    </row>
    <row r="51" spans="1:10" ht="14.4" customHeight="1" x14ac:dyDescent="0.3">
      <c r="A51" s="644" t="s">
        <v>566</v>
      </c>
      <c r="B51" s="645" t="s">
        <v>360</v>
      </c>
      <c r="C51" s="646">
        <v>36.428750000000001</v>
      </c>
      <c r="D51" s="646">
        <v>20.125259999999997</v>
      </c>
      <c r="E51" s="646"/>
      <c r="F51" s="646">
        <v>49.569760000000002</v>
      </c>
      <c r="G51" s="646">
        <v>52.036811030810334</v>
      </c>
      <c r="H51" s="646">
        <v>-2.4670510308103317</v>
      </c>
      <c r="I51" s="647">
        <v>0.95259027250248629</v>
      </c>
      <c r="J51" s="648" t="s">
        <v>1</v>
      </c>
    </row>
    <row r="52" spans="1:10" ht="14.4" customHeight="1" x14ac:dyDescent="0.3">
      <c r="A52" s="644" t="s">
        <v>566</v>
      </c>
      <c r="B52" s="645" t="s">
        <v>361</v>
      </c>
      <c r="C52" s="646">
        <v>268.07074</v>
      </c>
      <c r="D52" s="646">
        <v>329.65431000000103</v>
      </c>
      <c r="E52" s="646"/>
      <c r="F52" s="646">
        <v>187.95780999999999</v>
      </c>
      <c r="G52" s="646">
        <v>366.8589004023317</v>
      </c>
      <c r="H52" s="646">
        <v>-178.9010904023317</v>
      </c>
      <c r="I52" s="647">
        <v>0.5123436007518638</v>
      </c>
      <c r="J52" s="648" t="s">
        <v>1</v>
      </c>
    </row>
    <row r="53" spans="1:10" ht="14.4" customHeight="1" x14ac:dyDescent="0.3">
      <c r="A53" s="644" t="s">
        <v>566</v>
      </c>
      <c r="B53" s="645" t="s">
        <v>362</v>
      </c>
      <c r="C53" s="646">
        <v>12.004</v>
      </c>
      <c r="D53" s="646">
        <v>41.8125</v>
      </c>
      <c r="E53" s="646"/>
      <c r="F53" s="646">
        <v>48.348500000000001</v>
      </c>
      <c r="G53" s="646">
        <v>26.081618302088163</v>
      </c>
      <c r="H53" s="646">
        <v>22.266881697911838</v>
      </c>
      <c r="I53" s="647">
        <v>1.8537385004261446</v>
      </c>
      <c r="J53" s="648" t="s">
        <v>1</v>
      </c>
    </row>
    <row r="54" spans="1:10" ht="14.4" customHeight="1" x14ac:dyDescent="0.3">
      <c r="A54" s="644" t="s">
        <v>566</v>
      </c>
      <c r="B54" s="645" t="s">
        <v>364</v>
      </c>
      <c r="C54" s="646">
        <v>1.72</v>
      </c>
      <c r="D54" s="646">
        <v>3.9782500000000001</v>
      </c>
      <c r="E54" s="646"/>
      <c r="F54" s="646">
        <v>5.3890000000000002</v>
      </c>
      <c r="G54" s="646">
        <v>4.4321853911098339</v>
      </c>
      <c r="H54" s="646">
        <v>0.95681460889016634</v>
      </c>
      <c r="I54" s="647">
        <v>1.2158787425294448</v>
      </c>
      <c r="J54" s="648" t="s">
        <v>1</v>
      </c>
    </row>
    <row r="55" spans="1:10" ht="14.4" customHeight="1" x14ac:dyDescent="0.3">
      <c r="A55" s="644" t="s">
        <v>566</v>
      </c>
      <c r="B55" s="645" t="s">
        <v>365</v>
      </c>
      <c r="C55" s="646">
        <v>19.641500000000001</v>
      </c>
      <c r="D55" s="646">
        <v>20.824999999999999</v>
      </c>
      <c r="E55" s="646"/>
      <c r="F55" s="646">
        <v>21.314399999999999</v>
      </c>
      <c r="G55" s="646">
        <v>21.370651032995166</v>
      </c>
      <c r="H55" s="646">
        <v>-5.6251032995167094E-2</v>
      </c>
      <c r="I55" s="647">
        <v>0.9973678371843554</v>
      </c>
      <c r="J55" s="648" t="s">
        <v>1</v>
      </c>
    </row>
    <row r="56" spans="1:10" ht="14.4" customHeight="1" x14ac:dyDescent="0.3">
      <c r="A56" s="644" t="s">
        <v>566</v>
      </c>
      <c r="B56" s="645" t="s">
        <v>366</v>
      </c>
      <c r="C56" s="646">
        <v>45.478139999999996</v>
      </c>
      <c r="D56" s="646">
        <v>22.417729999999999</v>
      </c>
      <c r="E56" s="646"/>
      <c r="F56" s="646">
        <v>43.495440000000002</v>
      </c>
      <c r="G56" s="646">
        <v>32.086086906191667</v>
      </c>
      <c r="H56" s="646">
        <v>11.409353093808335</v>
      </c>
      <c r="I56" s="647">
        <v>1.3555856819550864</v>
      </c>
      <c r="J56" s="648" t="s">
        <v>1</v>
      </c>
    </row>
    <row r="57" spans="1:10" ht="14.4" customHeight="1" x14ac:dyDescent="0.3">
      <c r="A57" s="644" t="s">
        <v>566</v>
      </c>
      <c r="B57" s="645" t="s">
        <v>367</v>
      </c>
      <c r="C57" s="646" t="s">
        <v>554</v>
      </c>
      <c r="D57" s="646" t="s">
        <v>554</v>
      </c>
      <c r="E57" s="646"/>
      <c r="F57" s="646">
        <v>15.530050000000001</v>
      </c>
      <c r="G57" s="646">
        <v>0</v>
      </c>
      <c r="H57" s="646">
        <v>15.530050000000001</v>
      </c>
      <c r="I57" s="647" t="s">
        <v>554</v>
      </c>
      <c r="J57" s="648" t="s">
        <v>1</v>
      </c>
    </row>
    <row r="58" spans="1:10" ht="14.4" customHeight="1" x14ac:dyDescent="0.3">
      <c r="A58" s="644" t="s">
        <v>566</v>
      </c>
      <c r="B58" s="645" t="s">
        <v>568</v>
      </c>
      <c r="C58" s="646">
        <v>459.71964000000003</v>
      </c>
      <c r="D58" s="646">
        <v>617.82993000000101</v>
      </c>
      <c r="E58" s="646"/>
      <c r="F58" s="646">
        <v>476.66627</v>
      </c>
      <c r="G58" s="646">
        <v>669.93710221390529</v>
      </c>
      <c r="H58" s="646">
        <v>-193.27083221390529</v>
      </c>
      <c r="I58" s="647">
        <v>0.71150898856741396</v>
      </c>
      <c r="J58" s="648" t="s">
        <v>561</v>
      </c>
    </row>
    <row r="59" spans="1:10" ht="14.4" customHeight="1" x14ac:dyDescent="0.3">
      <c r="A59" s="644" t="s">
        <v>554</v>
      </c>
      <c r="B59" s="645" t="s">
        <v>554</v>
      </c>
      <c r="C59" s="646" t="s">
        <v>554</v>
      </c>
      <c r="D59" s="646" t="s">
        <v>554</v>
      </c>
      <c r="E59" s="646"/>
      <c r="F59" s="646" t="s">
        <v>554</v>
      </c>
      <c r="G59" s="646" t="s">
        <v>554</v>
      </c>
      <c r="H59" s="646" t="s">
        <v>554</v>
      </c>
      <c r="I59" s="647" t="s">
        <v>554</v>
      </c>
      <c r="J59" s="648" t="s">
        <v>562</v>
      </c>
    </row>
    <row r="60" spans="1:10" ht="14.4" customHeight="1" x14ac:dyDescent="0.3">
      <c r="A60" s="644" t="s">
        <v>569</v>
      </c>
      <c r="B60" s="645" t="s">
        <v>570</v>
      </c>
      <c r="C60" s="646" t="s">
        <v>554</v>
      </c>
      <c r="D60" s="646" t="s">
        <v>554</v>
      </c>
      <c r="E60" s="646"/>
      <c r="F60" s="646" t="s">
        <v>554</v>
      </c>
      <c r="G60" s="646" t="s">
        <v>554</v>
      </c>
      <c r="H60" s="646" t="s">
        <v>554</v>
      </c>
      <c r="I60" s="647" t="s">
        <v>554</v>
      </c>
      <c r="J60" s="648" t="s">
        <v>0</v>
      </c>
    </row>
    <row r="61" spans="1:10" ht="14.4" customHeight="1" x14ac:dyDescent="0.3">
      <c r="A61" s="644" t="s">
        <v>569</v>
      </c>
      <c r="B61" s="645" t="s">
        <v>2594</v>
      </c>
      <c r="C61" s="646" t="s">
        <v>554</v>
      </c>
      <c r="D61" s="646">
        <v>43.667250000000003</v>
      </c>
      <c r="E61" s="646"/>
      <c r="F61" s="646" t="s">
        <v>554</v>
      </c>
      <c r="G61" s="646" t="s">
        <v>554</v>
      </c>
      <c r="H61" s="646" t="s">
        <v>554</v>
      </c>
      <c r="I61" s="647" t="s">
        <v>554</v>
      </c>
      <c r="J61" s="648" t="s">
        <v>1</v>
      </c>
    </row>
    <row r="62" spans="1:10" ht="14.4" customHeight="1" x14ac:dyDescent="0.3">
      <c r="A62" s="644" t="s">
        <v>569</v>
      </c>
      <c r="B62" s="645" t="s">
        <v>356</v>
      </c>
      <c r="C62" s="646">
        <v>686.17252000000008</v>
      </c>
      <c r="D62" s="646">
        <v>523.27532000000201</v>
      </c>
      <c r="E62" s="646"/>
      <c r="F62" s="646">
        <v>680.99811999999997</v>
      </c>
      <c r="G62" s="646">
        <v>604.83331428254996</v>
      </c>
      <c r="H62" s="646">
        <v>76.164805717450008</v>
      </c>
      <c r="I62" s="647">
        <v>1.1259269354364123</v>
      </c>
      <c r="J62" s="648" t="s">
        <v>1</v>
      </c>
    </row>
    <row r="63" spans="1:10" ht="14.4" customHeight="1" x14ac:dyDescent="0.3">
      <c r="A63" s="644" t="s">
        <v>569</v>
      </c>
      <c r="B63" s="645" t="s">
        <v>357</v>
      </c>
      <c r="C63" s="646" t="s">
        <v>554</v>
      </c>
      <c r="D63" s="646">
        <v>66.796750000000003</v>
      </c>
      <c r="E63" s="646"/>
      <c r="F63" s="646">
        <v>211.76187999999999</v>
      </c>
      <c r="G63" s="646">
        <v>109.16666322818116</v>
      </c>
      <c r="H63" s="646">
        <v>102.59521677181883</v>
      </c>
      <c r="I63" s="647">
        <v>1.939803542015142</v>
      </c>
      <c r="J63" s="648" t="s">
        <v>1</v>
      </c>
    </row>
    <row r="64" spans="1:10" ht="14.4" customHeight="1" x14ac:dyDescent="0.3">
      <c r="A64" s="644" t="s">
        <v>569</v>
      </c>
      <c r="B64" s="645" t="s">
        <v>358</v>
      </c>
      <c r="C64" s="646">
        <v>0.45738000000000001</v>
      </c>
      <c r="D64" s="646">
        <v>0.91476000000000002</v>
      </c>
      <c r="E64" s="646"/>
      <c r="F64" s="646">
        <v>28.350719999999999</v>
      </c>
      <c r="G64" s="646">
        <v>16.864233304591334</v>
      </c>
      <c r="H64" s="646">
        <v>11.486486695408665</v>
      </c>
      <c r="I64" s="647">
        <v>1.6811152625765344</v>
      </c>
      <c r="J64" s="648" t="s">
        <v>1</v>
      </c>
    </row>
    <row r="65" spans="1:10" ht="14.4" customHeight="1" x14ac:dyDescent="0.3">
      <c r="A65" s="644" t="s">
        <v>569</v>
      </c>
      <c r="B65" s="645" t="s">
        <v>359</v>
      </c>
      <c r="C65" s="646">
        <v>0</v>
      </c>
      <c r="D65" s="646">
        <v>0</v>
      </c>
      <c r="E65" s="646"/>
      <c r="F65" s="646">
        <v>0</v>
      </c>
      <c r="G65" s="646">
        <v>8.9822440167166673E-2</v>
      </c>
      <c r="H65" s="646">
        <v>-8.9822440167166673E-2</v>
      </c>
      <c r="I65" s="647">
        <v>0</v>
      </c>
      <c r="J65" s="648" t="s">
        <v>1</v>
      </c>
    </row>
    <row r="66" spans="1:10" ht="14.4" customHeight="1" x14ac:dyDescent="0.3">
      <c r="A66" s="644" t="s">
        <v>569</v>
      </c>
      <c r="B66" s="645" t="s">
        <v>360</v>
      </c>
      <c r="C66" s="646">
        <v>46.668999999999997</v>
      </c>
      <c r="D66" s="646">
        <v>63.911570000000005</v>
      </c>
      <c r="E66" s="646"/>
      <c r="F66" s="646">
        <v>61.061540000000001</v>
      </c>
      <c r="G66" s="646">
        <v>63.999871547606496</v>
      </c>
      <c r="H66" s="646">
        <v>-2.9383315476064951</v>
      </c>
      <c r="I66" s="647">
        <v>0.95408847742107095</v>
      </c>
      <c r="J66" s="648" t="s">
        <v>1</v>
      </c>
    </row>
    <row r="67" spans="1:10" ht="14.4" customHeight="1" x14ac:dyDescent="0.3">
      <c r="A67" s="644" t="s">
        <v>569</v>
      </c>
      <c r="B67" s="645" t="s">
        <v>361</v>
      </c>
      <c r="C67" s="646">
        <v>2876.66498</v>
      </c>
      <c r="D67" s="646">
        <v>3202.5528100000101</v>
      </c>
      <c r="E67" s="646"/>
      <c r="F67" s="646">
        <v>3393.9258500000001</v>
      </c>
      <c r="G67" s="646">
        <v>3262.7964562819666</v>
      </c>
      <c r="H67" s="646">
        <v>131.1293937180335</v>
      </c>
      <c r="I67" s="647">
        <v>1.0401892657035243</v>
      </c>
      <c r="J67" s="648" t="s">
        <v>1</v>
      </c>
    </row>
    <row r="68" spans="1:10" ht="14.4" customHeight="1" x14ac:dyDescent="0.3">
      <c r="A68" s="644" t="s">
        <v>569</v>
      </c>
      <c r="B68" s="645" t="s">
        <v>362</v>
      </c>
      <c r="C68" s="646">
        <v>182.82648</v>
      </c>
      <c r="D68" s="646">
        <v>129.32056</v>
      </c>
      <c r="E68" s="646"/>
      <c r="F68" s="646">
        <v>108.43097</v>
      </c>
      <c r="G68" s="646">
        <v>153.29289414014684</v>
      </c>
      <c r="H68" s="646">
        <v>-44.86192414014684</v>
      </c>
      <c r="I68" s="647">
        <v>0.70734505084670019</v>
      </c>
      <c r="J68" s="648" t="s">
        <v>1</v>
      </c>
    </row>
    <row r="69" spans="1:10" ht="14.4" customHeight="1" x14ac:dyDescent="0.3">
      <c r="A69" s="644" t="s">
        <v>569</v>
      </c>
      <c r="B69" s="645" t="s">
        <v>363</v>
      </c>
      <c r="C69" s="646">
        <v>416.24940000000004</v>
      </c>
      <c r="D69" s="646">
        <v>252.90265000000102</v>
      </c>
      <c r="E69" s="646"/>
      <c r="F69" s="646">
        <v>309.04785000000004</v>
      </c>
      <c r="G69" s="646">
        <v>321.66665653494664</v>
      </c>
      <c r="H69" s="646">
        <v>-12.6188065349466</v>
      </c>
      <c r="I69" s="647">
        <v>0.96077054839665776</v>
      </c>
      <c r="J69" s="648" t="s">
        <v>1</v>
      </c>
    </row>
    <row r="70" spans="1:10" ht="14.4" customHeight="1" x14ac:dyDescent="0.3">
      <c r="A70" s="644" t="s">
        <v>569</v>
      </c>
      <c r="B70" s="645" t="s">
        <v>364</v>
      </c>
      <c r="C70" s="646">
        <v>56.226700000000001</v>
      </c>
      <c r="D70" s="646">
        <v>1.4045100000000001</v>
      </c>
      <c r="E70" s="646"/>
      <c r="F70" s="646">
        <v>7.3092000000000006</v>
      </c>
      <c r="G70" s="646">
        <v>35.820010457117831</v>
      </c>
      <c r="H70" s="646">
        <v>-28.510810457117831</v>
      </c>
      <c r="I70" s="647">
        <v>0.20405354176962787</v>
      </c>
      <c r="J70" s="648" t="s">
        <v>1</v>
      </c>
    </row>
    <row r="71" spans="1:10" ht="14.4" customHeight="1" x14ac:dyDescent="0.3">
      <c r="A71" s="644" t="s">
        <v>569</v>
      </c>
      <c r="B71" s="645" t="s">
        <v>365</v>
      </c>
      <c r="C71" s="646">
        <v>11.28824</v>
      </c>
      <c r="D71" s="646">
        <v>11.03622</v>
      </c>
      <c r="E71" s="646"/>
      <c r="F71" s="646">
        <v>12.326449999999999</v>
      </c>
      <c r="G71" s="646">
        <v>12.621592056342001</v>
      </c>
      <c r="H71" s="646">
        <v>-0.29514205634200152</v>
      </c>
      <c r="I71" s="647">
        <v>0.97661609921913928</v>
      </c>
      <c r="J71" s="648" t="s">
        <v>1</v>
      </c>
    </row>
    <row r="72" spans="1:10" ht="14.4" customHeight="1" x14ac:dyDescent="0.3">
      <c r="A72" s="644" t="s">
        <v>569</v>
      </c>
      <c r="B72" s="645" t="s">
        <v>366</v>
      </c>
      <c r="C72" s="646">
        <v>843.44561999999996</v>
      </c>
      <c r="D72" s="646">
        <v>447.72373000000101</v>
      </c>
      <c r="E72" s="646"/>
      <c r="F72" s="646">
        <v>581.02751000000103</v>
      </c>
      <c r="G72" s="646">
        <v>473.24723051036671</v>
      </c>
      <c r="H72" s="646">
        <v>107.78027948963432</v>
      </c>
      <c r="I72" s="647">
        <v>1.2277462445441047</v>
      </c>
      <c r="J72" s="648" t="s">
        <v>1</v>
      </c>
    </row>
    <row r="73" spans="1:10" ht="14.4" customHeight="1" x14ac:dyDescent="0.3">
      <c r="A73" s="644" t="s">
        <v>569</v>
      </c>
      <c r="B73" s="645" t="s">
        <v>367</v>
      </c>
      <c r="C73" s="646" t="s">
        <v>554</v>
      </c>
      <c r="D73" s="646" t="s">
        <v>554</v>
      </c>
      <c r="E73" s="646"/>
      <c r="F73" s="646">
        <v>96.098039999999997</v>
      </c>
      <c r="G73" s="646">
        <v>0</v>
      </c>
      <c r="H73" s="646">
        <v>96.098039999999997</v>
      </c>
      <c r="I73" s="647" t="s">
        <v>554</v>
      </c>
      <c r="J73" s="648" t="s">
        <v>1</v>
      </c>
    </row>
    <row r="74" spans="1:10" ht="14.4" customHeight="1" x14ac:dyDescent="0.3">
      <c r="A74" s="644" t="s">
        <v>569</v>
      </c>
      <c r="B74" s="645" t="s">
        <v>369</v>
      </c>
      <c r="C74" s="646">
        <v>125.33651</v>
      </c>
      <c r="D74" s="646">
        <v>0</v>
      </c>
      <c r="E74" s="646"/>
      <c r="F74" s="646">
        <v>33.3018</v>
      </c>
      <c r="G74" s="646">
        <v>10.333076199333666</v>
      </c>
      <c r="H74" s="646">
        <v>22.968723800666332</v>
      </c>
      <c r="I74" s="647">
        <v>3.2228350355286728</v>
      </c>
      <c r="J74" s="648" t="s">
        <v>1</v>
      </c>
    </row>
    <row r="75" spans="1:10" ht="14.4" customHeight="1" x14ac:dyDescent="0.3">
      <c r="A75" s="644" t="s">
        <v>569</v>
      </c>
      <c r="B75" s="645" t="s">
        <v>571</v>
      </c>
      <c r="C75" s="646">
        <v>5245.3368300000011</v>
      </c>
      <c r="D75" s="646">
        <v>4743.5061300000143</v>
      </c>
      <c r="E75" s="646"/>
      <c r="F75" s="646">
        <v>5523.6399300000003</v>
      </c>
      <c r="G75" s="646">
        <v>5064.7318209833165</v>
      </c>
      <c r="H75" s="646">
        <v>458.90810901668374</v>
      </c>
      <c r="I75" s="647">
        <v>1.090608570253496</v>
      </c>
      <c r="J75" s="648" t="s">
        <v>561</v>
      </c>
    </row>
    <row r="76" spans="1:10" ht="14.4" customHeight="1" x14ac:dyDescent="0.3">
      <c r="A76" s="644" t="s">
        <v>554</v>
      </c>
      <c r="B76" s="645" t="s">
        <v>554</v>
      </c>
      <c r="C76" s="646" t="s">
        <v>554</v>
      </c>
      <c r="D76" s="646" t="s">
        <v>554</v>
      </c>
      <c r="E76" s="646"/>
      <c r="F76" s="646" t="s">
        <v>554</v>
      </c>
      <c r="G76" s="646" t="s">
        <v>554</v>
      </c>
      <c r="H76" s="646" t="s">
        <v>554</v>
      </c>
      <c r="I76" s="647" t="s">
        <v>554</v>
      </c>
      <c r="J76" s="648" t="s">
        <v>562</v>
      </c>
    </row>
    <row r="77" spans="1:10" ht="14.4" customHeight="1" x14ac:dyDescent="0.3">
      <c r="A77" s="644" t="s">
        <v>552</v>
      </c>
      <c r="B77" s="645" t="s">
        <v>556</v>
      </c>
      <c r="C77" s="646">
        <v>6013.5671300000004</v>
      </c>
      <c r="D77" s="646">
        <v>5484.3644000000149</v>
      </c>
      <c r="E77" s="646"/>
      <c r="F77" s="646">
        <v>6354.7412000000004</v>
      </c>
      <c r="G77" s="646">
        <v>5997.6662209461783</v>
      </c>
      <c r="H77" s="646">
        <v>357.07497905382206</v>
      </c>
      <c r="I77" s="647">
        <v>1.0595356536858915</v>
      </c>
      <c r="J77" s="648" t="s">
        <v>557</v>
      </c>
    </row>
  </sheetData>
  <mergeCells count="3">
    <mergeCell ref="A1:I1"/>
    <mergeCell ref="F3:I3"/>
    <mergeCell ref="C4:D4"/>
  </mergeCells>
  <conditionalFormatting sqref="F21 F78:F65537">
    <cfRule type="cellIs" dxfId="38" priority="18" stopIfTrue="1" operator="greaterThan">
      <formula>1</formula>
    </cfRule>
  </conditionalFormatting>
  <conditionalFormatting sqref="H5:H20">
    <cfRule type="expression" dxfId="37" priority="14">
      <formula>$H5&gt;0</formula>
    </cfRule>
  </conditionalFormatting>
  <conditionalFormatting sqref="I5:I20">
    <cfRule type="expression" dxfId="36" priority="15">
      <formula>$I5&gt;1</formula>
    </cfRule>
  </conditionalFormatting>
  <conditionalFormatting sqref="B5:B20">
    <cfRule type="expression" dxfId="35" priority="11">
      <formula>OR($J5="NS",$J5="SumaNS",$J5="Účet")</formula>
    </cfRule>
  </conditionalFormatting>
  <conditionalFormatting sqref="F5:I20 B5:D20">
    <cfRule type="expression" dxfId="34" priority="17">
      <formula>AND($J5&lt;&gt;"",$J5&lt;&gt;"mezeraKL")</formula>
    </cfRule>
  </conditionalFormatting>
  <conditionalFormatting sqref="B5:D20 F5:I20">
    <cfRule type="expression" dxfId="33" priority="12">
      <formula>OR($J5="KL",$J5="SumaKL")</formula>
    </cfRule>
    <cfRule type="expression" priority="16" stopIfTrue="1">
      <formula>OR($J5="mezeraNS",$J5="mezeraKL")</formula>
    </cfRule>
  </conditionalFormatting>
  <conditionalFormatting sqref="B5:D20 F5:I20">
    <cfRule type="expression" dxfId="32" priority="13">
      <formula>OR($J5="SumaNS",$J5="NS")</formula>
    </cfRule>
  </conditionalFormatting>
  <conditionalFormatting sqref="A5:A20">
    <cfRule type="expression" dxfId="31" priority="9">
      <formula>AND($J5&lt;&gt;"mezeraKL",$J5&lt;&gt;"")</formula>
    </cfRule>
  </conditionalFormatting>
  <conditionalFormatting sqref="A5:A20">
    <cfRule type="expression" dxfId="30" priority="10">
      <formula>AND($J5&lt;&gt;"",$J5&lt;&gt;"mezeraKL")</formula>
    </cfRule>
  </conditionalFormatting>
  <conditionalFormatting sqref="H22:H77">
    <cfRule type="expression" dxfId="29" priority="5">
      <formula>$H22&gt;0</formula>
    </cfRule>
  </conditionalFormatting>
  <conditionalFormatting sqref="A22:A77">
    <cfRule type="expression" dxfId="28" priority="2">
      <formula>AND($J22&lt;&gt;"mezeraKL",$J22&lt;&gt;"")</formula>
    </cfRule>
  </conditionalFormatting>
  <conditionalFormatting sqref="I22:I77">
    <cfRule type="expression" dxfId="27" priority="6">
      <formula>$I22&gt;1</formula>
    </cfRule>
  </conditionalFormatting>
  <conditionalFormatting sqref="B22:B77">
    <cfRule type="expression" dxfId="26" priority="1">
      <formula>OR($J22="NS",$J22="SumaNS",$J22="Účet")</formula>
    </cfRule>
  </conditionalFormatting>
  <conditionalFormatting sqref="A22:D77 F22:I77">
    <cfRule type="expression" dxfId="25" priority="8">
      <formula>AND($J22&lt;&gt;"",$J22&lt;&gt;"mezeraKL")</formula>
    </cfRule>
  </conditionalFormatting>
  <conditionalFormatting sqref="B22:D77 F22:I77">
    <cfRule type="expression" dxfId="24" priority="3">
      <formula>OR($J22="KL",$J22="SumaKL")</formula>
    </cfRule>
    <cfRule type="expression" priority="7" stopIfTrue="1">
      <formula>OR($J22="mezeraNS",$J22="mezeraKL")</formula>
    </cfRule>
  </conditionalFormatting>
  <conditionalFormatting sqref="B22:D77 F22:I77">
    <cfRule type="expression" dxfId="23" priority="4">
      <formula>OR($J22="SumaNS",$J22="NS")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50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12.44140625" style="339" hidden="1" customWidth="1" outlineLevel="1"/>
    <col min="8" max="8" width="25.77734375" style="339" customWidth="1" collapsed="1"/>
    <col min="9" max="9" width="7.77734375" style="337" customWidth="1"/>
    <col min="10" max="10" width="10" style="337" customWidth="1"/>
    <col min="11" max="11" width="11.109375" style="337" customWidth="1"/>
    <col min="12" max="16384" width="8.88671875" style="254"/>
  </cols>
  <sheetData>
    <row r="1" spans="1:11" ht="18.600000000000001" customHeight="1" thickBot="1" x14ac:dyDescent="0.4">
      <c r="A1" s="514" t="s">
        <v>3399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</row>
    <row r="2" spans="1:11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2"/>
      <c r="J2" s="342"/>
      <c r="K2" s="342"/>
    </row>
    <row r="3" spans="1:11" ht="14.4" customHeight="1" thickBot="1" x14ac:dyDescent="0.35">
      <c r="A3" s="66"/>
      <c r="B3" s="66"/>
      <c r="C3" s="510"/>
      <c r="D3" s="511"/>
      <c r="E3" s="511"/>
      <c r="F3" s="511"/>
      <c r="G3" s="511"/>
      <c r="H3" s="267" t="s">
        <v>160</v>
      </c>
      <c r="I3" s="207">
        <f>IF(J3&lt;&gt;0,K3/J3,0)</f>
        <v>38.85152585985626</v>
      </c>
      <c r="J3" s="207">
        <f>SUBTOTAL(9,J5:J1048576)</f>
        <v>155840</v>
      </c>
      <c r="K3" s="208">
        <f>SUBTOTAL(9,K5:K1048576)</f>
        <v>6054621.7899999991</v>
      </c>
    </row>
    <row r="4" spans="1:11" s="338" customFormat="1" ht="14.4" customHeight="1" thickBot="1" x14ac:dyDescent="0.35">
      <c r="A4" s="750" t="s">
        <v>4</v>
      </c>
      <c r="B4" s="751" t="s">
        <v>5</v>
      </c>
      <c r="C4" s="751" t="s">
        <v>0</v>
      </c>
      <c r="D4" s="751" t="s">
        <v>6</v>
      </c>
      <c r="E4" s="751" t="s">
        <v>7</v>
      </c>
      <c r="F4" s="751" t="s">
        <v>1</v>
      </c>
      <c r="G4" s="751" t="s">
        <v>90</v>
      </c>
      <c r="H4" s="651" t="s">
        <v>11</v>
      </c>
      <c r="I4" s="652" t="s">
        <v>185</v>
      </c>
      <c r="J4" s="652" t="s">
        <v>13</v>
      </c>
      <c r="K4" s="653" t="s">
        <v>202</v>
      </c>
    </row>
    <row r="5" spans="1:11" ht="14.4" customHeight="1" x14ac:dyDescent="0.3">
      <c r="A5" s="733" t="s">
        <v>552</v>
      </c>
      <c r="B5" s="734" t="s">
        <v>553</v>
      </c>
      <c r="C5" s="737" t="s">
        <v>558</v>
      </c>
      <c r="D5" s="752" t="s">
        <v>1750</v>
      </c>
      <c r="E5" s="737" t="s">
        <v>3374</v>
      </c>
      <c r="F5" s="752" t="s">
        <v>3375</v>
      </c>
      <c r="G5" s="737" t="s">
        <v>2598</v>
      </c>
      <c r="H5" s="737" t="s">
        <v>2599</v>
      </c>
      <c r="I5" s="229">
        <v>0.39</v>
      </c>
      <c r="J5" s="229">
        <v>600</v>
      </c>
      <c r="K5" s="747">
        <v>234</v>
      </c>
    </row>
    <row r="6" spans="1:11" ht="14.4" customHeight="1" x14ac:dyDescent="0.3">
      <c r="A6" s="660" t="s">
        <v>552</v>
      </c>
      <c r="B6" s="661" t="s">
        <v>553</v>
      </c>
      <c r="C6" s="662" t="s">
        <v>558</v>
      </c>
      <c r="D6" s="663" t="s">
        <v>1750</v>
      </c>
      <c r="E6" s="662" t="s">
        <v>3374</v>
      </c>
      <c r="F6" s="663" t="s">
        <v>3375</v>
      </c>
      <c r="G6" s="662" t="s">
        <v>2600</v>
      </c>
      <c r="H6" s="662" t="s">
        <v>2601</v>
      </c>
      <c r="I6" s="664">
        <v>2.395</v>
      </c>
      <c r="J6" s="664">
        <v>60</v>
      </c>
      <c r="K6" s="665">
        <v>143.80000000000001</v>
      </c>
    </row>
    <row r="7" spans="1:11" ht="14.4" customHeight="1" x14ac:dyDescent="0.3">
      <c r="A7" s="660" t="s">
        <v>552</v>
      </c>
      <c r="B7" s="661" t="s">
        <v>553</v>
      </c>
      <c r="C7" s="662" t="s">
        <v>558</v>
      </c>
      <c r="D7" s="663" t="s">
        <v>1750</v>
      </c>
      <c r="E7" s="662" t="s">
        <v>3374</v>
      </c>
      <c r="F7" s="663" t="s">
        <v>3375</v>
      </c>
      <c r="G7" s="662" t="s">
        <v>2602</v>
      </c>
      <c r="H7" s="662" t="s">
        <v>2603</v>
      </c>
      <c r="I7" s="664">
        <v>3.77</v>
      </c>
      <c r="J7" s="664">
        <v>20</v>
      </c>
      <c r="K7" s="665">
        <v>75.400000000000006</v>
      </c>
    </row>
    <row r="8" spans="1:11" ht="14.4" customHeight="1" x14ac:dyDescent="0.3">
      <c r="A8" s="660" t="s">
        <v>552</v>
      </c>
      <c r="B8" s="661" t="s">
        <v>553</v>
      </c>
      <c r="C8" s="662" t="s">
        <v>558</v>
      </c>
      <c r="D8" s="663" t="s">
        <v>1750</v>
      </c>
      <c r="E8" s="662" t="s">
        <v>3374</v>
      </c>
      <c r="F8" s="663" t="s">
        <v>3375</v>
      </c>
      <c r="G8" s="662" t="s">
        <v>2604</v>
      </c>
      <c r="H8" s="662" t="s">
        <v>2605</v>
      </c>
      <c r="I8" s="664">
        <v>27.37</v>
      </c>
      <c r="J8" s="664">
        <v>48</v>
      </c>
      <c r="K8" s="665">
        <v>1313.76</v>
      </c>
    </row>
    <row r="9" spans="1:11" ht="14.4" customHeight="1" x14ac:dyDescent="0.3">
      <c r="A9" s="660" t="s">
        <v>552</v>
      </c>
      <c r="B9" s="661" t="s">
        <v>553</v>
      </c>
      <c r="C9" s="662" t="s">
        <v>558</v>
      </c>
      <c r="D9" s="663" t="s">
        <v>1750</v>
      </c>
      <c r="E9" s="662" t="s">
        <v>3374</v>
      </c>
      <c r="F9" s="663" t="s">
        <v>3375</v>
      </c>
      <c r="G9" s="662" t="s">
        <v>2606</v>
      </c>
      <c r="H9" s="662" t="s">
        <v>2607</v>
      </c>
      <c r="I9" s="664">
        <v>3.91</v>
      </c>
      <c r="J9" s="664">
        <v>30</v>
      </c>
      <c r="K9" s="665">
        <v>117.3</v>
      </c>
    </row>
    <row r="10" spans="1:11" ht="14.4" customHeight="1" x14ac:dyDescent="0.3">
      <c r="A10" s="660" t="s">
        <v>552</v>
      </c>
      <c r="B10" s="661" t="s">
        <v>553</v>
      </c>
      <c r="C10" s="662" t="s">
        <v>558</v>
      </c>
      <c r="D10" s="663" t="s">
        <v>1750</v>
      </c>
      <c r="E10" s="662" t="s">
        <v>3374</v>
      </c>
      <c r="F10" s="663" t="s">
        <v>3375</v>
      </c>
      <c r="G10" s="662" t="s">
        <v>2608</v>
      </c>
      <c r="H10" s="662" t="s">
        <v>2609</v>
      </c>
      <c r="I10" s="664">
        <v>5.94</v>
      </c>
      <c r="J10" s="664">
        <v>50</v>
      </c>
      <c r="K10" s="665">
        <v>297</v>
      </c>
    </row>
    <row r="11" spans="1:11" ht="14.4" customHeight="1" x14ac:dyDescent="0.3">
      <c r="A11" s="660" t="s">
        <v>552</v>
      </c>
      <c r="B11" s="661" t="s">
        <v>553</v>
      </c>
      <c r="C11" s="662" t="s">
        <v>558</v>
      </c>
      <c r="D11" s="663" t="s">
        <v>1750</v>
      </c>
      <c r="E11" s="662" t="s">
        <v>3374</v>
      </c>
      <c r="F11" s="663" t="s">
        <v>3375</v>
      </c>
      <c r="G11" s="662" t="s">
        <v>2610</v>
      </c>
      <c r="H11" s="662" t="s">
        <v>2611</v>
      </c>
      <c r="I11" s="664">
        <v>0.88</v>
      </c>
      <c r="J11" s="664">
        <v>800</v>
      </c>
      <c r="K11" s="665">
        <v>704</v>
      </c>
    </row>
    <row r="12" spans="1:11" ht="14.4" customHeight="1" x14ac:dyDescent="0.3">
      <c r="A12" s="660" t="s">
        <v>552</v>
      </c>
      <c r="B12" s="661" t="s">
        <v>553</v>
      </c>
      <c r="C12" s="662" t="s">
        <v>558</v>
      </c>
      <c r="D12" s="663" t="s">
        <v>1750</v>
      </c>
      <c r="E12" s="662" t="s">
        <v>3374</v>
      </c>
      <c r="F12" s="663" t="s">
        <v>3375</v>
      </c>
      <c r="G12" s="662" t="s">
        <v>2612</v>
      </c>
      <c r="H12" s="662" t="s">
        <v>2613</v>
      </c>
      <c r="I12" s="664">
        <v>0.14000000000000001</v>
      </c>
      <c r="J12" s="664">
        <v>100</v>
      </c>
      <c r="K12" s="665">
        <v>14</v>
      </c>
    </row>
    <row r="13" spans="1:11" ht="14.4" customHeight="1" x14ac:dyDescent="0.3">
      <c r="A13" s="660" t="s">
        <v>552</v>
      </c>
      <c r="B13" s="661" t="s">
        <v>553</v>
      </c>
      <c r="C13" s="662" t="s">
        <v>558</v>
      </c>
      <c r="D13" s="663" t="s">
        <v>1750</v>
      </c>
      <c r="E13" s="662" t="s">
        <v>3374</v>
      </c>
      <c r="F13" s="663" t="s">
        <v>3375</v>
      </c>
      <c r="G13" s="662" t="s">
        <v>2614</v>
      </c>
      <c r="H13" s="662" t="s">
        <v>2615</v>
      </c>
      <c r="I13" s="664">
        <v>129.26</v>
      </c>
      <c r="J13" s="664">
        <v>10</v>
      </c>
      <c r="K13" s="665">
        <v>1292.5999999999999</v>
      </c>
    </row>
    <row r="14" spans="1:11" ht="14.4" customHeight="1" x14ac:dyDescent="0.3">
      <c r="A14" s="660" t="s">
        <v>552</v>
      </c>
      <c r="B14" s="661" t="s">
        <v>553</v>
      </c>
      <c r="C14" s="662" t="s">
        <v>558</v>
      </c>
      <c r="D14" s="663" t="s">
        <v>1750</v>
      </c>
      <c r="E14" s="662" t="s">
        <v>3374</v>
      </c>
      <c r="F14" s="663" t="s">
        <v>3375</v>
      </c>
      <c r="G14" s="662" t="s">
        <v>2616</v>
      </c>
      <c r="H14" s="662" t="s">
        <v>2617</v>
      </c>
      <c r="I14" s="664">
        <v>10.613333333333332</v>
      </c>
      <c r="J14" s="664">
        <v>200</v>
      </c>
      <c r="K14" s="665">
        <v>2123.13</v>
      </c>
    </row>
    <row r="15" spans="1:11" ht="14.4" customHeight="1" x14ac:dyDescent="0.3">
      <c r="A15" s="660" t="s">
        <v>552</v>
      </c>
      <c r="B15" s="661" t="s">
        <v>553</v>
      </c>
      <c r="C15" s="662" t="s">
        <v>558</v>
      </c>
      <c r="D15" s="663" t="s">
        <v>1750</v>
      </c>
      <c r="E15" s="662" t="s">
        <v>3374</v>
      </c>
      <c r="F15" s="663" t="s">
        <v>3375</v>
      </c>
      <c r="G15" s="662" t="s">
        <v>2618</v>
      </c>
      <c r="H15" s="662" t="s">
        <v>2619</v>
      </c>
      <c r="I15" s="664">
        <v>233.8</v>
      </c>
      <c r="J15" s="664">
        <v>5</v>
      </c>
      <c r="K15" s="665">
        <v>1169</v>
      </c>
    </row>
    <row r="16" spans="1:11" ht="14.4" customHeight="1" x14ac:dyDescent="0.3">
      <c r="A16" s="660" t="s">
        <v>552</v>
      </c>
      <c r="B16" s="661" t="s">
        <v>553</v>
      </c>
      <c r="C16" s="662" t="s">
        <v>558</v>
      </c>
      <c r="D16" s="663" t="s">
        <v>1750</v>
      </c>
      <c r="E16" s="662" t="s">
        <v>3374</v>
      </c>
      <c r="F16" s="663" t="s">
        <v>3375</v>
      </c>
      <c r="G16" s="662" t="s">
        <v>2620</v>
      </c>
      <c r="H16" s="662" t="s">
        <v>2621</v>
      </c>
      <c r="I16" s="664">
        <v>61.21</v>
      </c>
      <c r="J16" s="664">
        <v>2</v>
      </c>
      <c r="K16" s="665">
        <v>122.42</v>
      </c>
    </row>
    <row r="17" spans="1:11" ht="14.4" customHeight="1" x14ac:dyDescent="0.3">
      <c r="A17" s="660" t="s">
        <v>552</v>
      </c>
      <c r="B17" s="661" t="s">
        <v>553</v>
      </c>
      <c r="C17" s="662" t="s">
        <v>558</v>
      </c>
      <c r="D17" s="663" t="s">
        <v>1750</v>
      </c>
      <c r="E17" s="662" t="s">
        <v>3374</v>
      </c>
      <c r="F17" s="663" t="s">
        <v>3375</v>
      </c>
      <c r="G17" s="662" t="s">
        <v>2622</v>
      </c>
      <c r="H17" s="662" t="s">
        <v>2623</v>
      </c>
      <c r="I17" s="664">
        <v>22.15</v>
      </c>
      <c r="J17" s="664">
        <v>75</v>
      </c>
      <c r="K17" s="665">
        <v>1661.25</v>
      </c>
    </row>
    <row r="18" spans="1:11" ht="14.4" customHeight="1" x14ac:dyDescent="0.3">
      <c r="A18" s="660" t="s">
        <v>552</v>
      </c>
      <c r="B18" s="661" t="s">
        <v>553</v>
      </c>
      <c r="C18" s="662" t="s">
        <v>558</v>
      </c>
      <c r="D18" s="663" t="s">
        <v>1750</v>
      </c>
      <c r="E18" s="662" t="s">
        <v>3374</v>
      </c>
      <c r="F18" s="663" t="s">
        <v>3375</v>
      </c>
      <c r="G18" s="662" t="s">
        <v>2624</v>
      </c>
      <c r="H18" s="662" t="s">
        <v>2625</v>
      </c>
      <c r="I18" s="664">
        <v>30.175000000000001</v>
      </c>
      <c r="J18" s="664">
        <v>50</v>
      </c>
      <c r="K18" s="665">
        <v>1508.75</v>
      </c>
    </row>
    <row r="19" spans="1:11" ht="14.4" customHeight="1" x14ac:dyDescent="0.3">
      <c r="A19" s="660" t="s">
        <v>552</v>
      </c>
      <c r="B19" s="661" t="s">
        <v>553</v>
      </c>
      <c r="C19" s="662" t="s">
        <v>558</v>
      </c>
      <c r="D19" s="663" t="s">
        <v>1750</v>
      </c>
      <c r="E19" s="662" t="s">
        <v>3374</v>
      </c>
      <c r="F19" s="663" t="s">
        <v>3375</v>
      </c>
      <c r="G19" s="662" t="s">
        <v>2626</v>
      </c>
      <c r="H19" s="662" t="s">
        <v>2627</v>
      </c>
      <c r="I19" s="664">
        <v>1.38</v>
      </c>
      <c r="J19" s="664">
        <v>300</v>
      </c>
      <c r="K19" s="665">
        <v>414</v>
      </c>
    </row>
    <row r="20" spans="1:11" ht="14.4" customHeight="1" x14ac:dyDescent="0.3">
      <c r="A20" s="660" t="s">
        <v>552</v>
      </c>
      <c r="B20" s="661" t="s">
        <v>553</v>
      </c>
      <c r="C20" s="662" t="s">
        <v>558</v>
      </c>
      <c r="D20" s="663" t="s">
        <v>1750</v>
      </c>
      <c r="E20" s="662" t="s">
        <v>3374</v>
      </c>
      <c r="F20" s="663" t="s">
        <v>3375</v>
      </c>
      <c r="G20" s="662" t="s">
        <v>2628</v>
      </c>
      <c r="H20" s="662" t="s">
        <v>2629</v>
      </c>
      <c r="I20" s="664">
        <v>0.6</v>
      </c>
      <c r="J20" s="664">
        <v>4000</v>
      </c>
      <c r="K20" s="665">
        <v>2400</v>
      </c>
    </row>
    <row r="21" spans="1:11" ht="14.4" customHeight="1" x14ac:dyDescent="0.3">
      <c r="A21" s="660" t="s">
        <v>552</v>
      </c>
      <c r="B21" s="661" t="s">
        <v>553</v>
      </c>
      <c r="C21" s="662" t="s">
        <v>558</v>
      </c>
      <c r="D21" s="663" t="s">
        <v>1750</v>
      </c>
      <c r="E21" s="662" t="s">
        <v>3374</v>
      </c>
      <c r="F21" s="663" t="s">
        <v>3375</v>
      </c>
      <c r="G21" s="662" t="s">
        <v>2630</v>
      </c>
      <c r="H21" s="662" t="s">
        <v>2631</v>
      </c>
      <c r="I21" s="664">
        <v>3.27</v>
      </c>
      <c r="J21" s="664">
        <v>100</v>
      </c>
      <c r="K21" s="665">
        <v>327</v>
      </c>
    </row>
    <row r="22" spans="1:11" ht="14.4" customHeight="1" x14ac:dyDescent="0.3">
      <c r="A22" s="660" t="s">
        <v>552</v>
      </c>
      <c r="B22" s="661" t="s">
        <v>553</v>
      </c>
      <c r="C22" s="662" t="s">
        <v>558</v>
      </c>
      <c r="D22" s="663" t="s">
        <v>1750</v>
      </c>
      <c r="E22" s="662" t="s">
        <v>3374</v>
      </c>
      <c r="F22" s="663" t="s">
        <v>3375</v>
      </c>
      <c r="G22" s="662" t="s">
        <v>2632</v>
      </c>
      <c r="H22" s="662" t="s">
        <v>2633</v>
      </c>
      <c r="I22" s="664">
        <v>0.44</v>
      </c>
      <c r="J22" s="664">
        <v>400</v>
      </c>
      <c r="K22" s="665">
        <v>176</v>
      </c>
    </row>
    <row r="23" spans="1:11" ht="14.4" customHeight="1" x14ac:dyDescent="0.3">
      <c r="A23" s="660" t="s">
        <v>552</v>
      </c>
      <c r="B23" s="661" t="s">
        <v>553</v>
      </c>
      <c r="C23" s="662" t="s">
        <v>558</v>
      </c>
      <c r="D23" s="663" t="s">
        <v>1750</v>
      </c>
      <c r="E23" s="662" t="s">
        <v>3374</v>
      </c>
      <c r="F23" s="663" t="s">
        <v>3375</v>
      </c>
      <c r="G23" s="662" t="s">
        <v>2634</v>
      </c>
      <c r="H23" s="662" t="s">
        <v>2635</v>
      </c>
      <c r="I23" s="664">
        <v>0.33</v>
      </c>
      <c r="J23" s="664">
        <v>200</v>
      </c>
      <c r="K23" s="665">
        <v>66</v>
      </c>
    </row>
    <row r="24" spans="1:11" ht="14.4" customHeight="1" x14ac:dyDescent="0.3">
      <c r="A24" s="660" t="s">
        <v>552</v>
      </c>
      <c r="B24" s="661" t="s">
        <v>553</v>
      </c>
      <c r="C24" s="662" t="s">
        <v>558</v>
      </c>
      <c r="D24" s="663" t="s">
        <v>1750</v>
      </c>
      <c r="E24" s="662" t="s">
        <v>3374</v>
      </c>
      <c r="F24" s="663" t="s">
        <v>3375</v>
      </c>
      <c r="G24" s="662" t="s">
        <v>2636</v>
      </c>
      <c r="H24" s="662" t="s">
        <v>2637</v>
      </c>
      <c r="I24" s="664">
        <v>8.58</v>
      </c>
      <c r="J24" s="664">
        <v>48</v>
      </c>
      <c r="K24" s="665">
        <v>411.84</v>
      </c>
    </row>
    <row r="25" spans="1:11" ht="14.4" customHeight="1" x14ac:dyDescent="0.3">
      <c r="A25" s="660" t="s">
        <v>552</v>
      </c>
      <c r="B25" s="661" t="s">
        <v>553</v>
      </c>
      <c r="C25" s="662" t="s">
        <v>558</v>
      </c>
      <c r="D25" s="663" t="s">
        <v>1750</v>
      </c>
      <c r="E25" s="662" t="s">
        <v>3374</v>
      </c>
      <c r="F25" s="663" t="s">
        <v>3375</v>
      </c>
      <c r="G25" s="662" t="s">
        <v>2638</v>
      </c>
      <c r="H25" s="662" t="s">
        <v>2639</v>
      </c>
      <c r="I25" s="664">
        <v>27.94</v>
      </c>
      <c r="J25" s="664">
        <v>4</v>
      </c>
      <c r="K25" s="665">
        <v>111.76</v>
      </c>
    </row>
    <row r="26" spans="1:11" ht="14.4" customHeight="1" x14ac:dyDescent="0.3">
      <c r="A26" s="660" t="s">
        <v>552</v>
      </c>
      <c r="B26" s="661" t="s">
        <v>553</v>
      </c>
      <c r="C26" s="662" t="s">
        <v>558</v>
      </c>
      <c r="D26" s="663" t="s">
        <v>1750</v>
      </c>
      <c r="E26" s="662" t="s">
        <v>3374</v>
      </c>
      <c r="F26" s="663" t="s">
        <v>3375</v>
      </c>
      <c r="G26" s="662" t="s">
        <v>2640</v>
      </c>
      <c r="H26" s="662" t="s">
        <v>2641</v>
      </c>
      <c r="I26" s="664">
        <v>1.2949999999999999</v>
      </c>
      <c r="J26" s="664">
        <v>400</v>
      </c>
      <c r="K26" s="665">
        <v>518</v>
      </c>
    </row>
    <row r="27" spans="1:11" ht="14.4" customHeight="1" x14ac:dyDescent="0.3">
      <c r="A27" s="660" t="s">
        <v>552</v>
      </c>
      <c r="B27" s="661" t="s">
        <v>553</v>
      </c>
      <c r="C27" s="662" t="s">
        <v>558</v>
      </c>
      <c r="D27" s="663" t="s">
        <v>1750</v>
      </c>
      <c r="E27" s="662" t="s">
        <v>3374</v>
      </c>
      <c r="F27" s="663" t="s">
        <v>3375</v>
      </c>
      <c r="G27" s="662" t="s">
        <v>2642</v>
      </c>
      <c r="H27" s="662" t="s">
        <v>2643</v>
      </c>
      <c r="I27" s="664">
        <v>1.17</v>
      </c>
      <c r="J27" s="664">
        <v>400</v>
      </c>
      <c r="K27" s="665">
        <v>468</v>
      </c>
    </row>
    <row r="28" spans="1:11" ht="14.4" customHeight="1" x14ac:dyDescent="0.3">
      <c r="A28" s="660" t="s">
        <v>552</v>
      </c>
      <c r="B28" s="661" t="s">
        <v>553</v>
      </c>
      <c r="C28" s="662" t="s">
        <v>558</v>
      </c>
      <c r="D28" s="663" t="s">
        <v>1750</v>
      </c>
      <c r="E28" s="662" t="s">
        <v>3374</v>
      </c>
      <c r="F28" s="663" t="s">
        <v>3375</v>
      </c>
      <c r="G28" s="662" t="s">
        <v>2644</v>
      </c>
      <c r="H28" s="662" t="s">
        <v>2645</v>
      </c>
      <c r="I28" s="664">
        <v>46</v>
      </c>
      <c r="J28" s="664">
        <v>2</v>
      </c>
      <c r="K28" s="665">
        <v>92</v>
      </c>
    </row>
    <row r="29" spans="1:11" ht="14.4" customHeight="1" x14ac:dyDescent="0.3">
      <c r="A29" s="660" t="s">
        <v>552</v>
      </c>
      <c r="B29" s="661" t="s">
        <v>553</v>
      </c>
      <c r="C29" s="662" t="s">
        <v>558</v>
      </c>
      <c r="D29" s="663" t="s">
        <v>1750</v>
      </c>
      <c r="E29" s="662" t="s">
        <v>3374</v>
      </c>
      <c r="F29" s="663" t="s">
        <v>3375</v>
      </c>
      <c r="G29" s="662" t="s">
        <v>2646</v>
      </c>
      <c r="H29" s="662" t="s">
        <v>2647</v>
      </c>
      <c r="I29" s="664">
        <v>98.38</v>
      </c>
      <c r="J29" s="664">
        <v>4</v>
      </c>
      <c r="K29" s="665">
        <v>393.52</v>
      </c>
    </row>
    <row r="30" spans="1:11" ht="14.4" customHeight="1" x14ac:dyDescent="0.3">
      <c r="A30" s="660" t="s">
        <v>552</v>
      </c>
      <c r="B30" s="661" t="s">
        <v>553</v>
      </c>
      <c r="C30" s="662" t="s">
        <v>558</v>
      </c>
      <c r="D30" s="663" t="s">
        <v>1750</v>
      </c>
      <c r="E30" s="662" t="s">
        <v>3374</v>
      </c>
      <c r="F30" s="663" t="s">
        <v>3375</v>
      </c>
      <c r="G30" s="662" t="s">
        <v>2648</v>
      </c>
      <c r="H30" s="662" t="s">
        <v>2649</v>
      </c>
      <c r="I30" s="664">
        <v>26.17</v>
      </c>
      <c r="J30" s="664">
        <v>1</v>
      </c>
      <c r="K30" s="665">
        <v>26.17</v>
      </c>
    </row>
    <row r="31" spans="1:11" ht="14.4" customHeight="1" x14ac:dyDescent="0.3">
      <c r="A31" s="660" t="s">
        <v>552</v>
      </c>
      <c r="B31" s="661" t="s">
        <v>553</v>
      </c>
      <c r="C31" s="662" t="s">
        <v>558</v>
      </c>
      <c r="D31" s="663" t="s">
        <v>1750</v>
      </c>
      <c r="E31" s="662" t="s">
        <v>3374</v>
      </c>
      <c r="F31" s="663" t="s">
        <v>3375</v>
      </c>
      <c r="G31" s="662" t="s">
        <v>2650</v>
      </c>
      <c r="H31" s="662" t="s">
        <v>2651</v>
      </c>
      <c r="I31" s="664">
        <v>26.37</v>
      </c>
      <c r="J31" s="664">
        <v>24</v>
      </c>
      <c r="K31" s="665">
        <v>632.87</v>
      </c>
    </row>
    <row r="32" spans="1:11" ht="14.4" customHeight="1" x14ac:dyDescent="0.3">
      <c r="A32" s="660" t="s">
        <v>552</v>
      </c>
      <c r="B32" s="661" t="s">
        <v>553</v>
      </c>
      <c r="C32" s="662" t="s">
        <v>558</v>
      </c>
      <c r="D32" s="663" t="s">
        <v>1750</v>
      </c>
      <c r="E32" s="662" t="s">
        <v>3374</v>
      </c>
      <c r="F32" s="663" t="s">
        <v>3375</v>
      </c>
      <c r="G32" s="662" t="s">
        <v>2652</v>
      </c>
      <c r="H32" s="662" t="s">
        <v>2653</v>
      </c>
      <c r="I32" s="664">
        <v>95.61</v>
      </c>
      <c r="J32" s="664">
        <v>10</v>
      </c>
      <c r="K32" s="665">
        <v>956.06</v>
      </c>
    </row>
    <row r="33" spans="1:11" ht="14.4" customHeight="1" x14ac:dyDescent="0.3">
      <c r="A33" s="660" t="s">
        <v>552</v>
      </c>
      <c r="B33" s="661" t="s">
        <v>553</v>
      </c>
      <c r="C33" s="662" t="s">
        <v>558</v>
      </c>
      <c r="D33" s="663" t="s">
        <v>1750</v>
      </c>
      <c r="E33" s="662" t="s">
        <v>3374</v>
      </c>
      <c r="F33" s="663" t="s">
        <v>3375</v>
      </c>
      <c r="G33" s="662" t="s">
        <v>2654</v>
      </c>
      <c r="H33" s="662" t="s">
        <v>2655</v>
      </c>
      <c r="I33" s="664">
        <v>0.85</v>
      </c>
      <c r="J33" s="664">
        <v>200</v>
      </c>
      <c r="K33" s="665">
        <v>170</v>
      </c>
    </row>
    <row r="34" spans="1:11" ht="14.4" customHeight="1" x14ac:dyDescent="0.3">
      <c r="A34" s="660" t="s">
        <v>552</v>
      </c>
      <c r="B34" s="661" t="s">
        <v>553</v>
      </c>
      <c r="C34" s="662" t="s">
        <v>558</v>
      </c>
      <c r="D34" s="663" t="s">
        <v>1750</v>
      </c>
      <c r="E34" s="662" t="s">
        <v>3374</v>
      </c>
      <c r="F34" s="663" t="s">
        <v>3375</v>
      </c>
      <c r="G34" s="662" t="s">
        <v>2656</v>
      </c>
      <c r="H34" s="662" t="s">
        <v>2657</v>
      </c>
      <c r="I34" s="664">
        <v>1.51</v>
      </c>
      <c r="J34" s="664">
        <v>400</v>
      </c>
      <c r="K34" s="665">
        <v>604</v>
      </c>
    </row>
    <row r="35" spans="1:11" ht="14.4" customHeight="1" x14ac:dyDescent="0.3">
      <c r="A35" s="660" t="s">
        <v>552</v>
      </c>
      <c r="B35" s="661" t="s">
        <v>553</v>
      </c>
      <c r="C35" s="662" t="s">
        <v>558</v>
      </c>
      <c r="D35" s="663" t="s">
        <v>1750</v>
      </c>
      <c r="E35" s="662" t="s">
        <v>3374</v>
      </c>
      <c r="F35" s="663" t="s">
        <v>3375</v>
      </c>
      <c r="G35" s="662" t="s">
        <v>2658</v>
      </c>
      <c r="H35" s="662" t="s">
        <v>2659</v>
      </c>
      <c r="I35" s="664">
        <v>2.0649999999999999</v>
      </c>
      <c r="J35" s="664">
        <v>400</v>
      </c>
      <c r="K35" s="665">
        <v>826</v>
      </c>
    </row>
    <row r="36" spans="1:11" ht="14.4" customHeight="1" x14ac:dyDescent="0.3">
      <c r="A36" s="660" t="s">
        <v>552</v>
      </c>
      <c r="B36" s="661" t="s">
        <v>553</v>
      </c>
      <c r="C36" s="662" t="s">
        <v>558</v>
      </c>
      <c r="D36" s="663" t="s">
        <v>1750</v>
      </c>
      <c r="E36" s="662" t="s">
        <v>3374</v>
      </c>
      <c r="F36" s="663" t="s">
        <v>3375</v>
      </c>
      <c r="G36" s="662" t="s">
        <v>2660</v>
      </c>
      <c r="H36" s="662" t="s">
        <v>2661</v>
      </c>
      <c r="I36" s="664">
        <v>3.36</v>
      </c>
      <c r="J36" s="664">
        <v>100</v>
      </c>
      <c r="K36" s="665">
        <v>336</v>
      </c>
    </row>
    <row r="37" spans="1:11" ht="14.4" customHeight="1" x14ac:dyDescent="0.3">
      <c r="A37" s="660" t="s">
        <v>552</v>
      </c>
      <c r="B37" s="661" t="s">
        <v>553</v>
      </c>
      <c r="C37" s="662" t="s">
        <v>558</v>
      </c>
      <c r="D37" s="663" t="s">
        <v>1750</v>
      </c>
      <c r="E37" s="662" t="s">
        <v>3374</v>
      </c>
      <c r="F37" s="663" t="s">
        <v>3375</v>
      </c>
      <c r="G37" s="662" t="s">
        <v>2662</v>
      </c>
      <c r="H37" s="662" t="s">
        <v>2663</v>
      </c>
      <c r="I37" s="664">
        <v>5.876666666666666</v>
      </c>
      <c r="J37" s="664">
        <v>400</v>
      </c>
      <c r="K37" s="665">
        <v>2350.8000000000002</v>
      </c>
    </row>
    <row r="38" spans="1:11" ht="14.4" customHeight="1" x14ac:dyDescent="0.3">
      <c r="A38" s="660" t="s">
        <v>552</v>
      </c>
      <c r="B38" s="661" t="s">
        <v>553</v>
      </c>
      <c r="C38" s="662" t="s">
        <v>558</v>
      </c>
      <c r="D38" s="663" t="s">
        <v>1750</v>
      </c>
      <c r="E38" s="662" t="s">
        <v>3374</v>
      </c>
      <c r="F38" s="663" t="s">
        <v>3375</v>
      </c>
      <c r="G38" s="662" t="s">
        <v>2664</v>
      </c>
      <c r="H38" s="662" t="s">
        <v>2665</v>
      </c>
      <c r="I38" s="664">
        <v>1338.1860000000001</v>
      </c>
      <c r="J38" s="664">
        <v>9</v>
      </c>
      <c r="K38" s="665">
        <v>12069.95</v>
      </c>
    </row>
    <row r="39" spans="1:11" ht="14.4" customHeight="1" x14ac:dyDescent="0.3">
      <c r="A39" s="660" t="s">
        <v>552</v>
      </c>
      <c r="B39" s="661" t="s">
        <v>553</v>
      </c>
      <c r="C39" s="662" t="s">
        <v>558</v>
      </c>
      <c r="D39" s="663" t="s">
        <v>1750</v>
      </c>
      <c r="E39" s="662" t="s">
        <v>3374</v>
      </c>
      <c r="F39" s="663" t="s">
        <v>3375</v>
      </c>
      <c r="G39" s="662" t="s">
        <v>2666</v>
      </c>
      <c r="H39" s="662" t="s">
        <v>2667</v>
      </c>
      <c r="I39" s="664">
        <v>1359.15</v>
      </c>
      <c r="J39" s="664">
        <v>7</v>
      </c>
      <c r="K39" s="665">
        <v>9534.7999999999993</v>
      </c>
    </row>
    <row r="40" spans="1:11" ht="14.4" customHeight="1" x14ac:dyDescent="0.3">
      <c r="A40" s="660" t="s">
        <v>552</v>
      </c>
      <c r="B40" s="661" t="s">
        <v>553</v>
      </c>
      <c r="C40" s="662" t="s">
        <v>558</v>
      </c>
      <c r="D40" s="663" t="s">
        <v>1750</v>
      </c>
      <c r="E40" s="662" t="s">
        <v>3374</v>
      </c>
      <c r="F40" s="663" t="s">
        <v>3375</v>
      </c>
      <c r="G40" s="662" t="s">
        <v>2668</v>
      </c>
      <c r="H40" s="662" t="s">
        <v>2669</v>
      </c>
      <c r="I40" s="664">
        <v>733.68</v>
      </c>
      <c r="J40" s="664">
        <v>2</v>
      </c>
      <c r="K40" s="665">
        <v>1467.36</v>
      </c>
    </row>
    <row r="41" spans="1:11" ht="14.4" customHeight="1" x14ac:dyDescent="0.3">
      <c r="A41" s="660" t="s">
        <v>552</v>
      </c>
      <c r="B41" s="661" t="s">
        <v>553</v>
      </c>
      <c r="C41" s="662" t="s">
        <v>558</v>
      </c>
      <c r="D41" s="663" t="s">
        <v>1750</v>
      </c>
      <c r="E41" s="662" t="s">
        <v>3374</v>
      </c>
      <c r="F41" s="663" t="s">
        <v>3375</v>
      </c>
      <c r="G41" s="662" t="s">
        <v>2670</v>
      </c>
      <c r="H41" s="662" t="s">
        <v>2671</v>
      </c>
      <c r="I41" s="664">
        <v>1.59</v>
      </c>
      <c r="J41" s="664">
        <v>60</v>
      </c>
      <c r="K41" s="665">
        <v>95.28</v>
      </c>
    </row>
    <row r="42" spans="1:11" ht="14.4" customHeight="1" x14ac:dyDescent="0.3">
      <c r="A42" s="660" t="s">
        <v>552</v>
      </c>
      <c r="B42" s="661" t="s">
        <v>553</v>
      </c>
      <c r="C42" s="662" t="s">
        <v>558</v>
      </c>
      <c r="D42" s="663" t="s">
        <v>1750</v>
      </c>
      <c r="E42" s="662" t="s">
        <v>3374</v>
      </c>
      <c r="F42" s="663" t="s">
        <v>3375</v>
      </c>
      <c r="G42" s="662" t="s">
        <v>2672</v>
      </c>
      <c r="H42" s="662" t="s">
        <v>2673</v>
      </c>
      <c r="I42" s="664">
        <v>112.82</v>
      </c>
      <c r="J42" s="664">
        <v>5</v>
      </c>
      <c r="K42" s="665">
        <v>564.08000000000004</v>
      </c>
    </row>
    <row r="43" spans="1:11" ht="14.4" customHeight="1" x14ac:dyDescent="0.3">
      <c r="A43" s="660" t="s">
        <v>552</v>
      </c>
      <c r="B43" s="661" t="s">
        <v>553</v>
      </c>
      <c r="C43" s="662" t="s">
        <v>558</v>
      </c>
      <c r="D43" s="663" t="s">
        <v>1750</v>
      </c>
      <c r="E43" s="662" t="s">
        <v>3374</v>
      </c>
      <c r="F43" s="663" t="s">
        <v>3375</v>
      </c>
      <c r="G43" s="662" t="s">
        <v>2674</v>
      </c>
      <c r="H43" s="662" t="s">
        <v>2675</v>
      </c>
      <c r="I43" s="664">
        <v>1379.88</v>
      </c>
      <c r="J43" s="664">
        <v>5</v>
      </c>
      <c r="K43" s="665">
        <v>6899.4100000000008</v>
      </c>
    </row>
    <row r="44" spans="1:11" ht="14.4" customHeight="1" x14ac:dyDescent="0.3">
      <c r="A44" s="660" t="s">
        <v>552</v>
      </c>
      <c r="B44" s="661" t="s">
        <v>553</v>
      </c>
      <c r="C44" s="662" t="s">
        <v>558</v>
      </c>
      <c r="D44" s="663" t="s">
        <v>1750</v>
      </c>
      <c r="E44" s="662" t="s">
        <v>3374</v>
      </c>
      <c r="F44" s="663" t="s">
        <v>3375</v>
      </c>
      <c r="G44" s="662" t="s">
        <v>2676</v>
      </c>
      <c r="H44" s="662" t="s">
        <v>2677</v>
      </c>
      <c r="I44" s="664">
        <v>12</v>
      </c>
      <c r="J44" s="664">
        <v>100</v>
      </c>
      <c r="K44" s="665">
        <v>1199.74</v>
      </c>
    </row>
    <row r="45" spans="1:11" ht="14.4" customHeight="1" x14ac:dyDescent="0.3">
      <c r="A45" s="660" t="s">
        <v>552</v>
      </c>
      <c r="B45" s="661" t="s">
        <v>553</v>
      </c>
      <c r="C45" s="662" t="s">
        <v>558</v>
      </c>
      <c r="D45" s="663" t="s">
        <v>1750</v>
      </c>
      <c r="E45" s="662" t="s">
        <v>3374</v>
      </c>
      <c r="F45" s="663" t="s">
        <v>3375</v>
      </c>
      <c r="G45" s="662" t="s">
        <v>2678</v>
      </c>
      <c r="H45" s="662" t="s">
        <v>2679</v>
      </c>
      <c r="I45" s="664">
        <v>4.79</v>
      </c>
      <c r="J45" s="664">
        <v>72</v>
      </c>
      <c r="K45" s="665">
        <v>345</v>
      </c>
    </row>
    <row r="46" spans="1:11" ht="14.4" customHeight="1" x14ac:dyDescent="0.3">
      <c r="A46" s="660" t="s">
        <v>552</v>
      </c>
      <c r="B46" s="661" t="s">
        <v>553</v>
      </c>
      <c r="C46" s="662" t="s">
        <v>558</v>
      </c>
      <c r="D46" s="663" t="s">
        <v>1750</v>
      </c>
      <c r="E46" s="662" t="s">
        <v>3374</v>
      </c>
      <c r="F46" s="663" t="s">
        <v>3375</v>
      </c>
      <c r="G46" s="662" t="s">
        <v>2680</v>
      </c>
      <c r="H46" s="662" t="s">
        <v>2681</v>
      </c>
      <c r="I46" s="664">
        <v>170.63</v>
      </c>
      <c r="J46" s="664">
        <v>5</v>
      </c>
      <c r="K46" s="665">
        <v>853.15</v>
      </c>
    </row>
    <row r="47" spans="1:11" ht="14.4" customHeight="1" x14ac:dyDescent="0.3">
      <c r="A47" s="660" t="s">
        <v>552</v>
      </c>
      <c r="B47" s="661" t="s">
        <v>553</v>
      </c>
      <c r="C47" s="662" t="s">
        <v>558</v>
      </c>
      <c r="D47" s="663" t="s">
        <v>1750</v>
      </c>
      <c r="E47" s="662" t="s">
        <v>3374</v>
      </c>
      <c r="F47" s="663" t="s">
        <v>3375</v>
      </c>
      <c r="G47" s="662" t="s">
        <v>2682</v>
      </c>
      <c r="H47" s="662" t="s">
        <v>2683</v>
      </c>
      <c r="I47" s="664">
        <v>69</v>
      </c>
      <c r="J47" s="664">
        <v>10</v>
      </c>
      <c r="K47" s="665">
        <v>690</v>
      </c>
    </row>
    <row r="48" spans="1:11" ht="14.4" customHeight="1" x14ac:dyDescent="0.3">
      <c r="A48" s="660" t="s">
        <v>552</v>
      </c>
      <c r="B48" s="661" t="s">
        <v>553</v>
      </c>
      <c r="C48" s="662" t="s">
        <v>558</v>
      </c>
      <c r="D48" s="663" t="s">
        <v>1750</v>
      </c>
      <c r="E48" s="662" t="s">
        <v>3374</v>
      </c>
      <c r="F48" s="663" t="s">
        <v>3375</v>
      </c>
      <c r="G48" s="662" t="s">
        <v>2684</v>
      </c>
      <c r="H48" s="662" t="s">
        <v>2685</v>
      </c>
      <c r="I48" s="664">
        <v>784.96</v>
      </c>
      <c r="J48" s="664">
        <v>2</v>
      </c>
      <c r="K48" s="665">
        <v>1569.92</v>
      </c>
    </row>
    <row r="49" spans="1:11" ht="14.4" customHeight="1" x14ac:dyDescent="0.3">
      <c r="A49" s="660" t="s">
        <v>552</v>
      </c>
      <c r="B49" s="661" t="s">
        <v>553</v>
      </c>
      <c r="C49" s="662" t="s">
        <v>558</v>
      </c>
      <c r="D49" s="663" t="s">
        <v>1750</v>
      </c>
      <c r="E49" s="662" t="s">
        <v>3374</v>
      </c>
      <c r="F49" s="663" t="s">
        <v>3375</v>
      </c>
      <c r="G49" s="662" t="s">
        <v>2686</v>
      </c>
      <c r="H49" s="662" t="s">
        <v>2687</v>
      </c>
      <c r="I49" s="664">
        <v>29.13</v>
      </c>
      <c r="J49" s="664">
        <v>25</v>
      </c>
      <c r="K49" s="665">
        <v>728.36</v>
      </c>
    </row>
    <row r="50" spans="1:11" ht="14.4" customHeight="1" x14ac:dyDescent="0.3">
      <c r="A50" s="660" t="s">
        <v>552</v>
      </c>
      <c r="B50" s="661" t="s">
        <v>553</v>
      </c>
      <c r="C50" s="662" t="s">
        <v>558</v>
      </c>
      <c r="D50" s="663" t="s">
        <v>1750</v>
      </c>
      <c r="E50" s="662" t="s">
        <v>3374</v>
      </c>
      <c r="F50" s="663" t="s">
        <v>3375</v>
      </c>
      <c r="G50" s="662" t="s">
        <v>2688</v>
      </c>
      <c r="H50" s="662" t="s">
        <v>2689</v>
      </c>
      <c r="I50" s="664">
        <v>67.319999999999993</v>
      </c>
      <c r="J50" s="664">
        <v>35</v>
      </c>
      <c r="K50" s="665">
        <v>2356.2399999999998</v>
      </c>
    </row>
    <row r="51" spans="1:11" ht="14.4" customHeight="1" x14ac:dyDescent="0.3">
      <c r="A51" s="660" t="s">
        <v>552</v>
      </c>
      <c r="B51" s="661" t="s">
        <v>553</v>
      </c>
      <c r="C51" s="662" t="s">
        <v>558</v>
      </c>
      <c r="D51" s="663" t="s">
        <v>1750</v>
      </c>
      <c r="E51" s="662" t="s">
        <v>3374</v>
      </c>
      <c r="F51" s="663" t="s">
        <v>3375</v>
      </c>
      <c r="G51" s="662" t="s">
        <v>2690</v>
      </c>
      <c r="H51" s="662" t="s">
        <v>2691</v>
      </c>
      <c r="I51" s="664">
        <v>82.08</v>
      </c>
      <c r="J51" s="664">
        <v>10</v>
      </c>
      <c r="K51" s="665">
        <v>820.8</v>
      </c>
    </row>
    <row r="52" spans="1:11" ht="14.4" customHeight="1" x14ac:dyDescent="0.3">
      <c r="A52" s="660" t="s">
        <v>552</v>
      </c>
      <c r="B52" s="661" t="s">
        <v>553</v>
      </c>
      <c r="C52" s="662" t="s">
        <v>558</v>
      </c>
      <c r="D52" s="663" t="s">
        <v>1750</v>
      </c>
      <c r="E52" s="662" t="s">
        <v>3374</v>
      </c>
      <c r="F52" s="663" t="s">
        <v>3375</v>
      </c>
      <c r="G52" s="662" t="s">
        <v>2692</v>
      </c>
      <c r="H52" s="662" t="s">
        <v>2693</v>
      </c>
      <c r="I52" s="664">
        <v>269.32</v>
      </c>
      <c r="J52" s="664">
        <v>5</v>
      </c>
      <c r="K52" s="665">
        <v>1346.62</v>
      </c>
    </row>
    <row r="53" spans="1:11" ht="14.4" customHeight="1" x14ac:dyDescent="0.3">
      <c r="A53" s="660" t="s">
        <v>552</v>
      </c>
      <c r="B53" s="661" t="s">
        <v>553</v>
      </c>
      <c r="C53" s="662" t="s">
        <v>558</v>
      </c>
      <c r="D53" s="663" t="s">
        <v>1750</v>
      </c>
      <c r="E53" s="662" t="s">
        <v>3374</v>
      </c>
      <c r="F53" s="663" t="s">
        <v>3375</v>
      </c>
      <c r="G53" s="662" t="s">
        <v>2694</v>
      </c>
      <c r="H53" s="662" t="s">
        <v>2695</v>
      </c>
      <c r="I53" s="664">
        <v>656.64</v>
      </c>
      <c r="J53" s="664">
        <v>4</v>
      </c>
      <c r="K53" s="665">
        <v>2626.56</v>
      </c>
    </row>
    <row r="54" spans="1:11" ht="14.4" customHeight="1" x14ac:dyDescent="0.3">
      <c r="A54" s="660" t="s">
        <v>552</v>
      </c>
      <c r="B54" s="661" t="s">
        <v>553</v>
      </c>
      <c r="C54" s="662" t="s">
        <v>558</v>
      </c>
      <c r="D54" s="663" t="s">
        <v>1750</v>
      </c>
      <c r="E54" s="662" t="s">
        <v>3374</v>
      </c>
      <c r="F54" s="663" t="s">
        <v>3375</v>
      </c>
      <c r="G54" s="662" t="s">
        <v>2696</v>
      </c>
      <c r="H54" s="662" t="s">
        <v>2697</v>
      </c>
      <c r="I54" s="664">
        <v>309.12</v>
      </c>
      <c r="J54" s="664">
        <v>5</v>
      </c>
      <c r="K54" s="665">
        <v>1545.6</v>
      </c>
    </row>
    <row r="55" spans="1:11" ht="14.4" customHeight="1" x14ac:dyDescent="0.3">
      <c r="A55" s="660" t="s">
        <v>552</v>
      </c>
      <c r="B55" s="661" t="s">
        <v>553</v>
      </c>
      <c r="C55" s="662" t="s">
        <v>558</v>
      </c>
      <c r="D55" s="663" t="s">
        <v>1750</v>
      </c>
      <c r="E55" s="662" t="s">
        <v>3374</v>
      </c>
      <c r="F55" s="663" t="s">
        <v>3375</v>
      </c>
      <c r="G55" s="662" t="s">
        <v>2698</v>
      </c>
      <c r="H55" s="662" t="s">
        <v>2699</v>
      </c>
      <c r="I55" s="664">
        <v>1319</v>
      </c>
      <c r="J55" s="664">
        <v>2</v>
      </c>
      <c r="K55" s="665">
        <v>2638</v>
      </c>
    </row>
    <row r="56" spans="1:11" ht="14.4" customHeight="1" x14ac:dyDescent="0.3">
      <c r="A56" s="660" t="s">
        <v>552</v>
      </c>
      <c r="B56" s="661" t="s">
        <v>553</v>
      </c>
      <c r="C56" s="662" t="s">
        <v>558</v>
      </c>
      <c r="D56" s="663" t="s">
        <v>1750</v>
      </c>
      <c r="E56" s="662" t="s">
        <v>3376</v>
      </c>
      <c r="F56" s="663" t="s">
        <v>3377</v>
      </c>
      <c r="G56" s="662" t="s">
        <v>2700</v>
      </c>
      <c r="H56" s="662" t="s">
        <v>2701</v>
      </c>
      <c r="I56" s="664">
        <v>471.9</v>
      </c>
      <c r="J56" s="664">
        <v>2</v>
      </c>
      <c r="K56" s="665">
        <v>943.8</v>
      </c>
    </row>
    <row r="57" spans="1:11" ht="14.4" customHeight="1" x14ac:dyDescent="0.3">
      <c r="A57" s="660" t="s">
        <v>552</v>
      </c>
      <c r="B57" s="661" t="s">
        <v>553</v>
      </c>
      <c r="C57" s="662" t="s">
        <v>558</v>
      </c>
      <c r="D57" s="663" t="s">
        <v>1750</v>
      </c>
      <c r="E57" s="662" t="s">
        <v>3376</v>
      </c>
      <c r="F57" s="663" t="s">
        <v>3377</v>
      </c>
      <c r="G57" s="662" t="s">
        <v>2702</v>
      </c>
      <c r="H57" s="662" t="s">
        <v>2703</v>
      </c>
      <c r="I57" s="664">
        <v>0.24</v>
      </c>
      <c r="J57" s="664">
        <v>100</v>
      </c>
      <c r="K57" s="665">
        <v>24</v>
      </c>
    </row>
    <row r="58" spans="1:11" ht="14.4" customHeight="1" x14ac:dyDescent="0.3">
      <c r="A58" s="660" t="s">
        <v>552</v>
      </c>
      <c r="B58" s="661" t="s">
        <v>553</v>
      </c>
      <c r="C58" s="662" t="s">
        <v>558</v>
      </c>
      <c r="D58" s="663" t="s">
        <v>1750</v>
      </c>
      <c r="E58" s="662" t="s">
        <v>3376</v>
      </c>
      <c r="F58" s="663" t="s">
        <v>3377</v>
      </c>
      <c r="G58" s="662" t="s">
        <v>2704</v>
      </c>
      <c r="H58" s="662" t="s">
        <v>2705</v>
      </c>
      <c r="I58" s="664">
        <v>11.145</v>
      </c>
      <c r="J58" s="664">
        <v>200</v>
      </c>
      <c r="K58" s="665">
        <v>2229</v>
      </c>
    </row>
    <row r="59" spans="1:11" ht="14.4" customHeight="1" x14ac:dyDescent="0.3">
      <c r="A59" s="660" t="s">
        <v>552</v>
      </c>
      <c r="B59" s="661" t="s">
        <v>553</v>
      </c>
      <c r="C59" s="662" t="s">
        <v>558</v>
      </c>
      <c r="D59" s="663" t="s">
        <v>1750</v>
      </c>
      <c r="E59" s="662" t="s">
        <v>3376</v>
      </c>
      <c r="F59" s="663" t="s">
        <v>3377</v>
      </c>
      <c r="G59" s="662" t="s">
        <v>2706</v>
      </c>
      <c r="H59" s="662" t="s">
        <v>2707</v>
      </c>
      <c r="I59" s="664">
        <v>1.0900000000000001</v>
      </c>
      <c r="J59" s="664">
        <v>1500</v>
      </c>
      <c r="K59" s="665">
        <v>1635</v>
      </c>
    </row>
    <row r="60" spans="1:11" ht="14.4" customHeight="1" x14ac:dyDescent="0.3">
      <c r="A60" s="660" t="s">
        <v>552</v>
      </c>
      <c r="B60" s="661" t="s">
        <v>553</v>
      </c>
      <c r="C60" s="662" t="s">
        <v>558</v>
      </c>
      <c r="D60" s="663" t="s">
        <v>1750</v>
      </c>
      <c r="E60" s="662" t="s">
        <v>3376</v>
      </c>
      <c r="F60" s="663" t="s">
        <v>3377</v>
      </c>
      <c r="G60" s="662" t="s">
        <v>2708</v>
      </c>
      <c r="H60" s="662" t="s">
        <v>2709</v>
      </c>
      <c r="I60" s="664">
        <v>1.67</v>
      </c>
      <c r="J60" s="664">
        <v>300</v>
      </c>
      <c r="K60" s="665">
        <v>501</v>
      </c>
    </row>
    <row r="61" spans="1:11" ht="14.4" customHeight="1" x14ac:dyDescent="0.3">
      <c r="A61" s="660" t="s">
        <v>552</v>
      </c>
      <c r="B61" s="661" t="s">
        <v>553</v>
      </c>
      <c r="C61" s="662" t="s">
        <v>558</v>
      </c>
      <c r="D61" s="663" t="s">
        <v>1750</v>
      </c>
      <c r="E61" s="662" t="s">
        <v>3376</v>
      </c>
      <c r="F61" s="663" t="s">
        <v>3377</v>
      </c>
      <c r="G61" s="662" t="s">
        <v>2710</v>
      </c>
      <c r="H61" s="662" t="s">
        <v>2711</v>
      </c>
      <c r="I61" s="664">
        <v>0.48</v>
      </c>
      <c r="J61" s="664">
        <v>400</v>
      </c>
      <c r="K61" s="665">
        <v>192</v>
      </c>
    </row>
    <row r="62" spans="1:11" ht="14.4" customHeight="1" x14ac:dyDescent="0.3">
      <c r="A62" s="660" t="s">
        <v>552</v>
      </c>
      <c r="B62" s="661" t="s">
        <v>553</v>
      </c>
      <c r="C62" s="662" t="s">
        <v>558</v>
      </c>
      <c r="D62" s="663" t="s">
        <v>1750</v>
      </c>
      <c r="E62" s="662" t="s">
        <v>3376</v>
      </c>
      <c r="F62" s="663" t="s">
        <v>3377</v>
      </c>
      <c r="G62" s="662" t="s">
        <v>2712</v>
      </c>
      <c r="H62" s="662" t="s">
        <v>2713</v>
      </c>
      <c r="I62" s="664">
        <v>3.1349999999999998</v>
      </c>
      <c r="J62" s="664">
        <v>400</v>
      </c>
      <c r="K62" s="665">
        <v>1254</v>
      </c>
    </row>
    <row r="63" spans="1:11" ht="14.4" customHeight="1" x14ac:dyDescent="0.3">
      <c r="A63" s="660" t="s">
        <v>552</v>
      </c>
      <c r="B63" s="661" t="s">
        <v>553</v>
      </c>
      <c r="C63" s="662" t="s">
        <v>558</v>
      </c>
      <c r="D63" s="663" t="s">
        <v>1750</v>
      </c>
      <c r="E63" s="662" t="s">
        <v>3376</v>
      </c>
      <c r="F63" s="663" t="s">
        <v>3377</v>
      </c>
      <c r="G63" s="662" t="s">
        <v>2714</v>
      </c>
      <c r="H63" s="662" t="s">
        <v>2715</v>
      </c>
      <c r="I63" s="664">
        <v>6.29</v>
      </c>
      <c r="J63" s="664">
        <v>100</v>
      </c>
      <c r="K63" s="665">
        <v>629</v>
      </c>
    </row>
    <row r="64" spans="1:11" ht="14.4" customHeight="1" x14ac:dyDescent="0.3">
      <c r="A64" s="660" t="s">
        <v>552</v>
      </c>
      <c r="B64" s="661" t="s">
        <v>553</v>
      </c>
      <c r="C64" s="662" t="s">
        <v>558</v>
      </c>
      <c r="D64" s="663" t="s">
        <v>1750</v>
      </c>
      <c r="E64" s="662" t="s">
        <v>3376</v>
      </c>
      <c r="F64" s="663" t="s">
        <v>3377</v>
      </c>
      <c r="G64" s="662" t="s">
        <v>2716</v>
      </c>
      <c r="H64" s="662" t="s">
        <v>2717</v>
      </c>
      <c r="I64" s="664">
        <v>68.53</v>
      </c>
      <c r="J64" s="664">
        <v>2</v>
      </c>
      <c r="K64" s="665">
        <v>137.06</v>
      </c>
    </row>
    <row r="65" spans="1:11" ht="14.4" customHeight="1" x14ac:dyDescent="0.3">
      <c r="A65" s="660" t="s">
        <v>552</v>
      </c>
      <c r="B65" s="661" t="s">
        <v>553</v>
      </c>
      <c r="C65" s="662" t="s">
        <v>558</v>
      </c>
      <c r="D65" s="663" t="s">
        <v>1750</v>
      </c>
      <c r="E65" s="662" t="s">
        <v>3376</v>
      </c>
      <c r="F65" s="663" t="s">
        <v>3377</v>
      </c>
      <c r="G65" s="662" t="s">
        <v>2718</v>
      </c>
      <c r="H65" s="662" t="s">
        <v>2719</v>
      </c>
      <c r="I65" s="664">
        <v>50.82</v>
      </c>
      <c r="J65" s="664">
        <v>60</v>
      </c>
      <c r="K65" s="665">
        <v>3049.2</v>
      </c>
    </row>
    <row r="66" spans="1:11" ht="14.4" customHeight="1" x14ac:dyDescent="0.3">
      <c r="A66" s="660" t="s">
        <v>552</v>
      </c>
      <c r="B66" s="661" t="s">
        <v>553</v>
      </c>
      <c r="C66" s="662" t="s">
        <v>558</v>
      </c>
      <c r="D66" s="663" t="s">
        <v>1750</v>
      </c>
      <c r="E66" s="662" t="s">
        <v>3376</v>
      </c>
      <c r="F66" s="663" t="s">
        <v>3377</v>
      </c>
      <c r="G66" s="662" t="s">
        <v>2720</v>
      </c>
      <c r="H66" s="662" t="s">
        <v>2721</v>
      </c>
      <c r="I66" s="664">
        <v>169.4</v>
      </c>
      <c r="J66" s="664">
        <v>10</v>
      </c>
      <c r="K66" s="665">
        <v>1694</v>
      </c>
    </row>
    <row r="67" spans="1:11" ht="14.4" customHeight="1" x14ac:dyDescent="0.3">
      <c r="A67" s="660" t="s">
        <v>552</v>
      </c>
      <c r="B67" s="661" t="s">
        <v>553</v>
      </c>
      <c r="C67" s="662" t="s">
        <v>558</v>
      </c>
      <c r="D67" s="663" t="s">
        <v>1750</v>
      </c>
      <c r="E67" s="662" t="s">
        <v>3376</v>
      </c>
      <c r="F67" s="663" t="s">
        <v>3377</v>
      </c>
      <c r="G67" s="662" t="s">
        <v>2722</v>
      </c>
      <c r="H67" s="662" t="s">
        <v>2723</v>
      </c>
      <c r="I67" s="664">
        <v>20.69</v>
      </c>
      <c r="J67" s="664">
        <v>100</v>
      </c>
      <c r="K67" s="665">
        <v>2069</v>
      </c>
    </row>
    <row r="68" spans="1:11" ht="14.4" customHeight="1" x14ac:dyDescent="0.3">
      <c r="A68" s="660" t="s">
        <v>552</v>
      </c>
      <c r="B68" s="661" t="s">
        <v>553</v>
      </c>
      <c r="C68" s="662" t="s">
        <v>558</v>
      </c>
      <c r="D68" s="663" t="s">
        <v>1750</v>
      </c>
      <c r="E68" s="662" t="s">
        <v>3376</v>
      </c>
      <c r="F68" s="663" t="s">
        <v>3377</v>
      </c>
      <c r="G68" s="662" t="s">
        <v>2724</v>
      </c>
      <c r="H68" s="662" t="s">
        <v>2725</v>
      </c>
      <c r="I68" s="664">
        <v>26.02</v>
      </c>
      <c r="J68" s="664">
        <v>480</v>
      </c>
      <c r="K68" s="665">
        <v>12487.2</v>
      </c>
    </row>
    <row r="69" spans="1:11" ht="14.4" customHeight="1" x14ac:dyDescent="0.3">
      <c r="A69" s="660" t="s">
        <v>552</v>
      </c>
      <c r="B69" s="661" t="s">
        <v>553</v>
      </c>
      <c r="C69" s="662" t="s">
        <v>558</v>
      </c>
      <c r="D69" s="663" t="s">
        <v>1750</v>
      </c>
      <c r="E69" s="662" t="s">
        <v>3376</v>
      </c>
      <c r="F69" s="663" t="s">
        <v>3377</v>
      </c>
      <c r="G69" s="662" t="s">
        <v>2726</v>
      </c>
      <c r="H69" s="662" t="s">
        <v>2727</v>
      </c>
      <c r="I69" s="664">
        <v>26.01</v>
      </c>
      <c r="J69" s="664">
        <v>120</v>
      </c>
      <c r="K69" s="665">
        <v>3121.2</v>
      </c>
    </row>
    <row r="70" spans="1:11" ht="14.4" customHeight="1" x14ac:dyDescent="0.3">
      <c r="A70" s="660" t="s">
        <v>552</v>
      </c>
      <c r="B70" s="661" t="s">
        <v>553</v>
      </c>
      <c r="C70" s="662" t="s">
        <v>558</v>
      </c>
      <c r="D70" s="663" t="s">
        <v>1750</v>
      </c>
      <c r="E70" s="662" t="s">
        <v>3376</v>
      </c>
      <c r="F70" s="663" t="s">
        <v>3377</v>
      </c>
      <c r="G70" s="662" t="s">
        <v>2728</v>
      </c>
      <c r="H70" s="662" t="s">
        <v>2729</v>
      </c>
      <c r="I70" s="664">
        <v>1.9750000000000001</v>
      </c>
      <c r="J70" s="664">
        <v>400</v>
      </c>
      <c r="K70" s="665">
        <v>790</v>
      </c>
    </row>
    <row r="71" spans="1:11" ht="14.4" customHeight="1" x14ac:dyDescent="0.3">
      <c r="A71" s="660" t="s">
        <v>552</v>
      </c>
      <c r="B71" s="661" t="s">
        <v>553</v>
      </c>
      <c r="C71" s="662" t="s">
        <v>558</v>
      </c>
      <c r="D71" s="663" t="s">
        <v>1750</v>
      </c>
      <c r="E71" s="662" t="s">
        <v>3376</v>
      </c>
      <c r="F71" s="663" t="s">
        <v>3377</v>
      </c>
      <c r="G71" s="662" t="s">
        <v>2730</v>
      </c>
      <c r="H71" s="662" t="s">
        <v>2731</v>
      </c>
      <c r="I71" s="664">
        <v>1.93</v>
      </c>
      <c r="J71" s="664">
        <v>100</v>
      </c>
      <c r="K71" s="665">
        <v>193</v>
      </c>
    </row>
    <row r="72" spans="1:11" ht="14.4" customHeight="1" x14ac:dyDescent="0.3">
      <c r="A72" s="660" t="s">
        <v>552</v>
      </c>
      <c r="B72" s="661" t="s">
        <v>553</v>
      </c>
      <c r="C72" s="662" t="s">
        <v>558</v>
      </c>
      <c r="D72" s="663" t="s">
        <v>1750</v>
      </c>
      <c r="E72" s="662" t="s">
        <v>3376</v>
      </c>
      <c r="F72" s="663" t="s">
        <v>3377</v>
      </c>
      <c r="G72" s="662" t="s">
        <v>2732</v>
      </c>
      <c r="H72" s="662" t="s">
        <v>2733</v>
      </c>
      <c r="I72" s="664">
        <v>3.01</v>
      </c>
      <c r="J72" s="664">
        <v>50</v>
      </c>
      <c r="K72" s="665">
        <v>150.5</v>
      </c>
    </row>
    <row r="73" spans="1:11" ht="14.4" customHeight="1" x14ac:dyDescent="0.3">
      <c r="A73" s="660" t="s">
        <v>552</v>
      </c>
      <c r="B73" s="661" t="s">
        <v>553</v>
      </c>
      <c r="C73" s="662" t="s">
        <v>558</v>
      </c>
      <c r="D73" s="663" t="s">
        <v>1750</v>
      </c>
      <c r="E73" s="662" t="s">
        <v>3376</v>
      </c>
      <c r="F73" s="663" t="s">
        <v>3377</v>
      </c>
      <c r="G73" s="662" t="s">
        <v>2734</v>
      </c>
      <c r="H73" s="662" t="s">
        <v>2735</v>
      </c>
      <c r="I73" s="664">
        <v>1.93</v>
      </c>
      <c r="J73" s="664">
        <v>50</v>
      </c>
      <c r="K73" s="665">
        <v>96.5</v>
      </c>
    </row>
    <row r="74" spans="1:11" ht="14.4" customHeight="1" x14ac:dyDescent="0.3">
      <c r="A74" s="660" t="s">
        <v>552</v>
      </c>
      <c r="B74" s="661" t="s">
        <v>553</v>
      </c>
      <c r="C74" s="662" t="s">
        <v>558</v>
      </c>
      <c r="D74" s="663" t="s">
        <v>1750</v>
      </c>
      <c r="E74" s="662" t="s">
        <v>3376</v>
      </c>
      <c r="F74" s="663" t="s">
        <v>3377</v>
      </c>
      <c r="G74" s="662" t="s">
        <v>2736</v>
      </c>
      <c r="H74" s="662" t="s">
        <v>2737</v>
      </c>
      <c r="I74" s="664">
        <v>0.01</v>
      </c>
      <c r="J74" s="664">
        <v>200</v>
      </c>
      <c r="K74" s="665">
        <v>2</v>
      </c>
    </row>
    <row r="75" spans="1:11" ht="14.4" customHeight="1" x14ac:dyDescent="0.3">
      <c r="A75" s="660" t="s">
        <v>552</v>
      </c>
      <c r="B75" s="661" t="s">
        <v>553</v>
      </c>
      <c r="C75" s="662" t="s">
        <v>558</v>
      </c>
      <c r="D75" s="663" t="s">
        <v>1750</v>
      </c>
      <c r="E75" s="662" t="s">
        <v>3376</v>
      </c>
      <c r="F75" s="663" t="s">
        <v>3377</v>
      </c>
      <c r="G75" s="662" t="s">
        <v>2738</v>
      </c>
      <c r="H75" s="662" t="s">
        <v>2739</v>
      </c>
      <c r="I75" s="664">
        <v>2.87</v>
      </c>
      <c r="J75" s="664">
        <v>200</v>
      </c>
      <c r="K75" s="665">
        <v>574</v>
      </c>
    </row>
    <row r="76" spans="1:11" ht="14.4" customHeight="1" x14ac:dyDescent="0.3">
      <c r="A76" s="660" t="s">
        <v>552</v>
      </c>
      <c r="B76" s="661" t="s">
        <v>553</v>
      </c>
      <c r="C76" s="662" t="s">
        <v>558</v>
      </c>
      <c r="D76" s="663" t="s">
        <v>1750</v>
      </c>
      <c r="E76" s="662" t="s">
        <v>3376</v>
      </c>
      <c r="F76" s="663" t="s">
        <v>3377</v>
      </c>
      <c r="G76" s="662" t="s">
        <v>2740</v>
      </c>
      <c r="H76" s="662" t="s">
        <v>2741</v>
      </c>
      <c r="I76" s="664">
        <v>2.17</v>
      </c>
      <c r="J76" s="664">
        <v>200</v>
      </c>
      <c r="K76" s="665">
        <v>434</v>
      </c>
    </row>
    <row r="77" spans="1:11" ht="14.4" customHeight="1" x14ac:dyDescent="0.3">
      <c r="A77" s="660" t="s">
        <v>552</v>
      </c>
      <c r="B77" s="661" t="s">
        <v>553</v>
      </c>
      <c r="C77" s="662" t="s">
        <v>558</v>
      </c>
      <c r="D77" s="663" t="s">
        <v>1750</v>
      </c>
      <c r="E77" s="662" t="s">
        <v>3376</v>
      </c>
      <c r="F77" s="663" t="s">
        <v>3377</v>
      </c>
      <c r="G77" s="662" t="s">
        <v>2742</v>
      </c>
      <c r="H77" s="662" t="s">
        <v>2743</v>
      </c>
      <c r="I77" s="664">
        <v>2.1749999999999998</v>
      </c>
      <c r="J77" s="664">
        <v>300</v>
      </c>
      <c r="K77" s="665">
        <v>653</v>
      </c>
    </row>
    <row r="78" spans="1:11" ht="14.4" customHeight="1" x14ac:dyDescent="0.3">
      <c r="A78" s="660" t="s">
        <v>552</v>
      </c>
      <c r="B78" s="661" t="s">
        <v>553</v>
      </c>
      <c r="C78" s="662" t="s">
        <v>558</v>
      </c>
      <c r="D78" s="663" t="s">
        <v>1750</v>
      </c>
      <c r="E78" s="662" t="s">
        <v>3376</v>
      </c>
      <c r="F78" s="663" t="s">
        <v>3377</v>
      </c>
      <c r="G78" s="662" t="s">
        <v>2744</v>
      </c>
      <c r="H78" s="662" t="s">
        <v>2745</v>
      </c>
      <c r="I78" s="664">
        <v>2.85</v>
      </c>
      <c r="J78" s="664">
        <v>600</v>
      </c>
      <c r="K78" s="665">
        <v>1710</v>
      </c>
    </row>
    <row r="79" spans="1:11" ht="14.4" customHeight="1" x14ac:dyDescent="0.3">
      <c r="A79" s="660" t="s">
        <v>552</v>
      </c>
      <c r="B79" s="661" t="s">
        <v>553</v>
      </c>
      <c r="C79" s="662" t="s">
        <v>558</v>
      </c>
      <c r="D79" s="663" t="s">
        <v>1750</v>
      </c>
      <c r="E79" s="662" t="s">
        <v>3376</v>
      </c>
      <c r="F79" s="663" t="s">
        <v>3377</v>
      </c>
      <c r="G79" s="662" t="s">
        <v>2746</v>
      </c>
      <c r="H79" s="662" t="s">
        <v>2747</v>
      </c>
      <c r="I79" s="664">
        <v>1.6349999999999998</v>
      </c>
      <c r="J79" s="664">
        <v>1800</v>
      </c>
      <c r="K79" s="665">
        <v>2943</v>
      </c>
    </row>
    <row r="80" spans="1:11" ht="14.4" customHeight="1" x14ac:dyDescent="0.3">
      <c r="A80" s="660" t="s">
        <v>552</v>
      </c>
      <c r="B80" s="661" t="s">
        <v>553</v>
      </c>
      <c r="C80" s="662" t="s">
        <v>558</v>
      </c>
      <c r="D80" s="663" t="s">
        <v>1750</v>
      </c>
      <c r="E80" s="662" t="s">
        <v>3376</v>
      </c>
      <c r="F80" s="663" t="s">
        <v>3377</v>
      </c>
      <c r="G80" s="662" t="s">
        <v>2748</v>
      </c>
      <c r="H80" s="662" t="s">
        <v>2749</v>
      </c>
      <c r="I80" s="664">
        <v>2.9050000000000002</v>
      </c>
      <c r="J80" s="664">
        <v>200</v>
      </c>
      <c r="K80" s="665">
        <v>581</v>
      </c>
    </row>
    <row r="81" spans="1:11" ht="14.4" customHeight="1" x14ac:dyDescent="0.3">
      <c r="A81" s="660" t="s">
        <v>552</v>
      </c>
      <c r="B81" s="661" t="s">
        <v>553</v>
      </c>
      <c r="C81" s="662" t="s">
        <v>558</v>
      </c>
      <c r="D81" s="663" t="s">
        <v>1750</v>
      </c>
      <c r="E81" s="662" t="s">
        <v>3376</v>
      </c>
      <c r="F81" s="663" t="s">
        <v>3377</v>
      </c>
      <c r="G81" s="662" t="s">
        <v>2750</v>
      </c>
      <c r="H81" s="662" t="s">
        <v>2751</v>
      </c>
      <c r="I81" s="664">
        <v>162.96</v>
      </c>
      <c r="J81" s="664">
        <v>6</v>
      </c>
      <c r="K81" s="665">
        <v>977.76</v>
      </c>
    </row>
    <row r="82" spans="1:11" ht="14.4" customHeight="1" x14ac:dyDescent="0.3">
      <c r="A82" s="660" t="s">
        <v>552</v>
      </c>
      <c r="B82" s="661" t="s">
        <v>553</v>
      </c>
      <c r="C82" s="662" t="s">
        <v>558</v>
      </c>
      <c r="D82" s="663" t="s">
        <v>1750</v>
      </c>
      <c r="E82" s="662" t="s">
        <v>3376</v>
      </c>
      <c r="F82" s="663" t="s">
        <v>3377</v>
      </c>
      <c r="G82" s="662" t="s">
        <v>2752</v>
      </c>
      <c r="H82" s="662" t="s">
        <v>2753</v>
      </c>
      <c r="I82" s="664">
        <v>84.9</v>
      </c>
      <c r="J82" s="664">
        <v>40</v>
      </c>
      <c r="K82" s="665">
        <v>3395.88</v>
      </c>
    </row>
    <row r="83" spans="1:11" ht="14.4" customHeight="1" x14ac:dyDescent="0.3">
      <c r="A83" s="660" t="s">
        <v>552</v>
      </c>
      <c r="B83" s="661" t="s">
        <v>553</v>
      </c>
      <c r="C83" s="662" t="s">
        <v>558</v>
      </c>
      <c r="D83" s="663" t="s">
        <v>1750</v>
      </c>
      <c r="E83" s="662" t="s">
        <v>3376</v>
      </c>
      <c r="F83" s="663" t="s">
        <v>3377</v>
      </c>
      <c r="G83" s="662" t="s">
        <v>2754</v>
      </c>
      <c r="H83" s="662" t="s">
        <v>2755</v>
      </c>
      <c r="I83" s="664">
        <v>1.75</v>
      </c>
      <c r="J83" s="664">
        <v>5000</v>
      </c>
      <c r="K83" s="665">
        <v>8772.5</v>
      </c>
    </row>
    <row r="84" spans="1:11" ht="14.4" customHeight="1" x14ac:dyDescent="0.3">
      <c r="A84" s="660" t="s">
        <v>552</v>
      </c>
      <c r="B84" s="661" t="s">
        <v>553</v>
      </c>
      <c r="C84" s="662" t="s">
        <v>558</v>
      </c>
      <c r="D84" s="663" t="s">
        <v>1750</v>
      </c>
      <c r="E84" s="662" t="s">
        <v>3376</v>
      </c>
      <c r="F84" s="663" t="s">
        <v>3377</v>
      </c>
      <c r="G84" s="662" t="s">
        <v>2756</v>
      </c>
      <c r="H84" s="662" t="s">
        <v>2757</v>
      </c>
      <c r="I84" s="664">
        <v>15</v>
      </c>
      <c r="J84" s="664">
        <v>20</v>
      </c>
      <c r="K84" s="665">
        <v>300</v>
      </c>
    </row>
    <row r="85" spans="1:11" ht="14.4" customHeight="1" x14ac:dyDescent="0.3">
      <c r="A85" s="660" t="s">
        <v>552</v>
      </c>
      <c r="B85" s="661" t="s">
        <v>553</v>
      </c>
      <c r="C85" s="662" t="s">
        <v>558</v>
      </c>
      <c r="D85" s="663" t="s">
        <v>1750</v>
      </c>
      <c r="E85" s="662" t="s">
        <v>3376</v>
      </c>
      <c r="F85" s="663" t="s">
        <v>3377</v>
      </c>
      <c r="G85" s="662" t="s">
        <v>2758</v>
      </c>
      <c r="H85" s="662" t="s">
        <v>2759</v>
      </c>
      <c r="I85" s="664">
        <v>12.105</v>
      </c>
      <c r="J85" s="664">
        <v>20</v>
      </c>
      <c r="K85" s="665">
        <v>242.1</v>
      </c>
    </row>
    <row r="86" spans="1:11" ht="14.4" customHeight="1" x14ac:dyDescent="0.3">
      <c r="A86" s="660" t="s">
        <v>552</v>
      </c>
      <c r="B86" s="661" t="s">
        <v>553</v>
      </c>
      <c r="C86" s="662" t="s">
        <v>558</v>
      </c>
      <c r="D86" s="663" t="s">
        <v>1750</v>
      </c>
      <c r="E86" s="662" t="s">
        <v>3376</v>
      </c>
      <c r="F86" s="663" t="s">
        <v>3377</v>
      </c>
      <c r="G86" s="662" t="s">
        <v>2760</v>
      </c>
      <c r="H86" s="662" t="s">
        <v>2761</v>
      </c>
      <c r="I86" s="664">
        <v>2.52</v>
      </c>
      <c r="J86" s="664">
        <v>200</v>
      </c>
      <c r="K86" s="665">
        <v>504</v>
      </c>
    </row>
    <row r="87" spans="1:11" ht="14.4" customHeight="1" x14ac:dyDescent="0.3">
      <c r="A87" s="660" t="s">
        <v>552</v>
      </c>
      <c r="B87" s="661" t="s">
        <v>553</v>
      </c>
      <c r="C87" s="662" t="s">
        <v>558</v>
      </c>
      <c r="D87" s="663" t="s">
        <v>1750</v>
      </c>
      <c r="E87" s="662" t="s">
        <v>3376</v>
      </c>
      <c r="F87" s="663" t="s">
        <v>3377</v>
      </c>
      <c r="G87" s="662" t="s">
        <v>2762</v>
      </c>
      <c r="H87" s="662" t="s">
        <v>2763</v>
      </c>
      <c r="I87" s="664">
        <v>5.2050000000000001</v>
      </c>
      <c r="J87" s="664">
        <v>225</v>
      </c>
      <c r="K87" s="665">
        <v>1171.5</v>
      </c>
    </row>
    <row r="88" spans="1:11" ht="14.4" customHeight="1" x14ac:dyDescent="0.3">
      <c r="A88" s="660" t="s">
        <v>552</v>
      </c>
      <c r="B88" s="661" t="s">
        <v>553</v>
      </c>
      <c r="C88" s="662" t="s">
        <v>558</v>
      </c>
      <c r="D88" s="663" t="s">
        <v>1750</v>
      </c>
      <c r="E88" s="662" t="s">
        <v>3376</v>
      </c>
      <c r="F88" s="663" t="s">
        <v>3377</v>
      </c>
      <c r="G88" s="662" t="s">
        <v>2764</v>
      </c>
      <c r="H88" s="662" t="s">
        <v>2765</v>
      </c>
      <c r="I88" s="664">
        <v>13.2</v>
      </c>
      <c r="J88" s="664">
        <v>10</v>
      </c>
      <c r="K88" s="665">
        <v>132</v>
      </c>
    </row>
    <row r="89" spans="1:11" ht="14.4" customHeight="1" x14ac:dyDescent="0.3">
      <c r="A89" s="660" t="s">
        <v>552</v>
      </c>
      <c r="B89" s="661" t="s">
        <v>553</v>
      </c>
      <c r="C89" s="662" t="s">
        <v>558</v>
      </c>
      <c r="D89" s="663" t="s">
        <v>1750</v>
      </c>
      <c r="E89" s="662" t="s">
        <v>3376</v>
      </c>
      <c r="F89" s="663" t="s">
        <v>3377</v>
      </c>
      <c r="G89" s="662" t="s">
        <v>2766</v>
      </c>
      <c r="H89" s="662" t="s">
        <v>2767</v>
      </c>
      <c r="I89" s="664">
        <v>13.2</v>
      </c>
      <c r="J89" s="664">
        <v>10</v>
      </c>
      <c r="K89" s="665">
        <v>132</v>
      </c>
    </row>
    <row r="90" spans="1:11" ht="14.4" customHeight="1" x14ac:dyDescent="0.3">
      <c r="A90" s="660" t="s">
        <v>552</v>
      </c>
      <c r="B90" s="661" t="s">
        <v>553</v>
      </c>
      <c r="C90" s="662" t="s">
        <v>558</v>
      </c>
      <c r="D90" s="663" t="s">
        <v>1750</v>
      </c>
      <c r="E90" s="662" t="s">
        <v>3376</v>
      </c>
      <c r="F90" s="663" t="s">
        <v>3377</v>
      </c>
      <c r="G90" s="662" t="s">
        <v>2768</v>
      </c>
      <c r="H90" s="662" t="s">
        <v>2769</v>
      </c>
      <c r="I90" s="664">
        <v>21.23</v>
      </c>
      <c r="J90" s="664">
        <v>50</v>
      </c>
      <c r="K90" s="665">
        <v>1061.5</v>
      </c>
    </row>
    <row r="91" spans="1:11" ht="14.4" customHeight="1" x14ac:dyDescent="0.3">
      <c r="A91" s="660" t="s">
        <v>552</v>
      </c>
      <c r="B91" s="661" t="s">
        <v>553</v>
      </c>
      <c r="C91" s="662" t="s">
        <v>558</v>
      </c>
      <c r="D91" s="663" t="s">
        <v>1750</v>
      </c>
      <c r="E91" s="662" t="s">
        <v>3376</v>
      </c>
      <c r="F91" s="663" t="s">
        <v>3377</v>
      </c>
      <c r="G91" s="662" t="s">
        <v>2770</v>
      </c>
      <c r="H91" s="662" t="s">
        <v>2771</v>
      </c>
      <c r="I91" s="664">
        <v>13.2</v>
      </c>
      <c r="J91" s="664">
        <v>10</v>
      </c>
      <c r="K91" s="665">
        <v>132</v>
      </c>
    </row>
    <row r="92" spans="1:11" ht="14.4" customHeight="1" x14ac:dyDescent="0.3">
      <c r="A92" s="660" t="s">
        <v>552</v>
      </c>
      <c r="B92" s="661" t="s">
        <v>553</v>
      </c>
      <c r="C92" s="662" t="s">
        <v>558</v>
      </c>
      <c r="D92" s="663" t="s">
        <v>1750</v>
      </c>
      <c r="E92" s="662" t="s">
        <v>3376</v>
      </c>
      <c r="F92" s="663" t="s">
        <v>3377</v>
      </c>
      <c r="G92" s="662" t="s">
        <v>2772</v>
      </c>
      <c r="H92" s="662" t="s">
        <v>2773</v>
      </c>
      <c r="I92" s="664">
        <v>0.47</v>
      </c>
      <c r="J92" s="664">
        <v>1600</v>
      </c>
      <c r="K92" s="665">
        <v>752</v>
      </c>
    </row>
    <row r="93" spans="1:11" ht="14.4" customHeight="1" x14ac:dyDescent="0.3">
      <c r="A93" s="660" t="s">
        <v>552</v>
      </c>
      <c r="B93" s="661" t="s">
        <v>553</v>
      </c>
      <c r="C93" s="662" t="s">
        <v>558</v>
      </c>
      <c r="D93" s="663" t="s">
        <v>1750</v>
      </c>
      <c r="E93" s="662" t="s">
        <v>3376</v>
      </c>
      <c r="F93" s="663" t="s">
        <v>3377</v>
      </c>
      <c r="G93" s="662" t="s">
        <v>2774</v>
      </c>
      <c r="H93" s="662" t="s">
        <v>2775</v>
      </c>
      <c r="I93" s="664">
        <v>43.2</v>
      </c>
      <c r="J93" s="664">
        <v>60</v>
      </c>
      <c r="K93" s="665">
        <v>2591.8000000000002</v>
      </c>
    </row>
    <row r="94" spans="1:11" ht="14.4" customHeight="1" x14ac:dyDescent="0.3">
      <c r="A94" s="660" t="s">
        <v>552</v>
      </c>
      <c r="B94" s="661" t="s">
        <v>553</v>
      </c>
      <c r="C94" s="662" t="s">
        <v>558</v>
      </c>
      <c r="D94" s="663" t="s">
        <v>1750</v>
      </c>
      <c r="E94" s="662" t="s">
        <v>3376</v>
      </c>
      <c r="F94" s="663" t="s">
        <v>3377</v>
      </c>
      <c r="G94" s="662" t="s">
        <v>2776</v>
      </c>
      <c r="H94" s="662" t="s">
        <v>2777</v>
      </c>
      <c r="I94" s="664">
        <v>169.4</v>
      </c>
      <c r="J94" s="664">
        <v>10</v>
      </c>
      <c r="K94" s="665">
        <v>1694</v>
      </c>
    </row>
    <row r="95" spans="1:11" ht="14.4" customHeight="1" x14ac:dyDescent="0.3">
      <c r="A95" s="660" t="s">
        <v>552</v>
      </c>
      <c r="B95" s="661" t="s">
        <v>553</v>
      </c>
      <c r="C95" s="662" t="s">
        <v>558</v>
      </c>
      <c r="D95" s="663" t="s">
        <v>1750</v>
      </c>
      <c r="E95" s="662" t="s">
        <v>3376</v>
      </c>
      <c r="F95" s="663" t="s">
        <v>3377</v>
      </c>
      <c r="G95" s="662" t="s">
        <v>2778</v>
      </c>
      <c r="H95" s="662" t="s">
        <v>2779</v>
      </c>
      <c r="I95" s="664">
        <v>25.71</v>
      </c>
      <c r="J95" s="664">
        <v>50</v>
      </c>
      <c r="K95" s="665">
        <v>1285.6300000000001</v>
      </c>
    </row>
    <row r="96" spans="1:11" ht="14.4" customHeight="1" x14ac:dyDescent="0.3">
      <c r="A96" s="660" t="s">
        <v>552</v>
      </c>
      <c r="B96" s="661" t="s">
        <v>553</v>
      </c>
      <c r="C96" s="662" t="s">
        <v>558</v>
      </c>
      <c r="D96" s="663" t="s">
        <v>1750</v>
      </c>
      <c r="E96" s="662" t="s">
        <v>3376</v>
      </c>
      <c r="F96" s="663" t="s">
        <v>3377</v>
      </c>
      <c r="G96" s="662" t="s">
        <v>2780</v>
      </c>
      <c r="H96" s="662" t="s">
        <v>2781</v>
      </c>
      <c r="I96" s="664">
        <v>9.5949999999999989</v>
      </c>
      <c r="J96" s="664">
        <v>200</v>
      </c>
      <c r="K96" s="665">
        <v>1919</v>
      </c>
    </row>
    <row r="97" spans="1:11" ht="14.4" customHeight="1" x14ac:dyDescent="0.3">
      <c r="A97" s="660" t="s">
        <v>552</v>
      </c>
      <c r="B97" s="661" t="s">
        <v>553</v>
      </c>
      <c r="C97" s="662" t="s">
        <v>558</v>
      </c>
      <c r="D97" s="663" t="s">
        <v>1750</v>
      </c>
      <c r="E97" s="662" t="s">
        <v>3376</v>
      </c>
      <c r="F97" s="663" t="s">
        <v>3377</v>
      </c>
      <c r="G97" s="662" t="s">
        <v>2782</v>
      </c>
      <c r="H97" s="662" t="s">
        <v>2783</v>
      </c>
      <c r="I97" s="664">
        <v>22.99</v>
      </c>
      <c r="J97" s="664">
        <v>50</v>
      </c>
      <c r="K97" s="665">
        <v>1149.5</v>
      </c>
    </row>
    <row r="98" spans="1:11" ht="14.4" customHeight="1" x14ac:dyDescent="0.3">
      <c r="A98" s="660" t="s">
        <v>552</v>
      </c>
      <c r="B98" s="661" t="s">
        <v>553</v>
      </c>
      <c r="C98" s="662" t="s">
        <v>558</v>
      </c>
      <c r="D98" s="663" t="s">
        <v>1750</v>
      </c>
      <c r="E98" s="662" t="s">
        <v>3376</v>
      </c>
      <c r="F98" s="663" t="s">
        <v>3377</v>
      </c>
      <c r="G98" s="662" t="s">
        <v>2784</v>
      </c>
      <c r="H98" s="662" t="s">
        <v>2785</v>
      </c>
      <c r="I98" s="664">
        <v>22.99</v>
      </c>
      <c r="J98" s="664">
        <v>50</v>
      </c>
      <c r="K98" s="665">
        <v>1149.5</v>
      </c>
    </row>
    <row r="99" spans="1:11" ht="14.4" customHeight="1" x14ac:dyDescent="0.3">
      <c r="A99" s="660" t="s">
        <v>552</v>
      </c>
      <c r="B99" s="661" t="s">
        <v>553</v>
      </c>
      <c r="C99" s="662" t="s">
        <v>558</v>
      </c>
      <c r="D99" s="663" t="s">
        <v>1750</v>
      </c>
      <c r="E99" s="662" t="s">
        <v>3376</v>
      </c>
      <c r="F99" s="663" t="s">
        <v>3377</v>
      </c>
      <c r="G99" s="662" t="s">
        <v>2786</v>
      </c>
      <c r="H99" s="662" t="s">
        <v>2787</v>
      </c>
      <c r="I99" s="664">
        <v>9.1999999999999993</v>
      </c>
      <c r="J99" s="664">
        <v>700</v>
      </c>
      <c r="K99" s="665">
        <v>6440</v>
      </c>
    </row>
    <row r="100" spans="1:11" ht="14.4" customHeight="1" x14ac:dyDescent="0.3">
      <c r="A100" s="660" t="s">
        <v>552</v>
      </c>
      <c r="B100" s="661" t="s">
        <v>553</v>
      </c>
      <c r="C100" s="662" t="s">
        <v>558</v>
      </c>
      <c r="D100" s="663" t="s">
        <v>1750</v>
      </c>
      <c r="E100" s="662" t="s">
        <v>3376</v>
      </c>
      <c r="F100" s="663" t="s">
        <v>3377</v>
      </c>
      <c r="G100" s="662" t="s">
        <v>2788</v>
      </c>
      <c r="H100" s="662" t="s">
        <v>2789</v>
      </c>
      <c r="I100" s="664">
        <v>172.5</v>
      </c>
      <c r="J100" s="664">
        <v>3</v>
      </c>
      <c r="K100" s="665">
        <v>517.5</v>
      </c>
    </row>
    <row r="101" spans="1:11" ht="14.4" customHeight="1" x14ac:dyDescent="0.3">
      <c r="A101" s="660" t="s">
        <v>552</v>
      </c>
      <c r="B101" s="661" t="s">
        <v>553</v>
      </c>
      <c r="C101" s="662" t="s">
        <v>558</v>
      </c>
      <c r="D101" s="663" t="s">
        <v>1750</v>
      </c>
      <c r="E101" s="662" t="s">
        <v>3376</v>
      </c>
      <c r="F101" s="663" t="s">
        <v>3377</v>
      </c>
      <c r="G101" s="662" t="s">
        <v>2790</v>
      </c>
      <c r="H101" s="662" t="s">
        <v>2791</v>
      </c>
      <c r="I101" s="664">
        <v>285.55</v>
      </c>
      <c r="J101" s="664">
        <v>2</v>
      </c>
      <c r="K101" s="665">
        <v>571.1</v>
      </c>
    </row>
    <row r="102" spans="1:11" ht="14.4" customHeight="1" x14ac:dyDescent="0.3">
      <c r="A102" s="660" t="s">
        <v>552</v>
      </c>
      <c r="B102" s="661" t="s">
        <v>553</v>
      </c>
      <c r="C102" s="662" t="s">
        <v>558</v>
      </c>
      <c r="D102" s="663" t="s">
        <v>1750</v>
      </c>
      <c r="E102" s="662" t="s">
        <v>3376</v>
      </c>
      <c r="F102" s="663" t="s">
        <v>3377</v>
      </c>
      <c r="G102" s="662" t="s">
        <v>2792</v>
      </c>
      <c r="H102" s="662" t="s">
        <v>2793</v>
      </c>
      <c r="I102" s="664">
        <v>9.5</v>
      </c>
      <c r="J102" s="664">
        <v>1</v>
      </c>
      <c r="K102" s="665">
        <v>9.5</v>
      </c>
    </row>
    <row r="103" spans="1:11" ht="14.4" customHeight="1" x14ac:dyDescent="0.3">
      <c r="A103" s="660" t="s">
        <v>552</v>
      </c>
      <c r="B103" s="661" t="s">
        <v>553</v>
      </c>
      <c r="C103" s="662" t="s">
        <v>558</v>
      </c>
      <c r="D103" s="663" t="s">
        <v>1750</v>
      </c>
      <c r="E103" s="662" t="s">
        <v>3376</v>
      </c>
      <c r="F103" s="663" t="s">
        <v>3377</v>
      </c>
      <c r="G103" s="662" t="s">
        <v>2794</v>
      </c>
      <c r="H103" s="662" t="s">
        <v>2795</v>
      </c>
      <c r="I103" s="664">
        <v>17.059999999999999</v>
      </c>
      <c r="J103" s="664">
        <v>10</v>
      </c>
      <c r="K103" s="665">
        <v>170.6</v>
      </c>
    </row>
    <row r="104" spans="1:11" ht="14.4" customHeight="1" x14ac:dyDescent="0.3">
      <c r="A104" s="660" t="s">
        <v>552</v>
      </c>
      <c r="B104" s="661" t="s">
        <v>553</v>
      </c>
      <c r="C104" s="662" t="s">
        <v>558</v>
      </c>
      <c r="D104" s="663" t="s">
        <v>1750</v>
      </c>
      <c r="E104" s="662" t="s">
        <v>3376</v>
      </c>
      <c r="F104" s="663" t="s">
        <v>3377</v>
      </c>
      <c r="G104" s="662" t="s">
        <v>2796</v>
      </c>
      <c r="H104" s="662" t="s">
        <v>2797</v>
      </c>
      <c r="I104" s="664">
        <v>24.32</v>
      </c>
      <c r="J104" s="664">
        <v>4</v>
      </c>
      <c r="K104" s="665">
        <v>97.28</v>
      </c>
    </row>
    <row r="105" spans="1:11" ht="14.4" customHeight="1" x14ac:dyDescent="0.3">
      <c r="A105" s="660" t="s">
        <v>552</v>
      </c>
      <c r="B105" s="661" t="s">
        <v>553</v>
      </c>
      <c r="C105" s="662" t="s">
        <v>558</v>
      </c>
      <c r="D105" s="663" t="s">
        <v>1750</v>
      </c>
      <c r="E105" s="662" t="s">
        <v>3376</v>
      </c>
      <c r="F105" s="663" t="s">
        <v>3377</v>
      </c>
      <c r="G105" s="662" t="s">
        <v>2798</v>
      </c>
      <c r="H105" s="662" t="s">
        <v>2799</v>
      </c>
      <c r="I105" s="664">
        <v>186.82</v>
      </c>
      <c r="J105" s="664">
        <v>3</v>
      </c>
      <c r="K105" s="665">
        <v>560.46</v>
      </c>
    </row>
    <row r="106" spans="1:11" ht="14.4" customHeight="1" x14ac:dyDescent="0.3">
      <c r="A106" s="660" t="s">
        <v>552</v>
      </c>
      <c r="B106" s="661" t="s">
        <v>553</v>
      </c>
      <c r="C106" s="662" t="s">
        <v>558</v>
      </c>
      <c r="D106" s="663" t="s">
        <v>1750</v>
      </c>
      <c r="E106" s="662" t="s">
        <v>3378</v>
      </c>
      <c r="F106" s="663" t="s">
        <v>3379</v>
      </c>
      <c r="G106" s="662" t="s">
        <v>2800</v>
      </c>
      <c r="H106" s="662" t="s">
        <v>2801</v>
      </c>
      <c r="I106" s="664">
        <v>8.17</v>
      </c>
      <c r="J106" s="664">
        <v>500</v>
      </c>
      <c r="K106" s="665">
        <v>4085</v>
      </c>
    </row>
    <row r="107" spans="1:11" ht="14.4" customHeight="1" x14ac:dyDescent="0.3">
      <c r="A107" s="660" t="s">
        <v>552</v>
      </c>
      <c r="B107" s="661" t="s">
        <v>553</v>
      </c>
      <c r="C107" s="662" t="s">
        <v>558</v>
      </c>
      <c r="D107" s="663" t="s">
        <v>1750</v>
      </c>
      <c r="E107" s="662" t="s">
        <v>3378</v>
      </c>
      <c r="F107" s="663" t="s">
        <v>3379</v>
      </c>
      <c r="G107" s="662" t="s">
        <v>2802</v>
      </c>
      <c r="H107" s="662" t="s">
        <v>2803</v>
      </c>
      <c r="I107" s="664">
        <v>150.02000000000001</v>
      </c>
      <c r="J107" s="664">
        <v>10</v>
      </c>
      <c r="K107" s="665">
        <v>1500.22</v>
      </c>
    </row>
    <row r="108" spans="1:11" ht="14.4" customHeight="1" x14ac:dyDescent="0.3">
      <c r="A108" s="660" t="s">
        <v>552</v>
      </c>
      <c r="B108" s="661" t="s">
        <v>553</v>
      </c>
      <c r="C108" s="662" t="s">
        <v>558</v>
      </c>
      <c r="D108" s="663" t="s">
        <v>1750</v>
      </c>
      <c r="E108" s="662" t="s">
        <v>3380</v>
      </c>
      <c r="F108" s="663" t="s">
        <v>3381</v>
      </c>
      <c r="G108" s="662" t="s">
        <v>2804</v>
      </c>
      <c r="H108" s="662" t="s">
        <v>2805</v>
      </c>
      <c r="I108" s="664">
        <v>0.3</v>
      </c>
      <c r="J108" s="664">
        <v>400</v>
      </c>
      <c r="K108" s="665">
        <v>120</v>
      </c>
    </row>
    <row r="109" spans="1:11" ht="14.4" customHeight="1" x14ac:dyDescent="0.3">
      <c r="A109" s="660" t="s">
        <v>552</v>
      </c>
      <c r="B109" s="661" t="s">
        <v>553</v>
      </c>
      <c r="C109" s="662" t="s">
        <v>558</v>
      </c>
      <c r="D109" s="663" t="s">
        <v>1750</v>
      </c>
      <c r="E109" s="662" t="s">
        <v>3380</v>
      </c>
      <c r="F109" s="663" t="s">
        <v>3381</v>
      </c>
      <c r="G109" s="662" t="s">
        <v>2806</v>
      </c>
      <c r="H109" s="662" t="s">
        <v>2807</v>
      </c>
      <c r="I109" s="664">
        <v>0.31</v>
      </c>
      <c r="J109" s="664">
        <v>600</v>
      </c>
      <c r="K109" s="665">
        <v>186</v>
      </c>
    </row>
    <row r="110" spans="1:11" ht="14.4" customHeight="1" x14ac:dyDescent="0.3">
      <c r="A110" s="660" t="s">
        <v>552</v>
      </c>
      <c r="B110" s="661" t="s">
        <v>553</v>
      </c>
      <c r="C110" s="662" t="s">
        <v>558</v>
      </c>
      <c r="D110" s="663" t="s">
        <v>1750</v>
      </c>
      <c r="E110" s="662" t="s">
        <v>3380</v>
      </c>
      <c r="F110" s="663" t="s">
        <v>3381</v>
      </c>
      <c r="G110" s="662" t="s">
        <v>2808</v>
      </c>
      <c r="H110" s="662" t="s">
        <v>2809</v>
      </c>
      <c r="I110" s="664">
        <v>0.48</v>
      </c>
      <c r="J110" s="664">
        <v>640</v>
      </c>
      <c r="K110" s="665">
        <v>307.2</v>
      </c>
    </row>
    <row r="111" spans="1:11" ht="14.4" customHeight="1" x14ac:dyDescent="0.3">
      <c r="A111" s="660" t="s">
        <v>552</v>
      </c>
      <c r="B111" s="661" t="s">
        <v>553</v>
      </c>
      <c r="C111" s="662" t="s">
        <v>558</v>
      </c>
      <c r="D111" s="663" t="s">
        <v>1750</v>
      </c>
      <c r="E111" s="662" t="s">
        <v>3380</v>
      </c>
      <c r="F111" s="663" t="s">
        <v>3381</v>
      </c>
      <c r="G111" s="662" t="s">
        <v>2810</v>
      </c>
      <c r="H111" s="662" t="s">
        <v>2811</v>
      </c>
      <c r="I111" s="664">
        <v>0.48499999999999999</v>
      </c>
      <c r="J111" s="664">
        <v>1200</v>
      </c>
      <c r="K111" s="665">
        <v>582</v>
      </c>
    </row>
    <row r="112" spans="1:11" ht="14.4" customHeight="1" x14ac:dyDescent="0.3">
      <c r="A112" s="660" t="s">
        <v>552</v>
      </c>
      <c r="B112" s="661" t="s">
        <v>553</v>
      </c>
      <c r="C112" s="662" t="s">
        <v>558</v>
      </c>
      <c r="D112" s="663" t="s">
        <v>1750</v>
      </c>
      <c r="E112" s="662" t="s">
        <v>3380</v>
      </c>
      <c r="F112" s="663" t="s">
        <v>3381</v>
      </c>
      <c r="G112" s="662" t="s">
        <v>2812</v>
      </c>
      <c r="H112" s="662" t="s">
        <v>2813</v>
      </c>
      <c r="I112" s="664">
        <v>1.76</v>
      </c>
      <c r="J112" s="664">
        <v>100</v>
      </c>
      <c r="K112" s="665">
        <v>176</v>
      </c>
    </row>
    <row r="113" spans="1:11" ht="14.4" customHeight="1" x14ac:dyDescent="0.3">
      <c r="A113" s="660" t="s">
        <v>552</v>
      </c>
      <c r="B113" s="661" t="s">
        <v>553</v>
      </c>
      <c r="C113" s="662" t="s">
        <v>558</v>
      </c>
      <c r="D113" s="663" t="s">
        <v>1750</v>
      </c>
      <c r="E113" s="662" t="s">
        <v>3380</v>
      </c>
      <c r="F113" s="663" t="s">
        <v>3381</v>
      </c>
      <c r="G113" s="662" t="s">
        <v>2814</v>
      </c>
      <c r="H113" s="662" t="s">
        <v>2815</v>
      </c>
      <c r="I113" s="664">
        <v>1.7650000000000001</v>
      </c>
      <c r="J113" s="664">
        <v>300</v>
      </c>
      <c r="K113" s="665">
        <v>531</v>
      </c>
    </row>
    <row r="114" spans="1:11" ht="14.4" customHeight="1" x14ac:dyDescent="0.3">
      <c r="A114" s="660" t="s">
        <v>552</v>
      </c>
      <c r="B114" s="661" t="s">
        <v>553</v>
      </c>
      <c r="C114" s="662" t="s">
        <v>558</v>
      </c>
      <c r="D114" s="663" t="s">
        <v>1750</v>
      </c>
      <c r="E114" s="662" t="s">
        <v>3382</v>
      </c>
      <c r="F114" s="663" t="s">
        <v>3383</v>
      </c>
      <c r="G114" s="662" t="s">
        <v>2816</v>
      </c>
      <c r="H114" s="662" t="s">
        <v>2817</v>
      </c>
      <c r="I114" s="664">
        <v>7.51</v>
      </c>
      <c r="J114" s="664">
        <v>50</v>
      </c>
      <c r="K114" s="665">
        <v>375.5</v>
      </c>
    </row>
    <row r="115" spans="1:11" ht="14.4" customHeight="1" x14ac:dyDescent="0.3">
      <c r="A115" s="660" t="s">
        <v>552</v>
      </c>
      <c r="B115" s="661" t="s">
        <v>553</v>
      </c>
      <c r="C115" s="662" t="s">
        <v>558</v>
      </c>
      <c r="D115" s="663" t="s">
        <v>1750</v>
      </c>
      <c r="E115" s="662" t="s">
        <v>3382</v>
      </c>
      <c r="F115" s="663" t="s">
        <v>3383</v>
      </c>
      <c r="G115" s="662" t="s">
        <v>2818</v>
      </c>
      <c r="H115" s="662" t="s">
        <v>2819</v>
      </c>
      <c r="I115" s="664">
        <v>0.71</v>
      </c>
      <c r="J115" s="664">
        <v>12000</v>
      </c>
      <c r="K115" s="665">
        <v>8520</v>
      </c>
    </row>
    <row r="116" spans="1:11" ht="14.4" customHeight="1" x14ac:dyDescent="0.3">
      <c r="A116" s="660" t="s">
        <v>552</v>
      </c>
      <c r="B116" s="661" t="s">
        <v>553</v>
      </c>
      <c r="C116" s="662" t="s">
        <v>558</v>
      </c>
      <c r="D116" s="663" t="s">
        <v>1750</v>
      </c>
      <c r="E116" s="662" t="s">
        <v>3382</v>
      </c>
      <c r="F116" s="663" t="s">
        <v>3383</v>
      </c>
      <c r="G116" s="662" t="s">
        <v>2820</v>
      </c>
      <c r="H116" s="662" t="s">
        <v>2821</v>
      </c>
      <c r="I116" s="664">
        <v>0.71</v>
      </c>
      <c r="J116" s="664">
        <v>800</v>
      </c>
      <c r="K116" s="665">
        <v>568</v>
      </c>
    </row>
    <row r="117" spans="1:11" ht="14.4" customHeight="1" x14ac:dyDescent="0.3">
      <c r="A117" s="660" t="s">
        <v>552</v>
      </c>
      <c r="B117" s="661" t="s">
        <v>553</v>
      </c>
      <c r="C117" s="662" t="s">
        <v>558</v>
      </c>
      <c r="D117" s="663" t="s">
        <v>1750</v>
      </c>
      <c r="E117" s="662" t="s">
        <v>3382</v>
      </c>
      <c r="F117" s="663" t="s">
        <v>3383</v>
      </c>
      <c r="G117" s="662" t="s">
        <v>2822</v>
      </c>
      <c r="H117" s="662" t="s">
        <v>2823</v>
      </c>
      <c r="I117" s="664">
        <v>0.71</v>
      </c>
      <c r="J117" s="664">
        <v>800</v>
      </c>
      <c r="K117" s="665">
        <v>568</v>
      </c>
    </row>
    <row r="118" spans="1:11" ht="14.4" customHeight="1" x14ac:dyDescent="0.3">
      <c r="A118" s="660" t="s">
        <v>552</v>
      </c>
      <c r="B118" s="661" t="s">
        <v>553</v>
      </c>
      <c r="C118" s="662" t="s">
        <v>558</v>
      </c>
      <c r="D118" s="663" t="s">
        <v>1750</v>
      </c>
      <c r="E118" s="662" t="s">
        <v>3384</v>
      </c>
      <c r="F118" s="663" t="s">
        <v>3385</v>
      </c>
      <c r="G118" s="662" t="s">
        <v>2824</v>
      </c>
      <c r="H118" s="662" t="s">
        <v>2825</v>
      </c>
      <c r="I118" s="664">
        <v>11.65</v>
      </c>
      <c r="J118" s="664">
        <v>10</v>
      </c>
      <c r="K118" s="665">
        <v>116.52</v>
      </c>
    </row>
    <row r="119" spans="1:11" ht="14.4" customHeight="1" x14ac:dyDescent="0.3">
      <c r="A119" s="660" t="s">
        <v>552</v>
      </c>
      <c r="B119" s="661" t="s">
        <v>553</v>
      </c>
      <c r="C119" s="662" t="s">
        <v>558</v>
      </c>
      <c r="D119" s="663" t="s">
        <v>1750</v>
      </c>
      <c r="E119" s="662" t="s">
        <v>3384</v>
      </c>
      <c r="F119" s="663" t="s">
        <v>3385</v>
      </c>
      <c r="G119" s="662" t="s">
        <v>2826</v>
      </c>
      <c r="H119" s="662" t="s">
        <v>2827</v>
      </c>
      <c r="I119" s="664">
        <v>152.46</v>
      </c>
      <c r="J119" s="664">
        <v>2</v>
      </c>
      <c r="K119" s="665">
        <v>304.92</v>
      </c>
    </row>
    <row r="120" spans="1:11" ht="14.4" customHeight="1" x14ac:dyDescent="0.3">
      <c r="A120" s="660" t="s">
        <v>552</v>
      </c>
      <c r="B120" s="661" t="s">
        <v>553</v>
      </c>
      <c r="C120" s="662" t="s">
        <v>558</v>
      </c>
      <c r="D120" s="663" t="s">
        <v>1750</v>
      </c>
      <c r="E120" s="662" t="s">
        <v>3386</v>
      </c>
      <c r="F120" s="663" t="s">
        <v>3387</v>
      </c>
      <c r="G120" s="662" t="s">
        <v>2828</v>
      </c>
      <c r="H120" s="662" t="s">
        <v>2829</v>
      </c>
      <c r="I120" s="664">
        <v>23.48</v>
      </c>
      <c r="J120" s="664">
        <v>30</v>
      </c>
      <c r="K120" s="665">
        <v>704.4</v>
      </c>
    </row>
    <row r="121" spans="1:11" ht="14.4" customHeight="1" x14ac:dyDescent="0.3">
      <c r="A121" s="660" t="s">
        <v>552</v>
      </c>
      <c r="B121" s="661" t="s">
        <v>553</v>
      </c>
      <c r="C121" s="662" t="s">
        <v>558</v>
      </c>
      <c r="D121" s="663" t="s">
        <v>1750</v>
      </c>
      <c r="E121" s="662" t="s">
        <v>3386</v>
      </c>
      <c r="F121" s="663" t="s">
        <v>3387</v>
      </c>
      <c r="G121" s="662" t="s">
        <v>2830</v>
      </c>
      <c r="H121" s="662" t="s">
        <v>2831</v>
      </c>
      <c r="I121" s="664">
        <v>695.75</v>
      </c>
      <c r="J121" s="664">
        <v>8</v>
      </c>
      <c r="K121" s="665">
        <v>5566</v>
      </c>
    </row>
    <row r="122" spans="1:11" ht="14.4" customHeight="1" x14ac:dyDescent="0.3">
      <c r="A122" s="660" t="s">
        <v>552</v>
      </c>
      <c r="B122" s="661" t="s">
        <v>553</v>
      </c>
      <c r="C122" s="662" t="s">
        <v>558</v>
      </c>
      <c r="D122" s="663" t="s">
        <v>1750</v>
      </c>
      <c r="E122" s="662" t="s">
        <v>3386</v>
      </c>
      <c r="F122" s="663" t="s">
        <v>3387</v>
      </c>
      <c r="G122" s="662" t="s">
        <v>2832</v>
      </c>
      <c r="H122" s="662" t="s">
        <v>2833</v>
      </c>
      <c r="I122" s="664">
        <v>87.6</v>
      </c>
      <c r="J122" s="664">
        <v>20</v>
      </c>
      <c r="K122" s="665">
        <v>1752.1</v>
      </c>
    </row>
    <row r="123" spans="1:11" ht="14.4" customHeight="1" x14ac:dyDescent="0.3">
      <c r="A123" s="660" t="s">
        <v>552</v>
      </c>
      <c r="B123" s="661" t="s">
        <v>553</v>
      </c>
      <c r="C123" s="662" t="s">
        <v>563</v>
      </c>
      <c r="D123" s="663" t="s">
        <v>1751</v>
      </c>
      <c r="E123" s="662" t="s">
        <v>3374</v>
      </c>
      <c r="F123" s="663" t="s">
        <v>3375</v>
      </c>
      <c r="G123" s="662" t="s">
        <v>2604</v>
      </c>
      <c r="H123" s="662" t="s">
        <v>2605</v>
      </c>
      <c r="I123" s="664">
        <v>27.37</v>
      </c>
      <c r="J123" s="664">
        <v>20</v>
      </c>
      <c r="K123" s="665">
        <v>547.4</v>
      </c>
    </row>
    <row r="124" spans="1:11" ht="14.4" customHeight="1" x14ac:dyDescent="0.3">
      <c r="A124" s="660" t="s">
        <v>552</v>
      </c>
      <c r="B124" s="661" t="s">
        <v>553</v>
      </c>
      <c r="C124" s="662" t="s">
        <v>563</v>
      </c>
      <c r="D124" s="663" t="s">
        <v>1751</v>
      </c>
      <c r="E124" s="662" t="s">
        <v>3374</v>
      </c>
      <c r="F124" s="663" t="s">
        <v>3375</v>
      </c>
      <c r="G124" s="662" t="s">
        <v>2620</v>
      </c>
      <c r="H124" s="662" t="s">
        <v>2621</v>
      </c>
      <c r="I124" s="664">
        <v>61.21</v>
      </c>
      <c r="J124" s="664">
        <v>1</v>
      </c>
      <c r="K124" s="665">
        <v>61.21</v>
      </c>
    </row>
    <row r="125" spans="1:11" ht="14.4" customHeight="1" x14ac:dyDescent="0.3">
      <c r="A125" s="660" t="s">
        <v>552</v>
      </c>
      <c r="B125" s="661" t="s">
        <v>553</v>
      </c>
      <c r="C125" s="662" t="s">
        <v>563</v>
      </c>
      <c r="D125" s="663" t="s">
        <v>1751</v>
      </c>
      <c r="E125" s="662" t="s">
        <v>3374</v>
      </c>
      <c r="F125" s="663" t="s">
        <v>3375</v>
      </c>
      <c r="G125" s="662" t="s">
        <v>2626</v>
      </c>
      <c r="H125" s="662" t="s">
        <v>2627</v>
      </c>
      <c r="I125" s="664">
        <v>1.38</v>
      </c>
      <c r="J125" s="664">
        <v>50</v>
      </c>
      <c r="K125" s="665">
        <v>69</v>
      </c>
    </row>
    <row r="126" spans="1:11" ht="14.4" customHeight="1" x14ac:dyDescent="0.3">
      <c r="A126" s="660" t="s">
        <v>552</v>
      </c>
      <c r="B126" s="661" t="s">
        <v>553</v>
      </c>
      <c r="C126" s="662" t="s">
        <v>563</v>
      </c>
      <c r="D126" s="663" t="s">
        <v>1751</v>
      </c>
      <c r="E126" s="662" t="s">
        <v>3374</v>
      </c>
      <c r="F126" s="663" t="s">
        <v>3375</v>
      </c>
      <c r="G126" s="662" t="s">
        <v>2628</v>
      </c>
      <c r="H126" s="662" t="s">
        <v>2629</v>
      </c>
      <c r="I126" s="664">
        <v>0.6</v>
      </c>
      <c r="J126" s="664">
        <v>100</v>
      </c>
      <c r="K126" s="665">
        <v>60</v>
      </c>
    </row>
    <row r="127" spans="1:11" ht="14.4" customHeight="1" x14ac:dyDescent="0.3">
      <c r="A127" s="660" t="s">
        <v>552</v>
      </c>
      <c r="B127" s="661" t="s">
        <v>553</v>
      </c>
      <c r="C127" s="662" t="s">
        <v>563</v>
      </c>
      <c r="D127" s="663" t="s">
        <v>1751</v>
      </c>
      <c r="E127" s="662" t="s">
        <v>3374</v>
      </c>
      <c r="F127" s="663" t="s">
        <v>3375</v>
      </c>
      <c r="G127" s="662" t="s">
        <v>2650</v>
      </c>
      <c r="H127" s="662" t="s">
        <v>2651</v>
      </c>
      <c r="I127" s="664">
        <v>26.37</v>
      </c>
      <c r="J127" s="664">
        <v>12</v>
      </c>
      <c r="K127" s="665">
        <v>316.44</v>
      </c>
    </row>
    <row r="128" spans="1:11" ht="14.4" customHeight="1" x14ac:dyDescent="0.3">
      <c r="A128" s="660" t="s">
        <v>552</v>
      </c>
      <c r="B128" s="661" t="s">
        <v>553</v>
      </c>
      <c r="C128" s="662" t="s">
        <v>563</v>
      </c>
      <c r="D128" s="663" t="s">
        <v>1751</v>
      </c>
      <c r="E128" s="662" t="s">
        <v>3374</v>
      </c>
      <c r="F128" s="663" t="s">
        <v>3375</v>
      </c>
      <c r="G128" s="662" t="s">
        <v>2656</v>
      </c>
      <c r="H128" s="662" t="s">
        <v>2657</v>
      </c>
      <c r="I128" s="664">
        <v>1.52</v>
      </c>
      <c r="J128" s="664">
        <v>50</v>
      </c>
      <c r="K128" s="665">
        <v>76</v>
      </c>
    </row>
    <row r="129" spans="1:11" ht="14.4" customHeight="1" x14ac:dyDescent="0.3">
      <c r="A129" s="660" t="s">
        <v>552</v>
      </c>
      <c r="B129" s="661" t="s">
        <v>553</v>
      </c>
      <c r="C129" s="662" t="s">
        <v>563</v>
      </c>
      <c r="D129" s="663" t="s">
        <v>1751</v>
      </c>
      <c r="E129" s="662" t="s">
        <v>3374</v>
      </c>
      <c r="F129" s="663" t="s">
        <v>3375</v>
      </c>
      <c r="G129" s="662" t="s">
        <v>2660</v>
      </c>
      <c r="H129" s="662" t="s">
        <v>2661</v>
      </c>
      <c r="I129" s="664">
        <v>3.36</v>
      </c>
      <c r="J129" s="664">
        <v>50</v>
      </c>
      <c r="K129" s="665">
        <v>168</v>
      </c>
    </row>
    <row r="130" spans="1:11" ht="14.4" customHeight="1" x14ac:dyDescent="0.3">
      <c r="A130" s="660" t="s">
        <v>552</v>
      </c>
      <c r="B130" s="661" t="s">
        <v>553</v>
      </c>
      <c r="C130" s="662" t="s">
        <v>563</v>
      </c>
      <c r="D130" s="663" t="s">
        <v>1751</v>
      </c>
      <c r="E130" s="662" t="s">
        <v>3376</v>
      </c>
      <c r="F130" s="663" t="s">
        <v>3377</v>
      </c>
      <c r="G130" s="662" t="s">
        <v>2728</v>
      </c>
      <c r="H130" s="662" t="s">
        <v>2729</v>
      </c>
      <c r="I130" s="664">
        <v>1.9750000000000001</v>
      </c>
      <c r="J130" s="664">
        <v>250</v>
      </c>
      <c r="K130" s="665">
        <v>494</v>
      </c>
    </row>
    <row r="131" spans="1:11" ht="14.4" customHeight="1" x14ac:dyDescent="0.3">
      <c r="A131" s="660" t="s">
        <v>552</v>
      </c>
      <c r="B131" s="661" t="s">
        <v>553</v>
      </c>
      <c r="C131" s="662" t="s">
        <v>563</v>
      </c>
      <c r="D131" s="663" t="s">
        <v>1751</v>
      </c>
      <c r="E131" s="662" t="s">
        <v>3376</v>
      </c>
      <c r="F131" s="663" t="s">
        <v>3377</v>
      </c>
      <c r="G131" s="662" t="s">
        <v>2730</v>
      </c>
      <c r="H131" s="662" t="s">
        <v>2731</v>
      </c>
      <c r="I131" s="664">
        <v>1.93</v>
      </c>
      <c r="J131" s="664">
        <v>100</v>
      </c>
      <c r="K131" s="665">
        <v>193</v>
      </c>
    </row>
    <row r="132" spans="1:11" ht="14.4" customHeight="1" x14ac:dyDescent="0.3">
      <c r="A132" s="660" t="s">
        <v>552</v>
      </c>
      <c r="B132" s="661" t="s">
        <v>553</v>
      </c>
      <c r="C132" s="662" t="s">
        <v>563</v>
      </c>
      <c r="D132" s="663" t="s">
        <v>1751</v>
      </c>
      <c r="E132" s="662" t="s">
        <v>3376</v>
      </c>
      <c r="F132" s="663" t="s">
        <v>3377</v>
      </c>
      <c r="G132" s="662" t="s">
        <v>2732</v>
      </c>
      <c r="H132" s="662" t="s">
        <v>2733</v>
      </c>
      <c r="I132" s="664">
        <v>3.0049999999999999</v>
      </c>
      <c r="J132" s="664">
        <v>150</v>
      </c>
      <c r="K132" s="665">
        <v>451</v>
      </c>
    </row>
    <row r="133" spans="1:11" ht="14.4" customHeight="1" x14ac:dyDescent="0.3">
      <c r="A133" s="660" t="s">
        <v>552</v>
      </c>
      <c r="B133" s="661" t="s">
        <v>553</v>
      </c>
      <c r="C133" s="662" t="s">
        <v>563</v>
      </c>
      <c r="D133" s="663" t="s">
        <v>1751</v>
      </c>
      <c r="E133" s="662" t="s">
        <v>3376</v>
      </c>
      <c r="F133" s="663" t="s">
        <v>3377</v>
      </c>
      <c r="G133" s="662" t="s">
        <v>2734</v>
      </c>
      <c r="H133" s="662" t="s">
        <v>2735</v>
      </c>
      <c r="I133" s="664">
        <v>1.92</v>
      </c>
      <c r="J133" s="664">
        <v>100</v>
      </c>
      <c r="K133" s="665">
        <v>192</v>
      </c>
    </row>
    <row r="134" spans="1:11" ht="14.4" customHeight="1" x14ac:dyDescent="0.3">
      <c r="A134" s="660" t="s">
        <v>552</v>
      </c>
      <c r="B134" s="661" t="s">
        <v>553</v>
      </c>
      <c r="C134" s="662" t="s">
        <v>563</v>
      </c>
      <c r="D134" s="663" t="s">
        <v>1751</v>
      </c>
      <c r="E134" s="662" t="s">
        <v>3376</v>
      </c>
      <c r="F134" s="663" t="s">
        <v>3377</v>
      </c>
      <c r="G134" s="662" t="s">
        <v>2736</v>
      </c>
      <c r="H134" s="662" t="s">
        <v>2737</v>
      </c>
      <c r="I134" s="664">
        <v>0.01</v>
      </c>
      <c r="J134" s="664">
        <v>200</v>
      </c>
      <c r="K134" s="665">
        <v>2</v>
      </c>
    </row>
    <row r="135" spans="1:11" ht="14.4" customHeight="1" x14ac:dyDescent="0.3">
      <c r="A135" s="660" t="s">
        <v>552</v>
      </c>
      <c r="B135" s="661" t="s">
        <v>553</v>
      </c>
      <c r="C135" s="662" t="s">
        <v>563</v>
      </c>
      <c r="D135" s="663" t="s">
        <v>1751</v>
      </c>
      <c r="E135" s="662" t="s">
        <v>3376</v>
      </c>
      <c r="F135" s="663" t="s">
        <v>3377</v>
      </c>
      <c r="G135" s="662" t="s">
        <v>2740</v>
      </c>
      <c r="H135" s="662" t="s">
        <v>2741</v>
      </c>
      <c r="I135" s="664">
        <v>2.165</v>
      </c>
      <c r="J135" s="664">
        <v>100</v>
      </c>
      <c r="K135" s="665">
        <v>216.5</v>
      </c>
    </row>
    <row r="136" spans="1:11" ht="14.4" customHeight="1" x14ac:dyDescent="0.3">
      <c r="A136" s="660" t="s">
        <v>552</v>
      </c>
      <c r="B136" s="661" t="s">
        <v>553</v>
      </c>
      <c r="C136" s="662" t="s">
        <v>563</v>
      </c>
      <c r="D136" s="663" t="s">
        <v>1751</v>
      </c>
      <c r="E136" s="662" t="s">
        <v>3376</v>
      </c>
      <c r="F136" s="663" t="s">
        <v>3377</v>
      </c>
      <c r="G136" s="662" t="s">
        <v>2744</v>
      </c>
      <c r="H136" s="662" t="s">
        <v>2745</v>
      </c>
      <c r="I136" s="664">
        <v>2.855</v>
      </c>
      <c r="J136" s="664">
        <v>40</v>
      </c>
      <c r="K136" s="665">
        <v>114.3</v>
      </c>
    </row>
    <row r="137" spans="1:11" ht="14.4" customHeight="1" x14ac:dyDescent="0.3">
      <c r="A137" s="660" t="s">
        <v>552</v>
      </c>
      <c r="B137" s="661" t="s">
        <v>553</v>
      </c>
      <c r="C137" s="662" t="s">
        <v>563</v>
      </c>
      <c r="D137" s="663" t="s">
        <v>1751</v>
      </c>
      <c r="E137" s="662" t="s">
        <v>3376</v>
      </c>
      <c r="F137" s="663" t="s">
        <v>3377</v>
      </c>
      <c r="G137" s="662" t="s">
        <v>2834</v>
      </c>
      <c r="H137" s="662" t="s">
        <v>2835</v>
      </c>
      <c r="I137" s="664">
        <v>193.84</v>
      </c>
      <c r="J137" s="664">
        <v>1</v>
      </c>
      <c r="K137" s="665">
        <v>193.84</v>
      </c>
    </row>
    <row r="138" spans="1:11" ht="14.4" customHeight="1" x14ac:dyDescent="0.3">
      <c r="A138" s="660" t="s">
        <v>552</v>
      </c>
      <c r="B138" s="661" t="s">
        <v>553</v>
      </c>
      <c r="C138" s="662" t="s">
        <v>563</v>
      </c>
      <c r="D138" s="663" t="s">
        <v>1751</v>
      </c>
      <c r="E138" s="662" t="s">
        <v>3376</v>
      </c>
      <c r="F138" s="663" t="s">
        <v>3377</v>
      </c>
      <c r="G138" s="662" t="s">
        <v>2758</v>
      </c>
      <c r="H138" s="662" t="s">
        <v>2759</v>
      </c>
      <c r="I138" s="664">
        <v>12.1</v>
      </c>
      <c r="J138" s="664">
        <v>10</v>
      </c>
      <c r="K138" s="665">
        <v>121</v>
      </c>
    </row>
    <row r="139" spans="1:11" ht="14.4" customHeight="1" x14ac:dyDescent="0.3">
      <c r="A139" s="660" t="s">
        <v>552</v>
      </c>
      <c r="B139" s="661" t="s">
        <v>553</v>
      </c>
      <c r="C139" s="662" t="s">
        <v>563</v>
      </c>
      <c r="D139" s="663" t="s">
        <v>1751</v>
      </c>
      <c r="E139" s="662" t="s">
        <v>3376</v>
      </c>
      <c r="F139" s="663" t="s">
        <v>3377</v>
      </c>
      <c r="G139" s="662" t="s">
        <v>2788</v>
      </c>
      <c r="H139" s="662" t="s">
        <v>2789</v>
      </c>
      <c r="I139" s="664">
        <v>172.5</v>
      </c>
      <c r="J139" s="664">
        <v>1</v>
      </c>
      <c r="K139" s="665">
        <v>172.5</v>
      </c>
    </row>
    <row r="140" spans="1:11" ht="14.4" customHeight="1" x14ac:dyDescent="0.3">
      <c r="A140" s="660" t="s">
        <v>552</v>
      </c>
      <c r="B140" s="661" t="s">
        <v>553</v>
      </c>
      <c r="C140" s="662" t="s">
        <v>563</v>
      </c>
      <c r="D140" s="663" t="s">
        <v>1751</v>
      </c>
      <c r="E140" s="662" t="s">
        <v>3380</v>
      </c>
      <c r="F140" s="663" t="s">
        <v>3381</v>
      </c>
      <c r="G140" s="662" t="s">
        <v>2804</v>
      </c>
      <c r="H140" s="662" t="s">
        <v>2805</v>
      </c>
      <c r="I140" s="664">
        <v>0.3</v>
      </c>
      <c r="J140" s="664">
        <v>100</v>
      </c>
      <c r="K140" s="665">
        <v>30</v>
      </c>
    </row>
    <row r="141" spans="1:11" ht="14.4" customHeight="1" x14ac:dyDescent="0.3">
      <c r="A141" s="660" t="s">
        <v>552</v>
      </c>
      <c r="B141" s="661" t="s">
        <v>553</v>
      </c>
      <c r="C141" s="662" t="s">
        <v>563</v>
      </c>
      <c r="D141" s="663" t="s">
        <v>1751</v>
      </c>
      <c r="E141" s="662" t="s">
        <v>3382</v>
      </c>
      <c r="F141" s="663" t="s">
        <v>3383</v>
      </c>
      <c r="G141" s="662" t="s">
        <v>2820</v>
      </c>
      <c r="H141" s="662" t="s">
        <v>2821</v>
      </c>
      <c r="I141" s="664">
        <v>0.71</v>
      </c>
      <c r="J141" s="664">
        <v>200</v>
      </c>
      <c r="K141" s="665">
        <v>142</v>
      </c>
    </row>
    <row r="142" spans="1:11" ht="14.4" customHeight="1" x14ac:dyDescent="0.3">
      <c r="A142" s="660" t="s">
        <v>552</v>
      </c>
      <c r="B142" s="661" t="s">
        <v>553</v>
      </c>
      <c r="C142" s="662" t="s">
        <v>563</v>
      </c>
      <c r="D142" s="663" t="s">
        <v>1751</v>
      </c>
      <c r="E142" s="662" t="s">
        <v>3382</v>
      </c>
      <c r="F142" s="663" t="s">
        <v>3383</v>
      </c>
      <c r="G142" s="662" t="s">
        <v>2822</v>
      </c>
      <c r="H142" s="662" t="s">
        <v>2823</v>
      </c>
      <c r="I142" s="664">
        <v>0.71</v>
      </c>
      <c r="J142" s="664">
        <v>200</v>
      </c>
      <c r="K142" s="665">
        <v>142</v>
      </c>
    </row>
    <row r="143" spans="1:11" ht="14.4" customHeight="1" x14ac:dyDescent="0.3">
      <c r="A143" s="660" t="s">
        <v>552</v>
      </c>
      <c r="B143" s="661" t="s">
        <v>553</v>
      </c>
      <c r="C143" s="662" t="s">
        <v>566</v>
      </c>
      <c r="D143" s="663" t="s">
        <v>1752</v>
      </c>
      <c r="E143" s="662" t="s">
        <v>3374</v>
      </c>
      <c r="F143" s="663" t="s">
        <v>3375</v>
      </c>
      <c r="G143" s="662" t="s">
        <v>2836</v>
      </c>
      <c r="H143" s="662" t="s">
        <v>2837</v>
      </c>
      <c r="I143" s="664">
        <v>5.73</v>
      </c>
      <c r="J143" s="664">
        <v>40</v>
      </c>
      <c r="K143" s="665">
        <v>229.2</v>
      </c>
    </row>
    <row r="144" spans="1:11" ht="14.4" customHeight="1" x14ac:dyDescent="0.3">
      <c r="A144" s="660" t="s">
        <v>552</v>
      </c>
      <c r="B144" s="661" t="s">
        <v>553</v>
      </c>
      <c r="C144" s="662" t="s">
        <v>566</v>
      </c>
      <c r="D144" s="663" t="s">
        <v>1752</v>
      </c>
      <c r="E144" s="662" t="s">
        <v>3374</v>
      </c>
      <c r="F144" s="663" t="s">
        <v>3375</v>
      </c>
      <c r="G144" s="662" t="s">
        <v>2838</v>
      </c>
      <c r="H144" s="662" t="s">
        <v>2839</v>
      </c>
      <c r="I144" s="664">
        <v>4.3</v>
      </c>
      <c r="J144" s="664">
        <v>24</v>
      </c>
      <c r="K144" s="665">
        <v>103.2</v>
      </c>
    </row>
    <row r="145" spans="1:11" ht="14.4" customHeight="1" x14ac:dyDescent="0.3">
      <c r="A145" s="660" t="s">
        <v>552</v>
      </c>
      <c r="B145" s="661" t="s">
        <v>553</v>
      </c>
      <c r="C145" s="662" t="s">
        <v>566</v>
      </c>
      <c r="D145" s="663" t="s">
        <v>1752</v>
      </c>
      <c r="E145" s="662" t="s">
        <v>3374</v>
      </c>
      <c r="F145" s="663" t="s">
        <v>3375</v>
      </c>
      <c r="G145" s="662" t="s">
        <v>2840</v>
      </c>
      <c r="H145" s="662" t="s">
        <v>2841</v>
      </c>
      <c r="I145" s="664">
        <v>34.700000000000003</v>
      </c>
      <c r="J145" s="664">
        <v>12</v>
      </c>
      <c r="K145" s="665">
        <v>416.4</v>
      </c>
    </row>
    <row r="146" spans="1:11" ht="14.4" customHeight="1" x14ac:dyDescent="0.3">
      <c r="A146" s="660" t="s">
        <v>552</v>
      </c>
      <c r="B146" s="661" t="s">
        <v>553</v>
      </c>
      <c r="C146" s="662" t="s">
        <v>566</v>
      </c>
      <c r="D146" s="663" t="s">
        <v>1752</v>
      </c>
      <c r="E146" s="662" t="s">
        <v>3374</v>
      </c>
      <c r="F146" s="663" t="s">
        <v>3375</v>
      </c>
      <c r="G146" s="662" t="s">
        <v>2600</v>
      </c>
      <c r="H146" s="662" t="s">
        <v>2601</v>
      </c>
      <c r="I146" s="664">
        <v>2.4</v>
      </c>
      <c r="J146" s="664">
        <v>20</v>
      </c>
      <c r="K146" s="665">
        <v>48</v>
      </c>
    </row>
    <row r="147" spans="1:11" ht="14.4" customHeight="1" x14ac:dyDescent="0.3">
      <c r="A147" s="660" t="s">
        <v>552</v>
      </c>
      <c r="B147" s="661" t="s">
        <v>553</v>
      </c>
      <c r="C147" s="662" t="s">
        <v>566</v>
      </c>
      <c r="D147" s="663" t="s">
        <v>1752</v>
      </c>
      <c r="E147" s="662" t="s">
        <v>3374</v>
      </c>
      <c r="F147" s="663" t="s">
        <v>3375</v>
      </c>
      <c r="G147" s="662" t="s">
        <v>2602</v>
      </c>
      <c r="H147" s="662" t="s">
        <v>2603</v>
      </c>
      <c r="I147" s="664">
        <v>3.77</v>
      </c>
      <c r="J147" s="664">
        <v>20</v>
      </c>
      <c r="K147" s="665">
        <v>75.400000000000006</v>
      </c>
    </row>
    <row r="148" spans="1:11" ht="14.4" customHeight="1" x14ac:dyDescent="0.3">
      <c r="A148" s="660" t="s">
        <v>552</v>
      </c>
      <c r="B148" s="661" t="s">
        <v>553</v>
      </c>
      <c r="C148" s="662" t="s">
        <v>566</v>
      </c>
      <c r="D148" s="663" t="s">
        <v>1752</v>
      </c>
      <c r="E148" s="662" t="s">
        <v>3374</v>
      </c>
      <c r="F148" s="663" t="s">
        <v>3375</v>
      </c>
      <c r="G148" s="662" t="s">
        <v>2842</v>
      </c>
      <c r="H148" s="662" t="s">
        <v>2843</v>
      </c>
      <c r="I148" s="664">
        <v>13.38</v>
      </c>
      <c r="J148" s="664">
        <v>20</v>
      </c>
      <c r="K148" s="665">
        <v>267.60000000000002</v>
      </c>
    </row>
    <row r="149" spans="1:11" ht="14.4" customHeight="1" x14ac:dyDescent="0.3">
      <c r="A149" s="660" t="s">
        <v>552</v>
      </c>
      <c r="B149" s="661" t="s">
        <v>553</v>
      </c>
      <c r="C149" s="662" t="s">
        <v>566</v>
      </c>
      <c r="D149" s="663" t="s">
        <v>1752</v>
      </c>
      <c r="E149" s="662" t="s">
        <v>3374</v>
      </c>
      <c r="F149" s="663" t="s">
        <v>3375</v>
      </c>
      <c r="G149" s="662" t="s">
        <v>2844</v>
      </c>
      <c r="H149" s="662" t="s">
        <v>2845</v>
      </c>
      <c r="I149" s="664">
        <v>12.08</v>
      </c>
      <c r="J149" s="664">
        <v>80</v>
      </c>
      <c r="K149" s="665">
        <v>966.4</v>
      </c>
    </row>
    <row r="150" spans="1:11" ht="14.4" customHeight="1" x14ac:dyDescent="0.3">
      <c r="A150" s="660" t="s">
        <v>552</v>
      </c>
      <c r="B150" s="661" t="s">
        <v>553</v>
      </c>
      <c r="C150" s="662" t="s">
        <v>566</v>
      </c>
      <c r="D150" s="663" t="s">
        <v>1752</v>
      </c>
      <c r="E150" s="662" t="s">
        <v>3374</v>
      </c>
      <c r="F150" s="663" t="s">
        <v>3375</v>
      </c>
      <c r="G150" s="662" t="s">
        <v>2604</v>
      </c>
      <c r="H150" s="662" t="s">
        <v>2605</v>
      </c>
      <c r="I150" s="664">
        <v>27.37</v>
      </c>
      <c r="J150" s="664">
        <v>72</v>
      </c>
      <c r="K150" s="665">
        <v>1970.6399999999999</v>
      </c>
    </row>
    <row r="151" spans="1:11" ht="14.4" customHeight="1" x14ac:dyDescent="0.3">
      <c r="A151" s="660" t="s">
        <v>552</v>
      </c>
      <c r="B151" s="661" t="s">
        <v>553</v>
      </c>
      <c r="C151" s="662" t="s">
        <v>566</v>
      </c>
      <c r="D151" s="663" t="s">
        <v>1752</v>
      </c>
      <c r="E151" s="662" t="s">
        <v>3374</v>
      </c>
      <c r="F151" s="663" t="s">
        <v>3375</v>
      </c>
      <c r="G151" s="662" t="s">
        <v>2606</v>
      </c>
      <c r="H151" s="662" t="s">
        <v>2607</v>
      </c>
      <c r="I151" s="664">
        <v>3.91</v>
      </c>
      <c r="J151" s="664">
        <v>300</v>
      </c>
      <c r="K151" s="665">
        <v>1173</v>
      </c>
    </row>
    <row r="152" spans="1:11" ht="14.4" customHeight="1" x14ac:dyDescent="0.3">
      <c r="A152" s="660" t="s">
        <v>552</v>
      </c>
      <c r="B152" s="661" t="s">
        <v>553</v>
      </c>
      <c r="C152" s="662" t="s">
        <v>566</v>
      </c>
      <c r="D152" s="663" t="s">
        <v>1752</v>
      </c>
      <c r="E152" s="662" t="s">
        <v>3374</v>
      </c>
      <c r="F152" s="663" t="s">
        <v>3375</v>
      </c>
      <c r="G152" s="662" t="s">
        <v>2608</v>
      </c>
      <c r="H152" s="662" t="s">
        <v>2609</v>
      </c>
      <c r="I152" s="664">
        <v>5.94</v>
      </c>
      <c r="J152" s="664">
        <v>330</v>
      </c>
      <c r="K152" s="665">
        <v>1960.2</v>
      </c>
    </row>
    <row r="153" spans="1:11" ht="14.4" customHeight="1" x14ac:dyDescent="0.3">
      <c r="A153" s="660" t="s">
        <v>552</v>
      </c>
      <c r="B153" s="661" t="s">
        <v>553</v>
      </c>
      <c r="C153" s="662" t="s">
        <v>566</v>
      </c>
      <c r="D153" s="663" t="s">
        <v>1752</v>
      </c>
      <c r="E153" s="662" t="s">
        <v>3374</v>
      </c>
      <c r="F153" s="663" t="s">
        <v>3375</v>
      </c>
      <c r="G153" s="662" t="s">
        <v>2846</v>
      </c>
      <c r="H153" s="662" t="s">
        <v>2847</v>
      </c>
      <c r="I153" s="664">
        <v>1.42</v>
      </c>
      <c r="J153" s="664">
        <v>800</v>
      </c>
      <c r="K153" s="665">
        <v>1138.6099999999999</v>
      </c>
    </row>
    <row r="154" spans="1:11" ht="14.4" customHeight="1" x14ac:dyDescent="0.3">
      <c r="A154" s="660" t="s">
        <v>552</v>
      </c>
      <c r="B154" s="661" t="s">
        <v>553</v>
      </c>
      <c r="C154" s="662" t="s">
        <v>566</v>
      </c>
      <c r="D154" s="663" t="s">
        <v>1752</v>
      </c>
      <c r="E154" s="662" t="s">
        <v>3374</v>
      </c>
      <c r="F154" s="663" t="s">
        <v>3375</v>
      </c>
      <c r="G154" s="662" t="s">
        <v>2614</v>
      </c>
      <c r="H154" s="662" t="s">
        <v>2615</v>
      </c>
      <c r="I154" s="664">
        <v>129.26</v>
      </c>
      <c r="J154" s="664">
        <v>10</v>
      </c>
      <c r="K154" s="665">
        <v>1292.5999999999999</v>
      </c>
    </row>
    <row r="155" spans="1:11" ht="14.4" customHeight="1" x14ac:dyDescent="0.3">
      <c r="A155" s="660" t="s">
        <v>552</v>
      </c>
      <c r="B155" s="661" t="s">
        <v>553</v>
      </c>
      <c r="C155" s="662" t="s">
        <v>566</v>
      </c>
      <c r="D155" s="663" t="s">
        <v>1752</v>
      </c>
      <c r="E155" s="662" t="s">
        <v>3374</v>
      </c>
      <c r="F155" s="663" t="s">
        <v>3375</v>
      </c>
      <c r="G155" s="662" t="s">
        <v>2616</v>
      </c>
      <c r="H155" s="662" t="s">
        <v>2617</v>
      </c>
      <c r="I155" s="664">
        <v>10.613333333333332</v>
      </c>
      <c r="J155" s="664">
        <v>300</v>
      </c>
      <c r="K155" s="665">
        <v>3184.5</v>
      </c>
    </row>
    <row r="156" spans="1:11" ht="14.4" customHeight="1" x14ac:dyDescent="0.3">
      <c r="A156" s="660" t="s">
        <v>552</v>
      </c>
      <c r="B156" s="661" t="s">
        <v>553</v>
      </c>
      <c r="C156" s="662" t="s">
        <v>566</v>
      </c>
      <c r="D156" s="663" t="s">
        <v>1752</v>
      </c>
      <c r="E156" s="662" t="s">
        <v>3374</v>
      </c>
      <c r="F156" s="663" t="s">
        <v>3375</v>
      </c>
      <c r="G156" s="662" t="s">
        <v>2848</v>
      </c>
      <c r="H156" s="662" t="s">
        <v>2849</v>
      </c>
      <c r="I156" s="664">
        <v>0.435</v>
      </c>
      <c r="J156" s="664">
        <v>900</v>
      </c>
      <c r="K156" s="665">
        <v>391</v>
      </c>
    </row>
    <row r="157" spans="1:11" ht="14.4" customHeight="1" x14ac:dyDescent="0.3">
      <c r="A157" s="660" t="s">
        <v>552</v>
      </c>
      <c r="B157" s="661" t="s">
        <v>553</v>
      </c>
      <c r="C157" s="662" t="s">
        <v>566</v>
      </c>
      <c r="D157" s="663" t="s">
        <v>1752</v>
      </c>
      <c r="E157" s="662" t="s">
        <v>3374</v>
      </c>
      <c r="F157" s="663" t="s">
        <v>3375</v>
      </c>
      <c r="G157" s="662" t="s">
        <v>2620</v>
      </c>
      <c r="H157" s="662" t="s">
        <v>2621</v>
      </c>
      <c r="I157" s="664">
        <v>61.21</v>
      </c>
      <c r="J157" s="664">
        <v>2</v>
      </c>
      <c r="K157" s="665">
        <v>122.42</v>
      </c>
    </row>
    <row r="158" spans="1:11" ht="14.4" customHeight="1" x14ac:dyDescent="0.3">
      <c r="A158" s="660" t="s">
        <v>552</v>
      </c>
      <c r="B158" s="661" t="s">
        <v>553</v>
      </c>
      <c r="C158" s="662" t="s">
        <v>566</v>
      </c>
      <c r="D158" s="663" t="s">
        <v>1752</v>
      </c>
      <c r="E158" s="662" t="s">
        <v>3374</v>
      </c>
      <c r="F158" s="663" t="s">
        <v>3375</v>
      </c>
      <c r="G158" s="662" t="s">
        <v>2622</v>
      </c>
      <c r="H158" s="662" t="s">
        <v>2623</v>
      </c>
      <c r="I158" s="664">
        <v>22.15</v>
      </c>
      <c r="J158" s="664">
        <v>25</v>
      </c>
      <c r="K158" s="665">
        <v>553.75</v>
      </c>
    </row>
    <row r="159" spans="1:11" ht="14.4" customHeight="1" x14ac:dyDescent="0.3">
      <c r="A159" s="660" t="s">
        <v>552</v>
      </c>
      <c r="B159" s="661" t="s">
        <v>553</v>
      </c>
      <c r="C159" s="662" t="s">
        <v>566</v>
      </c>
      <c r="D159" s="663" t="s">
        <v>1752</v>
      </c>
      <c r="E159" s="662" t="s">
        <v>3374</v>
      </c>
      <c r="F159" s="663" t="s">
        <v>3375</v>
      </c>
      <c r="G159" s="662" t="s">
        <v>2624</v>
      </c>
      <c r="H159" s="662" t="s">
        <v>2625</v>
      </c>
      <c r="I159" s="664">
        <v>30.18</v>
      </c>
      <c r="J159" s="664">
        <v>10</v>
      </c>
      <c r="K159" s="665">
        <v>301.8</v>
      </c>
    </row>
    <row r="160" spans="1:11" ht="14.4" customHeight="1" x14ac:dyDescent="0.3">
      <c r="A160" s="660" t="s">
        <v>552</v>
      </c>
      <c r="B160" s="661" t="s">
        <v>553</v>
      </c>
      <c r="C160" s="662" t="s">
        <v>566</v>
      </c>
      <c r="D160" s="663" t="s">
        <v>1752</v>
      </c>
      <c r="E160" s="662" t="s">
        <v>3374</v>
      </c>
      <c r="F160" s="663" t="s">
        <v>3375</v>
      </c>
      <c r="G160" s="662" t="s">
        <v>2626</v>
      </c>
      <c r="H160" s="662" t="s">
        <v>2627</v>
      </c>
      <c r="I160" s="664">
        <v>1.38</v>
      </c>
      <c r="J160" s="664">
        <v>200</v>
      </c>
      <c r="K160" s="665">
        <v>276</v>
      </c>
    </row>
    <row r="161" spans="1:11" ht="14.4" customHeight="1" x14ac:dyDescent="0.3">
      <c r="A161" s="660" t="s">
        <v>552</v>
      </c>
      <c r="B161" s="661" t="s">
        <v>553</v>
      </c>
      <c r="C161" s="662" t="s">
        <v>566</v>
      </c>
      <c r="D161" s="663" t="s">
        <v>1752</v>
      </c>
      <c r="E161" s="662" t="s">
        <v>3374</v>
      </c>
      <c r="F161" s="663" t="s">
        <v>3375</v>
      </c>
      <c r="G161" s="662" t="s">
        <v>2850</v>
      </c>
      <c r="H161" s="662" t="s">
        <v>2851</v>
      </c>
      <c r="I161" s="664">
        <v>1.1499999999999999</v>
      </c>
      <c r="J161" s="664">
        <v>3000</v>
      </c>
      <c r="K161" s="665">
        <v>3436.4300000000003</v>
      </c>
    </row>
    <row r="162" spans="1:11" ht="14.4" customHeight="1" x14ac:dyDescent="0.3">
      <c r="A162" s="660" t="s">
        <v>552</v>
      </c>
      <c r="B162" s="661" t="s">
        <v>553</v>
      </c>
      <c r="C162" s="662" t="s">
        <v>566</v>
      </c>
      <c r="D162" s="663" t="s">
        <v>1752</v>
      </c>
      <c r="E162" s="662" t="s">
        <v>3374</v>
      </c>
      <c r="F162" s="663" t="s">
        <v>3375</v>
      </c>
      <c r="G162" s="662" t="s">
        <v>2628</v>
      </c>
      <c r="H162" s="662" t="s">
        <v>2629</v>
      </c>
      <c r="I162" s="664">
        <v>0.6</v>
      </c>
      <c r="J162" s="664">
        <v>100</v>
      </c>
      <c r="K162" s="665">
        <v>60</v>
      </c>
    </row>
    <row r="163" spans="1:11" ht="14.4" customHeight="1" x14ac:dyDescent="0.3">
      <c r="A163" s="660" t="s">
        <v>552</v>
      </c>
      <c r="B163" s="661" t="s">
        <v>553</v>
      </c>
      <c r="C163" s="662" t="s">
        <v>566</v>
      </c>
      <c r="D163" s="663" t="s">
        <v>1752</v>
      </c>
      <c r="E163" s="662" t="s">
        <v>3374</v>
      </c>
      <c r="F163" s="663" t="s">
        <v>3375</v>
      </c>
      <c r="G163" s="662" t="s">
        <v>2852</v>
      </c>
      <c r="H163" s="662" t="s">
        <v>2853</v>
      </c>
      <c r="I163" s="664">
        <v>3.94</v>
      </c>
      <c r="J163" s="664">
        <v>500</v>
      </c>
      <c r="K163" s="665">
        <v>1972.3</v>
      </c>
    </row>
    <row r="164" spans="1:11" ht="14.4" customHeight="1" x14ac:dyDescent="0.3">
      <c r="A164" s="660" t="s">
        <v>552</v>
      </c>
      <c r="B164" s="661" t="s">
        <v>553</v>
      </c>
      <c r="C164" s="662" t="s">
        <v>566</v>
      </c>
      <c r="D164" s="663" t="s">
        <v>1752</v>
      </c>
      <c r="E164" s="662" t="s">
        <v>3374</v>
      </c>
      <c r="F164" s="663" t="s">
        <v>3375</v>
      </c>
      <c r="G164" s="662" t="s">
        <v>2632</v>
      </c>
      <c r="H164" s="662" t="s">
        <v>2633</v>
      </c>
      <c r="I164" s="664">
        <v>0.44</v>
      </c>
      <c r="J164" s="664">
        <v>1200</v>
      </c>
      <c r="K164" s="665">
        <v>528</v>
      </c>
    </row>
    <row r="165" spans="1:11" ht="14.4" customHeight="1" x14ac:dyDescent="0.3">
      <c r="A165" s="660" t="s">
        <v>552</v>
      </c>
      <c r="B165" s="661" t="s">
        <v>553</v>
      </c>
      <c r="C165" s="662" t="s">
        <v>566</v>
      </c>
      <c r="D165" s="663" t="s">
        <v>1752</v>
      </c>
      <c r="E165" s="662" t="s">
        <v>3374</v>
      </c>
      <c r="F165" s="663" t="s">
        <v>3375</v>
      </c>
      <c r="G165" s="662" t="s">
        <v>2634</v>
      </c>
      <c r="H165" s="662" t="s">
        <v>2635</v>
      </c>
      <c r="I165" s="664">
        <v>0.33</v>
      </c>
      <c r="J165" s="664">
        <v>100</v>
      </c>
      <c r="K165" s="665">
        <v>33</v>
      </c>
    </row>
    <row r="166" spans="1:11" ht="14.4" customHeight="1" x14ac:dyDescent="0.3">
      <c r="A166" s="660" t="s">
        <v>552</v>
      </c>
      <c r="B166" s="661" t="s">
        <v>553</v>
      </c>
      <c r="C166" s="662" t="s">
        <v>566</v>
      </c>
      <c r="D166" s="663" t="s">
        <v>1752</v>
      </c>
      <c r="E166" s="662" t="s">
        <v>3374</v>
      </c>
      <c r="F166" s="663" t="s">
        <v>3375</v>
      </c>
      <c r="G166" s="662" t="s">
        <v>2636</v>
      </c>
      <c r="H166" s="662" t="s">
        <v>2637</v>
      </c>
      <c r="I166" s="664">
        <v>8.58</v>
      </c>
      <c r="J166" s="664">
        <v>24</v>
      </c>
      <c r="K166" s="665">
        <v>205.92</v>
      </c>
    </row>
    <row r="167" spans="1:11" ht="14.4" customHeight="1" x14ac:dyDescent="0.3">
      <c r="A167" s="660" t="s">
        <v>552</v>
      </c>
      <c r="B167" s="661" t="s">
        <v>553</v>
      </c>
      <c r="C167" s="662" t="s">
        <v>566</v>
      </c>
      <c r="D167" s="663" t="s">
        <v>1752</v>
      </c>
      <c r="E167" s="662" t="s">
        <v>3374</v>
      </c>
      <c r="F167" s="663" t="s">
        <v>3375</v>
      </c>
      <c r="G167" s="662" t="s">
        <v>2638</v>
      </c>
      <c r="H167" s="662" t="s">
        <v>2639</v>
      </c>
      <c r="I167" s="664">
        <v>27.94</v>
      </c>
      <c r="J167" s="664">
        <v>8</v>
      </c>
      <c r="K167" s="665">
        <v>223.52</v>
      </c>
    </row>
    <row r="168" spans="1:11" ht="14.4" customHeight="1" x14ac:dyDescent="0.3">
      <c r="A168" s="660" t="s">
        <v>552</v>
      </c>
      <c r="B168" s="661" t="s">
        <v>553</v>
      </c>
      <c r="C168" s="662" t="s">
        <v>566</v>
      </c>
      <c r="D168" s="663" t="s">
        <v>1752</v>
      </c>
      <c r="E168" s="662" t="s">
        <v>3374</v>
      </c>
      <c r="F168" s="663" t="s">
        <v>3375</v>
      </c>
      <c r="G168" s="662" t="s">
        <v>2854</v>
      </c>
      <c r="H168" s="662" t="s">
        <v>2855</v>
      </c>
      <c r="I168" s="664">
        <v>0.6</v>
      </c>
      <c r="J168" s="664">
        <v>1700</v>
      </c>
      <c r="K168" s="665">
        <v>1020</v>
      </c>
    </row>
    <row r="169" spans="1:11" ht="14.4" customHeight="1" x14ac:dyDescent="0.3">
      <c r="A169" s="660" t="s">
        <v>552</v>
      </c>
      <c r="B169" s="661" t="s">
        <v>553</v>
      </c>
      <c r="C169" s="662" t="s">
        <v>566</v>
      </c>
      <c r="D169" s="663" t="s">
        <v>1752</v>
      </c>
      <c r="E169" s="662" t="s">
        <v>3374</v>
      </c>
      <c r="F169" s="663" t="s">
        <v>3375</v>
      </c>
      <c r="G169" s="662" t="s">
        <v>2856</v>
      </c>
      <c r="H169" s="662" t="s">
        <v>2857</v>
      </c>
      <c r="I169" s="664">
        <v>146.54</v>
      </c>
      <c r="J169" s="664">
        <v>45</v>
      </c>
      <c r="K169" s="665">
        <v>6587.77</v>
      </c>
    </row>
    <row r="170" spans="1:11" ht="14.4" customHeight="1" x14ac:dyDescent="0.3">
      <c r="A170" s="660" t="s">
        <v>552</v>
      </c>
      <c r="B170" s="661" t="s">
        <v>553</v>
      </c>
      <c r="C170" s="662" t="s">
        <v>566</v>
      </c>
      <c r="D170" s="663" t="s">
        <v>1752</v>
      </c>
      <c r="E170" s="662" t="s">
        <v>3374</v>
      </c>
      <c r="F170" s="663" t="s">
        <v>3375</v>
      </c>
      <c r="G170" s="662" t="s">
        <v>2640</v>
      </c>
      <c r="H170" s="662" t="s">
        <v>2641</v>
      </c>
      <c r="I170" s="664">
        <v>1.29</v>
      </c>
      <c r="J170" s="664">
        <v>1500</v>
      </c>
      <c r="K170" s="665">
        <v>1935</v>
      </c>
    </row>
    <row r="171" spans="1:11" ht="14.4" customHeight="1" x14ac:dyDescent="0.3">
      <c r="A171" s="660" t="s">
        <v>552</v>
      </c>
      <c r="B171" s="661" t="s">
        <v>553</v>
      </c>
      <c r="C171" s="662" t="s">
        <v>566</v>
      </c>
      <c r="D171" s="663" t="s">
        <v>1752</v>
      </c>
      <c r="E171" s="662" t="s">
        <v>3374</v>
      </c>
      <c r="F171" s="663" t="s">
        <v>3375</v>
      </c>
      <c r="G171" s="662" t="s">
        <v>2642</v>
      </c>
      <c r="H171" s="662" t="s">
        <v>2643</v>
      </c>
      <c r="I171" s="664">
        <v>1.17</v>
      </c>
      <c r="J171" s="664">
        <v>400</v>
      </c>
      <c r="K171" s="665">
        <v>468</v>
      </c>
    </row>
    <row r="172" spans="1:11" ht="14.4" customHeight="1" x14ac:dyDescent="0.3">
      <c r="A172" s="660" t="s">
        <v>552</v>
      </c>
      <c r="B172" s="661" t="s">
        <v>553</v>
      </c>
      <c r="C172" s="662" t="s">
        <v>566</v>
      </c>
      <c r="D172" s="663" t="s">
        <v>1752</v>
      </c>
      <c r="E172" s="662" t="s">
        <v>3374</v>
      </c>
      <c r="F172" s="663" t="s">
        <v>3375</v>
      </c>
      <c r="G172" s="662" t="s">
        <v>2646</v>
      </c>
      <c r="H172" s="662" t="s">
        <v>2647</v>
      </c>
      <c r="I172" s="664">
        <v>98.375</v>
      </c>
      <c r="J172" s="664">
        <v>24</v>
      </c>
      <c r="K172" s="665">
        <v>2361</v>
      </c>
    </row>
    <row r="173" spans="1:11" ht="14.4" customHeight="1" x14ac:dyDescent="0.3">
      <c r="A173" s="660" t="s">
        <v>552</v>
      </c>
      <c r="B173" s="661" t="s">
        <v>553</v>
      </c>
      <c r="C173" s="662" t="s">
        <v>566</v>
      </c>
      <c r="D173" s="663" t="s">
        <v>1752</v>
      </c>
      <c r="E173" s="662" t="s">
        <v>3374</v>
      </c>
      <c r="F173" s="663" t="s">
        <v>3375</v>
      </c>
      <c r="G173" s="662" t="s">
        <v>2858</v>
      </c>
      <c r="H173" s="662" t="s">
        <v>2859</v>
      </c>
      <c r="I173" s="664">
        <v>283.01333333333332</v>
      </c>
      <c r="J173" s="664">
        <v>20</v>
      </c>
      <c r="K173" s="665">
        <v>5660.28</v>
      </c>
    </row>
    <row r="174" spans="1:11" ht="14.4" customHeight="1" x14ac:dyDescent="0.3">
      <c r="A174" s="660" t="s">
        <v>552</v>
      </c>
      <c r="B174" s="661" t="s">
        <v>553</v>
      </c>
      <c r="C174" s="662" t="s">
        <v>566</v>
      </c>
      <c r="D174" s="663" t="s">
        <v>1752</v>
      </c>
      <c r="E174" s="662" t="s">
        <v>3374</v>
      </c>
      <c r="F174" s="663" t="s">
        <v>3375</v>
      </c>
      <c r="G174" s="662" t="s">
        <v>2658</v>
      </c>
      <c r="H174" s="662" t="s">
        <v>2659</v>
      </c>
      <c r="I174" s="664">
        <v>2.0649999999999999</v>
      </c>
      <c r="J174" s="664">
        <v>200</v>
      </c>
      <c r="K174" s="665">
        <v>413</v>
      </c>
    </row>
    <row r="175" spans="1:11" ht="14.4" customHeight="1" x14ac:dyDescent="0.3">
      <c r="A175" s="660" t="s">
        <v>552</v>
      </c>
      <c r="B175" s="661" t="s">
        <v>553</v>
      </c>
      <c r="C175" s="662" t="s">
        <v>566</v>
      </c>
      <c r="D175" s="663" t="s">
        <v>1752</v>
      </c>
      <c r="E175" s="662" t="s">
        <v>3374</v>
      </c>
      <c r="F175" s="663" t="s">
        <v>3375</v>
      </c>
      <c r="G175" s="662" t="s">
        <v>2662</v>
      </c>
      <c r="H175" s="662" t="s">
        <v>2663</v>
      </c>
      <c r="I175" s="664">
        <v>5.88</v>
      </c>
      <c r="J175" s="664">
        <v>200</v>
      </c>
      <c r="K175" s="665">
        <v>1176</v>
      </c>
    </row>
    <row r="176" spans="1:11" ht="14.4" customHeight="1" x14ac:dyDescent="0.3">
      <c r="A176" s="660" t="s">
        <v>552</v>
      </c>
      <c r="B176" s="661" t="s">
        <v>553</v>
      </c>
      <c r="C176" s="662" t="s">
        <v>566</v>
      </c>
      <c r="D176" s="663" t="s">
        <v>1752</v>
      </c>
      <c r="E176" s="662" t="s">
        <v>3374</v>
      </c>
      <c r="F176" s="663" t="s">
        <v>3375</v>
      </c>
      <c r="G176" s="662" t="s">
        <v>2860</v>
      </c>
      <c r="H176" s="662" t="s">
        <v>2861</v>
      </c>
      <c r="I176" s="664">
        <v>186.24</v>
      </c>
      <c r="J176" s="664">
        <v>25</v>
      </c>
      <c r="K176" s="665">
        <v>4655.8999999999996</v>
      </c>
    </row>
    <row r="177" spans="1:11" ht="14.4" customHeight="1" x14ac:dyDescent="0.3">
      <c r="A177" s="660" t="s">
        <v>552</v>
      </c>
      <c r="B177" s="661" t="s">
        <v>553</v>
      </c>
      <c r="C177" s="662" t="s">
        <v>566</v>
      </c>
      <c r="D177" s="663" t="s">
        <v>1752</v>
      </c>
      <c r="E177" s="662" t="s">
        <v>3374</v>
      </c>
      <c r="F177" s="663" t="s">
        <v>3375</v>
      </c>
      <c r="G177" s="662" t="s">
        <v>2676</v>
      </c>
      <c r="H177" s="662" t="s">
        <v>2677</v>
      </c>
      <c r="I177" s="664">
        <v>12</v>
      </c>
      <c r="J177" s="664">
        <v>200</v>
      </c>
      <c r="K177" s="665">
        <v>2399.21</v>
      </c>
    </row>
    <row r="178" spans="1:11" ht="14.4" customHeight="1" x14ac:dyDescent="0.3">
      <c r="A178" s="660" t="s">
        <v>552</v>
      </c>
      <c r="B178" s="661" t="s">
        <v>553</v>
      </c>
      <c r="C178" s="662" t="s">
        <v>566</v>
      </c>
      <c r="D178" s="663" t="s">
        <v>1752</v>
      </c>
      <c r="E178" s="662" t="s">
        <v>3374</v>
      </c>
      <c r="F178" s="663" t="s">
        <v>3375</v>
      </c>
      <c r="G178" s="662" t="s">
        <v>2862</v>
      </c>
      <c r="H178" s="662" t="s">
        <v>2863</v>
      </c>
      <c r="I178" s="664">
        <v>13.04</v>
      </c>
      <c r="J178" s="664">
        <v>20</v>
      </c>
      <c r="K178" s="665">
        <v>260.82</v>
      </c>
    </row>
    <row r="179" spans="1:11" ht="14.4" customHeight="1" x14ac:dyDescent="0.3">
      <c r="A179" s="660" t="s">
        <v>552</v>
      </c>
      <c r="B179" s="661" t="s">
        <v>553</v>
      </c>
      <c r="C179" s="662" t="s">
        <v>566</v>
      </c>
      <c r="D179" s="663" t="s">
        <v>1752</v>
      </c>
      <c r="E179" s="662" t="s">
        <v>3374</v>
      </c>
      <c r="F179" s="663" t="s">
        <v>3375</v>
      </c>
      <c r="G179" s="662" t="s">
        <v>2864</v>
      </c>
      <c r="H179" s="662" t="s">
        <v>2865</v>
      </c>
      <c r="I179" s="664">
        <v>431.93</v>
      </c>
      <c r="J179" s="664">
        <v>2</v>
      </c>
      <c r="K179" s="665">
        <v>863.86</v>
      </c>
    </row>
    <row r="180" spans="1:11" ht="14.4" customHeight="1" x14ac:dyDescent="0.3">
      <c r="A180" s="660" t="s">
        <v>552</v>
      </c>
      <c r="B180" s="661" t="s">
        <v>553</v>
      </c>
      <c r="C180" s="662" t="s">
        <v>566</v>
      </c>
      <c r="D180" s="663" t="s">
        <v>1752</v>
      </c>
      <c r="E180" s="662" t="s">
        <v>3374</v>
      </c>
      <c r="F180" s="663" t="s">
        <v>3375</v>
      </c>
      <c r="G180" s="662" t="s">
        <v>2866</v>
      </c>
      <c r="H180" s="662" t="s">
        <v>2867</v>
      </c>
      <c r="I180" s="664">
        <v>0.56999999999999995</v>
      </c>
      <c r="J180" s="664">
        <v>400</v>
      </c>
      <c r="K180" s="665">
        <v>227.7</v>
      </c>
    </row>
    <row r="181" spans="1:11" ht="14.4" customHeight="1" x14ac:dyDescent="0.3">
      <c r="A181" s="660" t="s">
        <v>552</v>
      </c>
      <c r="B181" s="661" t="s">
        <v>553</v>
      </c>
      <c r="C181" s="662" t="s">
        <v>566</v>
      </c>
      <c r="D181" s="663" t="s">
        <v>1752</v>
      </c>
      <c r="E181" s="662" t="s">
        <v>3374</v>
      </c>
      <c r="F181" s="663" t="s">
        <v>3375</v>
      </c>
      <c r="G181" s="662" t="s">
        <v>2868</v>
      </c>
      <c r="H181" s="662" t="s">
        <v>2869</v>
      </c>
      <c r="I181" s="664">
        <v>122.27</v>
      </c>
      <c r="J181" s="664">
        <v>5</v>
      </c>
      <c r="K181" s="665">
        <v>611.33000000000004</v>
      </c>
    </row>
    <row r="182" spans="1:11" ht="14.4" customHeight="1" x14ac:dyDescent="0.3">
      <c r="A182" s="660" t="s">
        <v>552</v>
      </c>
      <c r="B182" s="661" t="s">
        <v>553</v>
      </c>
      <c r="C182" s="662" t="s">
        <v>566</v>
      </c>
      <c r="D182" s="663" t="s">
        <v>1752</v>
      </c>
      <c r="E182" s="662" t="s">
        <v>3376</v>
      </c>
      <c r="F182" s="663" t="s">
        <v>3377</v>
      </c>
      <c r="G182" s="662" t="s">
        <v>2870</v>
      </c>
      <c r="H182" s="662" t="s">
        <v>2871</v>
      </c>
      <c r="I182" s="664">
        <v>63.37</v>
      </c>
      <c r="J182" s="664">
        <v>30</v>
      </c>
      <c r="K182" s="665">
        <v>1900.95</v>
      </c>
    </row>
    <row r="183" spans="1:11" ht="14.4" customHeight="1" x14ac:dyDescent="0.3">
      <c r="A183" s="660" t="s">
        <v>552</v>
      </c>
      <c r="B183" s="661" t="s">
        <v>553</v>
      </c>
      <c r="C183" s="662" t="s">
        <v>566</v>
      </c>
      <c r="D183" s="663" t="s">
        <v>1752</v>
      </c>
      <c r="E183" s="662" t="s">
        <v>3376</v>
      </c>
      <c r="F183" s="663" t="s">
        <v>3377</v>
      </c>
      <c r="G183" s="662" t="s">
        <v>2872</v>
      </c>
      <c r="H183" s="662" t="s">
        <v>2873</v>
      </c>
      <c r="I183" s="664">
        <v>229.9</v>
      </c>
      <c r="J183" s="664">
        <v>20</v>
      </c>
      <c r="K183" s="665">
        <v>4598</v>
      </c>
    </row>
    <row r="184" spans="1:11" ht="14.4" customHeight="1" x14ac:dyDescent="0.3">
      <c r="A184" s="660" t="s">
        <v>552</v>
      </c>
      <c r="B184" s="661" t="s">
        <v>553</v>
      </c>
      <c r="C184" s="662" t="s">
        <v>566</v>
      </c>
      <c r="D184" s="663" t="s">
        <v>1752</v>
      </c>
      <c r="E184" s="662" t="s">
        <v>3376</v>
      </c>
      <c r="F184" s="663" t="s">
        <v>3377</v>
      </c>
      <c r="G184" s="662" t="s">
        <v>2874</v>
      </c>
      <c r="H184" s="662" t="s">
        <v>2875</v>
      </c>
      <c r="I184" s="664">
        <v>26.01</v>
      </c>
      <c r="J184" s="664">
        <v>320</v>
      </c>
      <c r="K184" s="665">
        <v>8324.5999999999985</v>
      </c>
    </row>
    <row r="185" spans="1:11" ht="14.4" customHeight="1" x14ac:dyDescent="0.3">
      <c r="A185" s="660" t="s">
        <v>552</v>
      </c>
      <c r="B185" s="661" t="s">
        <v>553</v>
      </c>
      <c r="C185" s="662" t="s">
        <v>566</v>
      </c>
      <c r="D185" s="663" t="s">
        <v>1752</v>
      </c>
      <c r="E185" s="662" t="s">
        <v>3376</v>
      </c>
      <c r="F185" s="663" t="s">
        <v>3377</v>
      </c>
      <c r="G185" s="662" t="s">
        <v>2876</v>
      </c>
      <c r="H185" s="662" t="s">
        <v>2877</v>
      </c>
      <c r="I185" s="664">
        <v>2.9299999999999997</v>
      </c>
      <c r="J185" s="664">
        <v>30</v>
      </c>
      <c r="K185" s="665">
        <v>87.2</v>
      </c>
    </row>
    <row r="186" spans="1:11" ht="14.4" customHeight="1" x14ac:dyDescent="0.3">
      <c r="A186" s="660" t="s">
        <v>552</v>
      </c>
      <c r="B186" s="661" t="s">
        <v>553</v>
      </c>
      <c r="C186" s="662" t="s">
        <v>566</v>
      </c>
      <c r="D186" s="663" t="s">
        <v>1752</v>
      </c>
      <c r="E186" s="662" t="s">
        <v>3376</v>
      </c>
      <c r="F186" s="663" t="s">
        <v>3377</v>
      </c>
      <c r="G186" s="662" t="s">
        <v>2704</v>
      </c>
      <c r="H186" s="662" t="s">
        <v>2705</v>
      </c>
      <c r="I186" s="664">
        <v>11.15</v>
      </c>
      <c r="J186" s="664">
        <v>500</v>
      </c>
      <c r="K186" s="665">
        <v>5575</v>
      </c>
    </row>
    <row r="187" spans="1:11" ht="14.4" customHeight="1" x14ac:dyDescent="0.3">
      <c r="A187" s="660" t="s">
        <v>552</v>
      </c>
      <c r="B187" s="661" t="s">
        <v>553</v>
      </c>
      <c r="C187" s="662" t="s">
        <v>566</v>
      </c>
      <c r="D187" s="663" t="s">
        <v>1752</v>
      </c>
      <c r="E187" s="662" t="s">
        <v>3376</v>
      </c>
      <c r="F187" s="663" t="s">
        <v>3377</v>
      </c>
      <c r="G187" s="662" t="s">
        <v>2706</v>
      </c>
      <c r="H187" s="662" t="s">
        <v>2707</v>
      </c>
      <c r="I187" s="664">
        <v>1.0900000000000001</v>
      </c>
      <c r="J187" s="664">
        <v>2300</v>
      </c>
      <c r="K187" s="665">
        <v>2507</v>
      </c>
    </row>
    <row r="188" spans="1:11" ht="14.4" customHeight="1" x14ac:dyDescent="0.3">
      <c r="A188" s="660" t="s">
        <v>552</v>
      </c>
      <c r="B188" s="661" t="s">
        <v>553</v>
      </c>
      <c r="C188" s="662" t="s">
        <v>566</v>
      </c>
      <c r="D188" s="663" t="s">
        <v>1752</v>
      </c>
      <c r="E188" s="662" t="s">
        <v>3376</v>
      </c>
      <c r="F188" s="663" t="s">
        <v>3377</v>
      </c>
      <c r="G188" s="662" t="s">
        <v>2708</v>
      </c>
      <c r="H188" s="662" t="s">
        <v>2709</v>
      </c>
      <c r="I188" s="664">
        <v>1.67</v>
      </c>
      <c r="J188" s="664">
        <v>1600</v>
      </c>
      <c r="K188" s="665">
        <v>2672</v>
      </c>
    </row>
    <row r="189" spans="1:11" ht="14.4" customHeight="1" x14ac:dyDescent="0.3">
      <c r="A189" s="660" t="s">
        <v>552</v>
      </c>
      <c r="B189" s="661" t="s">
        <v>553</v>
      </c>
      <c r="C189" s="662" t="s">
        <v>566</v>
      </c>
      <c r="D189" s="663" t="s">
        <v>1752</v>
      </c>
      <c r="E189" s="662" t="s">
        <v>3376</v>
      </c>
      <c r="F189" s="663" t="s">
        <v>3377</v>
      </c>
      <c r="G189" s="662" t="s">
        <v>2710</v>
      </c>
      <c r="H189" s="662" t="s">
        <v>2711</v>
      </c>
      <c r="I189" s="664">
        <v>0.47666666666666663</v>
      </c>
      <c r="J189" s="664">
        <v>4300</v>
      </c>
      <c r="K189" s="665">
        <v>2049</v>
      </c>
    </row>
    <row r="190" spans="1:11" ht="14.4" customHeight="1" x14ac:dyDescent="0.3">
      <c r="A190" s="660" t="s">
        <v>552</v>
      </c>
      <c r="B190" s="661" t="s">
        <v>553</v>
      </c>
      <c r="C190" s="662" t="s">
        <v>566</v>
      </c>
      <c r="D190" s="663" t="s">
        <v>1752</v>
      </c>
      <c r="E190" s="662" t="s">
        <v>3376</v>
      </c>
      <c r="F190" s="663" t="s">
        <v>3377</v>
      </c>
      <c r="G190" s="662" t="s">
        <v>2878</v>
      </c>
      <c r="H190" s="662" t="s">
        <v>2879</v>
      </c>
      <c r="I190" s="664">
        <v>0.67</v>
      </c>
      <c r="J190" s="664">
        <v>1800</v>
      </c>
      <c r="K190" s="665">
        <v>1206</v>
      </c>
    </row>
    <row r="191" spans="1:11" ht="14.4" customHeight="1" x14ac:dyDescent="0.3">
      <c r="A191" s="660" t="s">
        <v>552</v>
      </c>
      <c r="B191" s="661" t="s">
        <v>553</v>
      </c>
      <c r="C191" s="662" t="s">
        <v>566</v>
      </c>
      <c r="D191" s="663" t="s">
        <v>1752</v>
      </c>
      <c r="E191" s="662" t="s">
        <v>3376</v>
      </c>
      <c r="F191" s="663" t="s">
        <v>3377</v>
      </c>
      <c r="G191" s="662" t="s">
        <v>2712</v>
      </c>
      <c r="H191" s="662" t="s">
        <v>2713</v>
      </c>
      <c r="I191" s="664">
        <v>3.13</v>
      </c>
      <c r="J191" s="664">
        <v>50</v>
      </c>
      <c r="K191" s="665">
        <v>156.5</v>
      </c>
    </row>
    <row r="192" spans="1:11" ht="14.4" customHeight="1" x14ac:dyDescent="0.3">
      <c r="A192" s="660" t="s">
        <v>552</v>
      </c>
      <c r="B192" s="661" t="s">
        <v>553</v>
      </c>
      <c r="C192" s="662" t="s">
        <v>566</v>
      </c>
      <c r="D192" s="663" t="s">
        <v>1752</v>
      </c>
      <c r="E192" s="662" t="s">
        <v>3376</v>
      </c>
      <c r="F192" s="663" t="s">
        <v>3377</v>
      </c>
      <c r="G192" s="662" t="s">
        <v>2880</v>
      </c>
      <c r="H192" s="662" t="s">
        <v>2881</v>
      </c>
      <c r="I192" s="664">
        <v>6.23</v>
      </c>
      <c r="J192" s="664">
        <v>50</v>
      </c>
      <c r="K192" s="665">
        <v>311.5</v>
      </c>
    </row>
    <row r="193" spans="1:11" ht="14.4" customHeight="1" x14ac:dyDescent="0.3">
      <c r="A193" s="660" t="s">
        <v>552</v>
      </c>
      <c r="B193" s="661" t="s">
        <v>553</v>
      </c>
      <c r="C193" s="662" t="s">
        <v>566</v>
      </c>
      <c r="D193" s="663" t="s">
        <v>1752</v>
      </c>
      <c r="E193" s="662" t="s">
        <v>3376</v>
      </c>
      <c r="F193" s="663" t="s">
        <v>3377</v>
      </c>
      <c r="G193" s="662" t="s">
        <v>2882</v>
      </c>
      <c r="H193" s="662" t="s">
        <v>2883</v>
      </c>
      <c r="I193" s="664">
        <v>81.733333333333334</v>
      </c>
      <c r="J193" s="664">
        <v>93</v>
      </c>
      <c r="K193" s="665">
        <v>7601.31</v>
      </c>
    </row>
    <row r="194" spans="1:11" ht="14.4" customHeight="1" x14ac:dyDescent="0.3">
      <c r="A194" s="660" t="s">
        <v>552</v>
      </c>
      <c r="B194" s="661" t="s">
        <v>553</v>
      </c>
      <c r="C194" s="662" t="s">
        <v>566</v>
      </c>
      <c r="D194" s="663" t="s">
        <v>1752</v>
      </c>
      <c r="E194" s="662" t="s">
        <v>3376</v>
      </c>
      <c r="F194" s="663" t="s">
        <v>3377</v>
      </c>
      <c r="G194" s="662" t="s">
        <v>2884</v>
      </c>
      <c r="H194" s="662" t="s">
        <v>2885</v>
      </c>
      <c r="I194" s="664">
        <v>80.569999999999993</v>
      </c>
      <c r="J194" s="664">
        <v>45</v>
      </c>
      <c r="K194" s="665">
        <v>3625.65</v>
      </c>
    </row>
    <row r="195" spans="1:11" ht="14.4" customHeight="1" x14ac:dyDescent="0.3">
      <c r="A195" s="660" t="s">
        <v>552</v>
      </c>
      <c r="B195" s="661" t="s">
        <v>553</v>
      </c>
      <c r="C195" s="662" t="s">
        <v>566</v>
      </c>
      <c r="D195" s="663" t="s">
        <v>1752</v>
      </c>
      <c r="E195" s="662" t="s">
        <v>3376</v>
      </c>
      <c r="F195" s="663" t="s">
        <v>3377</v>
      </c>
      <c r="G195" s="662" t="s">
        <v>2886</v>
      </c>
      <c r="H195" s="662" t="s">
        <v>2887</v>
      </c>
      <c r="I195" s="664">
        <v>45.5</v>
      </c>
      <c r="J195" s="664">
        <v>140</v>
      </c>
      <c r="K195" s="665">
        <v>6369.84</v>
      </c>
    </row>
    <row r="196" spans="1:11" ht="14.4" customHeight="1" x14ac:dyDescent="0.3">
      <c r="A196" s="660" t="s">
        <v>552</v>
      </c>
      <c r="B196" s="661" t="s">
        <v>553</v>
      </c>
      <c r="C196" s="662" t="s">
        <v>566</v>
      </c>
      <c r="D196" s="663" t="s">
        <v>1752</v>
      </c>
      <c r="E196" s="662" t="s">
        <v>3376</v>
      </c>
      <c r="F196" s="663" t="s">
        <v>3377</v>
      </c>
      <c r="G196" s="662" t="s">
        <v>2888</v>
      </c>
      <c r="H196" s="662" t="s">
        <v>2889</v>
      </c>
      <c r="I196" s="664">
        <v>108.3</v>
      </c>
      <c r="J196" s="664">
        <v>20</v>
      </c>
      <c r="K196" s="665">
        <v>2165.9</v>
      </c>
    </row>
    <row r="197" spans="1:11" ht="14.4" customHeight="1" x14ac:dyDescent="0.3">
      <c r="A197" s="660" t="s">
        <v>552</v>
      </c>
      <c r="B197" s="661" t="s">
        <v>553</v>
      </c>
      <c r="C197" s="662" t="s">
        <v>566</v>
      </c>
      <c r="D197" s="663" t="s">
        <v>1752</v>
      </c>
      <c r="E197" s="662" t="s">
        <v>3376</v>
      </c>
      <c r="F197" s="663" t="s">
        <v>3377</v>
      </c>
      <c r="G197" s="662" t="s">
        <v>2890</v>
      </c>
      <c r="H197" s="662" t="s">
        <v>2891</v>
      </c>
      <c r="I197" s="664">
        <v>61.105000000000004</v>
      </c>
      <c r="J197" s="664">
        <v>80</v>
      </c>
      <c r="K197" s="665">
        <v>4888.3</v>
      </c>
    </row>
    <row r="198" spans="1:11" ht="14.4" customHeight="1" x14ac:dyDescent="0.3">
      <c r="A198" s="660" t="s">
        <v>552</v>
      </c>
      <c r="B198" s="661" t="s">
        <v>553</v>
      </c>
      <c r="C198" s="662" t="s">
        <v>566</v>
      </c>
      <c r="D198" s="663" t="s">
        <v>1752</v>
      </c>
      <c r="E198" s="662" t="s">
        <v>3376</v>
      </c>
      <c r="F198" s="663" t="s">
        <v>3377</v>
      </c>
      <c r="G198" s="662" t="s">
        <v>2722</v>
      </c>
      <c r="H198" s="662" t="s">
        <v>2723</v>
      </c>
      <c r="I198" s="664">
        <v>20.69</v>
      </c>
      <c r="J198" s="664">
        <v>600</v>
      </c>
      <c r="K198" s="665">
        <v>12414.71</v>
      </c>
    </row>
    <row r="199" spans="1:11" ht="14.4" customHeight="1" x14ac:dyDescent="0.3">
      <c r="A199" s="660" t="s">
        <v>552</v>
      </c>
      <c r="B199" s="661" t="s">
        <v>553</v>
      </c>
      <c r="C199" s="662" t="s">
        <v>566</v>
      </c>
      <c r="D199" s="663" t="s">
        <v>1752</v>
      </c>
      <c r="E199" s="662" t="s">
        <v>3376</v>
      </c>
      <c r="F199" s="663" t="s">
        <v>3377</v>
      </c>
      <c r="G199" s="662" t="s">
        <v>2892</v>
      </c>
      <c r="H199" s="662" t="s">
        <v>2893</v>
      </c>
      <c r="I199" s="664">
        <v>45.13</v>
      </c>
      <c r="J199" s="664">
        <v>20</v>
      </c>
      <c r="K199" s="665">
        <v>902.6</v>
      </c>
    </row>
    <row r="200" spans="1:11" ht="14.4" customHeight="1" x14ac:dyDescent="0.3">
      <c r="A200" s="660" t="s">
        <v>552</v>
      </c>
      <c r="B200" s="661" t="s">
        <v>553</v>
      </c>
      <c r="C200" s="662" t="s">
        <v>566</v>
      </c>
      <c r="D200" s="663" t="s">
        <v>1752</v>
      </c>
      <c r="E200" s="662" t="s">
        <v>3376</v>
      </c>
      <c r="F200" s="663" t="s">
        <v>3377</v>
      </c>
      <c r="G200" s="662" t="s">
        <v>2894</v>
      </c>
      <c r="H200" s="662" t="s">
        <v>2895</v>
      </c>
      <c r="I200" s="664">
        <v>2.78</v>
      </c>
      <c r="J200" s="664">
        <v>900</v>
      </c>
      <c r="K200" s="665">
        <v>2502</v>
      </c>
    </row>
    <row r="201" spans="1:11" ht="14.4" customHeight="1" x14ac:dyDescent="0.3">
      <c r="A201" s="660" t="s">
        <v>552</v>
      </c>
      <c r="B201" s="661" t="s">
        <v>553</v>
      </c>
      <c r="C201" s="662" t="s">
        <v>566</v>
      </c>
      <c r="D201" s="663" t="s">
        <v>1752</v>
      </c>
      <c r="E201" s="662" t="s">
        <v>3376</v>
      </c>
      <c r="F201" s="663" t="s">
        <v>3377</v>
      </c>
      <c r="G201" s="662" t="s">
        <v>2896</v>
      </c>
      <c r="H201" s="662" t="s">
        <v>2897</v>
      </c>
      <c r="I201" s="664">
        <v>108.88</v>
      </c>
      <c r="J201" s="664">
        <v>80</v>
      </c>
      <c r="K201" s="665">
        <v>8710</v>
      </c>
    </row>
    <row r="202" spans="1:11" ht="14.4" customHeight="1" x14ac:dyDescent="0.3">
      <c r="A202" s="660" t="s">
        <v>552</v>
      </c>
      <c r="B202" s="661" t="s">
        <v>553</v>
      </c>
      <c r="C202" s="662" t="s">
        <v>566</v>
      </c>
      <c r="D202" s="663" t="s">
        <v>1752</v>
      </c>
      <c r="E202" s="662" t="s">
        <v>3376</v>
      </c>
      <c r="F202" s="663" t="s">
        <v>3377</v>
      </c>
      <c r="G202" s="662" t="s">
        <v>2898</v>
      </c>
      <c r="H202" s="662" t="s">
        <v>2899</v>
      </c>
      <c r="I202" s="664">
        <v>9.68</v>
      </c>
      <c r="J202" s="664">
        <v>10</v>
      </c>
      <c r="K202" s="665">
        <v>96.8</v>
      </c>
    </row>
    <row r="203" spans="1:11" ht="14.4" customHeight="1" x14ac:dyDescent="0.3">
      <c r="A203" s="660" t="s">
        <v>552</v>
      </c>
      <c r="B203" s="661" t="s">
        <v>553</v>
      </c>
      <c r="C203" s="662" t="s">
        <v>566</v>
      </c>
      <c r="D203" s="663" t="s">
        <v>1752</v>
      </c>
      <c r="E203" s="662" t="s">
        <v>3376</v>
      </c>
      <c r="F203" s="663" t="s">
        <v>3377</v>
      </c>
      <c r="G203" s="662" t="s">
        <v>2726</v>
      </c>
      <c r="H203" s="662" t="s">
        <v>2727</v>
      </c>
      <c r="I203" s="664">
        <v>26.02</v>
      </c>
      <c r="J203" s="664">
        <v>160</v>
      </c>
      <c r="K203" s="665">
        <v>4163.2</v>
      </c>
    </row>
    <row r="204" spans="1:11" ht="14.4" customHeight="1" x14ac:dyDescent="0.3">
      <c r="A204" s="660" t="s">
        <v>552</v>
      </c>
      <c r="B204" s="661" t="s">
        <v>553</v>
      </c>
      <c r="C204" s="662" t="s">
        <v>566</v>
      </c>
      <c r="D204" s="663" t="s">
        <v>1752</v>
      </c>
      <c r="E204" s="662" t="s">
        <v>3376</v>
      </c>
      <c r="F204" s="663" t="s">
        <v>3377</v>
      </c>
      <c r="G204" s="662" t="s">
        <v>2728</v>
      </c>
      <c r="H204" s="662" t="s">
        <v>2729</v>
      </c>
      <c r="I204" s="664">
        <v>1.98</v>
      </c>
      <c r="J204" s="664">
        <v>200</v>
      </c>
      <c r="K204" s="665">
        <v>396</v>
      </c>
    </row>
    <row r="205" spans="1:11" ht="14.4" customHeight="1" x14ac:dyDescent="0.3">
      <c r="A205" s="660" t="s">
        <v>552</v>
      </c>
      <c r="B205" s="661" t="s">
        <v>553</v>
      </c>
      <c r="C205" s="662" t="s">
        <v>566</v>
      </c>
      <c r="D205" s="663" t="s">
        <v>1752</v>
      </c>
      <c r="E205" s="662" t="s">
        <v>3376</v>
      </c>
      <c r="F205" s="663" t="s">
        <v>3377</v>
      </c>
      <c r="G205" s="662" t="s">
        <v>2730</v>
      </c>
      <c r="H205" s="662" t="s">
        <v>2731</v>
      </c>
      <c r="I205" s="664">
        <v>1.93</v>
      </c>
      <c r="J205" s="664">
        <v>50</v>
      </c>
      <c r="K205" s="665">
        <v>96.5</v>
      </c>
    </row>
    <row r="206" spans="1:11" ht="14.4" customHeight="1" x14ac:dyDescent="0.3">
      <c r="A206" s="660" t="s">
        <v>552</v>
      </c>
      <c r="B206" s="661" t="s">
        <v>553</v>
      </c>
      <c r="C206" s="662" t="s">
        <v>566</v>
      </c>
      <c r="D206" s="663" t="s">
        <v>1752</v>
      </c>
      <c r="E206" s="662" t="s">
        <v>3376</v>
      </c>
      <c r="F206" s="663" t="s">
        <v>3377</v>
      </c>
      <c r="G206" s="662" t="s">
        <v>2736</v>
      </c>
      <c r="H206" s="662" t="s">
        <v>2737</v>
      </c>
      <c r="I206" s="664">
        <v>0.01</v>
      </c>
      <c r="J206" s="664">
        <v>400</v>
      </c>
      <c r="K206" s="665">
        <v>4</v>
      </c>
    </row>
    <row r="207" spans="1:11" ht="14.4" customHeight="1" x14ac:dyDescent="0.3">
      <c r="A207" s="660" t="s">
        <v>552</v>
      </c>
      <c r="B207" s="661" t="s">
        <v>553</v>
      </c>
      <c r="C207" s="662" t="s">
        <v>566</v>
      </c>
      <c r="D207" s="663" t="s">
        <v>1752</v>
      </c>
      <c r="E207" s="662" t="s">
        <v>3376</v>
      </c>
      <c r="F207" s="663" t="s">
        <v>3377</v>
      </c>
      <c r="G207" s="662" t="s">
        <v>2900</v>
      </c>
      <c r="H207" s="662" t="s">
        <v>2901</v>
      </c>
      <c r="I207" s="664">
        <v>2.5099999999999998</v>
      </c>
      <c r="J207" s="664">
        <v>100</v>
      </c>
      <c r="K207" s="665">
        <v>251</v>
      </c>
    </row>
    <row r="208" spans="1:11" ht="14.4" customHeight="1" x14ac:dyDescent="0.3">
      <c r="A208" s="660" t="s">
        <v>552</v>
      </c>
      <c r="B208" s="661" t="s">
        <v>553</v>
      </c>
      <c r="C208" s="662" t="s">
        <v>566</v>
      </c>
      <c r="D208" s="663" t="s">
        <v>1752</v>
      </c>
      <c r="E208" s="662" t="s">
        <v>3376</v>
      </c>
      <c r="F208" s="663" t="s">
        <v>3377</v>
      </c>
      <c r="G208" s="662" t="s">
        <v>2902</v>
      </c>
      <c r="H208" s="662" t="s">
        <v>2903</v>
      </c>
      <c r="I208" s="664">
        <v>14.65</v>
      </c>
      <c r="J208" s="664">
        <v>200</v>
      </c>
      <c r="K208" s="665">
        <v>2930.52</v>
      </c>
    </row>
    <row r="209" spans="1:11" ht="14.4" customHeight="1" x14ac:dyDescent="0.3">
      <c r="A209" s="660" t="s">
        <v>552</v>
      </c>
      <c r="B209" s="661" t="s">
        <v>553</v>
      </c>
      <c r="C209" s="662" t="s">
        <v>566</v>
      </c>
      <c r="D209" s="663" t="s">
        <v>1752</v>
      </c>
      <c r="E209" s="662" t="s">
        <v>3376</v>
      </c>
      <c r="F209" s="663" t="s">
        <v>3377</v>
      </c>
      <c r="G209" s="662" t="s">
        <v>2904</v>
      </c>
      <c r="H209" s="662" t="s">
        <v>2905</v>
      </c>
      <c r="I209" s="664">
        <v>7.16</v>
      </c>
      <c r="J209" s="664">
        <v>1100</v>
      </c>
      <c r="K209" s="665">
        <v>7872.1399999999994</v>
      </c>
    </row>
    <row r="210" spans="1:11" ht="14.4" customHeight="1" x14ac:dyDescent="0.3">
      <c r="A210" s="660" t="s">
        <v>552</v>
      </c>
      <c r="B210" s="661" t="s">
        <v>553</v>
      </c>
      <c r="C210" s="662" t="s">
        <v>566</v>
      </c>
      <c r="D210" s="663" t="s">
        <v>1752</v>
      </c>
      <c r="E210" s="662" t="s">
        <v>3376</v>
      </c>
      <c r="F210" s="663" t="s">
        <v>3377</v>
      </c>
      <c r="G210" s="662" t="s">
        <v>2742</v>
      </c>
      <c r="H210" s="662" t="s">
        <v>2743</v>
      </c>
      <c r="I210" s="664">
        <v>2.1766666666666663</v>
      </c>
      <c r="J210" s="664">
        <v>700</v>
      </c>
      <c r="K210" s="665">
        <v>1524.9499999999998</v>
      </c>
    </row>
    <row r="211" spans="1:11" ht="14.4" customHeight="1" x14ac:dyDescent="0.3">
      <c r="A211" s="660" t="s">
        <v>552</v>
      </c>
      <c r="B211" s="661" t="s">
        <v>553</v>
      </c>
      <c r="C211" s="662" t="s">
        <v>566</v>
      </c>
      <c r="D211" s="663" t="s">
        <v>1752</v>
      </c>
      <c r="E211" s="662" t="s">
        <v>3376</v>
      </c>
      <c r="F211" s="663" t="s">
        <v>3377</v>
      </c>
      <c r="G211" s="662" t="s">
        <v>2744</v>
      </c>
      <c r="H211" s="662" t="s">
        <v>2745</v>
      </c>
      <c r="I211" s="664">
        <v>2.855</v>
      </c>
      <c r="J211" s="664">
        <v>300</v>
      </c>
      <c r="K211" s="665">
        <v>857</v>
      </c>
    </row>
    <row r="212" spans="1:11" ht="14.4" customHeight="1" x14ac:dyDescent="0.3">
      <c r="A212" s="660" t="s">
        <v>552</v>
      </c>
      <c r="B212" s="661" t="s">
        <v>553</v>
      </c>
      <c r="C212" s="662" t="s">
        <v>566</v>
      </c>
      <c r="D212" s="663" t="s">
        <v>1752</v>
      </c>
      <c r="E212" s="662" t="s">
        <v>3376</v>
      </c>
      <c r="F212" s="663" t="s">
        <v>3377</v>
      </c>
      <c r="G212" s="662" t="s">
        <v>2906</v>
      </c>
      <c r="H212" s="662" t="s">
        <v>2907</v>
      </c>
      <c r="I212" s="664">
        <v>1249.6600000000001</v>
      </c>
      <c r="J212" s="664">
        <v>6</v>
      </c>
      <c r="K212" s="665">
        <v>7497.96</v>
      </c>
    </row>
    <row r="213" spans="1:11" ht="14.4" customHeight="1" x14ac:dyDescent="0.3">
      <c r="A213" s="660" t="s">
        <v>552</v>
      </c>
      <c r="B213" s="661" t="s">
        <v>553</v>
      </c>
      <c r="C213" s="662" t="s">
        <v>566</v>
      </c>
      <c r="D213" s="663" t="s">
        <v>1752</v>
      </c>
      <c r="E213" s="662" t="s">
        <v>3376</v>
      </c>
      <c r="F213" s="663" t="s">
        <v>3377</v>
      </c>
      <c r="G213" s="662" t="s">
        <v>2908</v>
      </c>
      <c r="H213" s="662" t="s">
        <v>2909</v>
      </c>
      <c r="I213" s="664">
        <v>377.52</v>
      </c>
      <c r="J213" s="664">
        <v>7</v>
      </c>
      <c r="K213" s="665">
        <v>2626.91</v>
      </c>
    </row>
    <row r="214" spans="1:11" ht="14.4" customHeight="1" x14ac:dyDescent="0.3">
      <c r="A214" s="660" t="s">
        <v>552</v>
      </c>
      <c r="B214" s="661" t="s">
        <v>553</v>
      </c>
      <c r="C214" s="662" t="s">
        <v>566</v>
      </c>
      <c r="D214" s="663" t="s">
        <v>1752</v>
      </c>
      <c r="E214" s="662" t="s">
        <v>3376</v>
      </c>
      <c r="F214" s="663" t="s">
        <v>3377</v>
      </c>
      <c r="G214" s="662" t="s">
        <v>2910</v>
      </c>
      <c r="H214" s="662" t="s">
        <v>2911</v>
      </c>
      <c r="I214" s="664">
        <v>21.23</v>
      </c>
      <c r="J214" s="664">
        <v>50</v>
      </c>
      <c r="K214" s="665">
        <v>1061.3399999999999</v>
      </c>
    </row>
    <row r="215" spans="1:11" ht="14.4" customHeight="1" x14ac:dyDescent="0.3">
      <c r="A215" s="660" t="s">
        <v>552</v>
      </c>
      <c r="B215" s="661" t="s">
        <v>553</v>
      </c>
      <c r="C215" s="662" t="s">
        <v>566</v>
      </c>
      <c r="D215" s="663" t="s">
        <v>1752</v>
      </c>
      <c r="E215" s="662" t="s">
        <v>3376</v>
      </c>
      <c r="F215" s="663" t="s">
        <v>3377</v>
      </c>
      <c r="G215" s="662" t="s">
        <v>2748</v>
      </c>
      <c r="H215" s="662" t="s">
        <v>2749</v>
      </c>
      <c r="I215" s="664">
        <v>2.9050000000000002</v>
      </c>
      <c r="J215" s="664">
        <v>200</v>
      </c>
      <c r="K215" s="665">
        <v>581</v>
      </c>
    </row>
    <row r="216" spans="1:11" ht="14.4" customHeight="1" x14ac:dyDescent="0.3">
      <c r="A216" s="660" t="s">
        <v>552</v>
      </c>
      <c r="B216" s="661" t="s">
        <v>553</v>
      </c>
      <c r="C216" s="662" t="s">
        <v>566</v>
      </c>
      <c r="D216" s="663" t="s">
        <v>1752</v>
      </c>
      <c r="E216" s="662" t="s">
        <v>3376</v>
      </c>
      <c r="F216" s="663" t="s">
        <v>3377</v>
      </c>
      <c r="G216" s="662" t="s">
        <v>2912</v>
      </c>
      <c r="H216" s="662" t="s">
        <v>2913</v>
      </c>
      <c r="I216" s="664">
        <v>5.13</v>
      </c>
      <c r="J216" s="664">
        <v>400</v>
      </c>
      <c r="K216" s="665">
        <v>2052</v>
      </c>
    </row>
    <row r="217" spans="1:11" ht="14.4" customHeight="1" x14ac:dyDescent="0.3">
      <c r="A217" s="660" t="s">
        <v>552</v>
      </c>
      <c r="B217" s="661" t="s">
        <v>553</v>
      </c>
      <c r="C217" s="662" t="s">
        <v>566</v>
      </c>
      <c r="D217" s="663" t="s">
        <v>1752</v>
      </c>
      <c r="E217" s="662" t="s">
        <v>3376</v>
      </c>
      <c r="F217" s="663" t="s">
        <v>3377</v>
      </c>
      <c r="G217" s="662" t="s">
        <v>2914</v>
      </c>
      <c r="H217" s="662" t="s">
        <v>2915</v>
      </c>
      <c r="I217" s="664">
        <v>40.866666666666667</v>
      </c>
      <c r="J217" s="664">
        <v>68</v>
      </c>
      <c r="K217" s="665">
        <v>2778.8</v>
      </c>
    </row>
    <row r="218" spans="1:11" ht="14.4" customHeight="1" x14ac:dyDescent="0.3">
      <c r="A218" s="660" t="s">
        <v>552</v>
      </c>
      <c r="B218" s="661" t="s">
        <v>553</v>
      </c>
      <c r="C218" s="662" t="s">
        <v>566</v>
      </c>
      <c r="D218" s="663" t="s">
        <v>1752</v>
      </c>
      <c r="E218" s="662" t="s">
        <v>3376</v>
      </c>
      <c r="F218" s="663" t="s">
        <v>3377</v>
      </c>
      <c r="G218" s="662" t="s">
        <v>2916</v>
      </c>
      <c r="H218" s="662" t="s">
        <v>2917</v>
      </c>
      <c r="I218" s="664">
        <v>7.95</v>
      </c>
      <c r="J218" s="664">
        <v>480</v>
      </c>
      <c r="K218" s="665">
        <v>3816</v>
      </c>
    </row>
    <row r="219" spans="1:11" ht="14.4" customHeight="1" x14ac:dyDescent="0.3">
      <c r="A219" s="660" t="s">
        <v>552</v>
      </c>
      <c r="B219" s="661" t="s">
        <v>553</v>
      </c>
      <c r="C219" s="662" t="s">
        <v>566</v>
      </c>
      <c r="D219" s="663" t="s">
        <v>1752</v>
      </c>
      <c r="E219" s="662" t="s">
        <v>3376</v>
      </c>
      <c r="F219" s="663" t="s">
        <v>3377</v>
      </c>
      <c r="G219" s="662" t="s">
        <v>2918</v>
      </c>
      <c r="H219" s="662" t="s">
        <v>2919</v>
      </c>
      <c r="I219" s="664">
        <v>127.05</v>
      </c>
      <c r="J219" s="664">
        <v>2</v>
      </c>
      <c r="K219" s="665">
        <v>254.1</v>
      </c>
    </row>
    <row r="220" spans="1:11" ht="14.4" customHeight="1" x14ac:dyDescent="0.3">
      <c r="A220" s="660" t="s">
        <v>552</v>
      </c>
      <c r="B220" s="661" t="s">
        <v>553</v>
      </c>
      <c r="C220" s="662" t="s">
        <v>566</v>
      </c>
      <c r="D220" s="663" t="s">
        <v>1752</v>
      </c>
      <c r="E220" s="662" t="s">
        <v>3376</v>
      </c>
      <c r="F220" s="663" t="s">
        <v>3377</v>
      </c>
      <c r="G220" s="662" t="s">
        <v>2920</v>
      </c>
      <c r="H220" s="662" t="s">
        <v>2921</v>
      </c>
      <c r="I220" s="664">
        <v>22.3</v>
      </c>
      <c r="J220" s="664">
        <v>90</v>
      </c>
      <c r="K220" s="665">
        <v>2007.07</v>
      </c>
    </row>
    <row r="221" spans="1:11" ht="14.4" customHeight="1" x14ac:dyDescent="0.3">
      <c r="A221" s="660" t="s">
        <v>552</v>
      </c>
      <c r="B221" s="661" t="s">
        <v>553</v>
      </c>
      <c r="C221" s="662" t="s">
        <v>566</v>
      </c>
      <c r="D221" s="663" t="s">
        <v>1752</v>
      </c>
      <c r="E221" s="662" t="s">
        <v>3376</v>
      </c>
      <c r="F221" s="663" t="s">
        <v>3377</v>
      </c>
      <c r="G221" s="662" t="s">
        <v>2922</v>
      </c>
      <c r="H221" s="662" t="s">
        <v>2923</v>
      </c>
      <c r="I221" s="664">
        <v>13.12</v>
      </c>
      <c r="J221" s="664">
        <v>225</v>
      </c>
      <c r="K221" s="665">
        <v>2952.19</v>
      </c>
    </row>
    <row r="222" spans="1:11" ht="14.4" customHeight="1" x14ac:dyDescent="0.3">
      <c r="A222" s="660" t="s">
        <v>552</v>
      </c>
      <c r="B222" s="661" t="s">
        <v>553</v>
      </c>
      <c r="C222" s="662" t="s">
        <v>566</v>
      </c>
      <c r="D222" s="663" t="s">
        <v>1752</v>
      </c>
      <c r="E222" s="662" t="s">
        <v>3376</v>
      </c>
      <c r="F222" s="663" t="s">
        <v>3377</v>
      </c>
      <c r="G222" s="662" t="s">
        <v>2752</v>
      </c>
      <c r="H222" s="662" t="s">
        <v>2753</v>
      </c>
      <c r="I222" s="664">
        <v>84.91</v>
      </c>
      <c r="J222" s="664">
        <v>160</v>
      </c>
      <c r="K222" s="665">
        <v>13585.6</v>
      </c>
    </row>
    <row r="223" spans="1:11" ht="14.4" customHeight="1" x14ac:dyDescent="0.3">
      <c r="A223" s="660" t="s">
        <v>552</v>
      </c>
      <c r="B223" s="661" t="s">
        <v>553</v>
      </c>
      <c r="C223" s="662" t="s">
        <v>566</v>
      </c>
      <c r="D223" s="663" t="s">
        <v>1752</v>
      </c>
      <c r="E223" s="662" t="s">
        <v>3376</v>
      </c>
      <c r="F223" s="663" t="s">
        <v>3377</v>
      </c>
      <c r="G223" s="662" t="s">
        <v>2924</v>
      </c>
      <c r="H223" s="662" t="s">
        <v>2925</v>
      </c>
      <c r="I223" s="664">
        <v>17.98</v>
      </c>
      <c r="J223" s="664">
        <v>50</v>
      </c>
      <c r="K223" s="665">
        <v>899</v>
      </c>
    </row>
    <row r="224" spans="1:11" ht="14.4" customHeight="1" x14ac:dyDescent="0.3">
      <c r="A224" s="660" t="s">
        <v>552</v>
      </c>
      <c r="B224" s="661" t="s">
        <v>553</v>
      </c>
      <c r="C224" s="662" t="s">
        <v>566</v>
      </c>
      <c r="D224" s="663" t="s">
        <v>1752</v>
      </c>
      <c r="E224" s="662" t="s">
        <v>3376</v>
      </c>
      <c r="F224" s="663" t="s">
        <v>3377</v>
      </c>
      <c r="G224" s="662" t="s">
        <v>2926</v>
      </c>
      <c r="H224" s="662" t="s">
        <v>2927</v>
      </c>
      <c r="I224" s="664">
        <v>17.98</v>
      </c>
      <c r="J224" s="664">
        <v>50</v>
      </c>
      <c r="K224" s="665">
        <v>899</v>
      </c>
    </row>
    <row r="225" spans="1:11" ht="14.4" customHeight="1" x14ac:dyDescent="0.3">
      <c r="A225" s="660" t="s">
        <v>552</v>
      </c>
      <c r="B225" s="661" t="s">
        <v>553</v>
      </c>
      <c r="C225" s="662" t="s">
        <v>566</v>
      </c>
      <c r="D225" s="663" t="s">
        <v>1752</v>
      </c>
      <c r="E225" s="662" t="s">
        <v>3376</v>
      </c>
      <c r="F225" s="663" t="s">
        <v>3377</v>
      </c>
      <c r="G225" s="662" t="s">
        <v>2928</v>
      </c>
      <c r="H225" s="662" t="s">
        <v>2929</v>
      </c>
      <c r="I225" s="664">
        <v>123.18</v>
      </c>
      <c r="J225" s="664">
        <v>50</v>
      </c>
      <c r="K225" s="665">
        <v>6158.9</v>
      </c>
    </row>
    <row r="226" spans="1:11" ht="14.4" customHeight="1" x14ac:dyDescent="0.3">
      <c r="A226" s="660" t="s">
        <v>552</v>
      </c>
      <c r="B226" s="661" t="s">
        <v>553</v>
      </c>
      <c r="C226" s="662" t="s">
        <v>566</v>
      </c>
      <c r="D226" s="663" t="s">
        <v>1752</v>
      </c>
      <c r="E226" s="662" t="s">
        <v>3376</v>
      </c>
      <c r="F226" s="663" t="s">
        <v>3377</v>
      </c>
      <c r="G226" s="662" t="s">
        <v>2756</v>
      </c>
      <c r="H226" s="662" t="s">
        <v>2757</v>
      </c>
      <c r="I226" s="664">
        <v>15.004999999999999</v>
      </c>
      <c r="J226" s="664">
        <v>60</v>
      </c>
      <c r="K226" s="665">
        <v>900.2</v>
      </c>
    </row>
    <row r="227" spans="1:11" ht="14.4" customHeight="1" x14ac:dyDescent="0.3">
      <c r="A227" s="660" t="s">
        <v>552</v>
      </c>
      <c r="B227" s="661" t="s">
        <v>553</v>
      </c>
      <c r="C227" s="662" t="s">
        <v>566</v>
      </c>
      <c r="D227" s="663" t="s">
        <v>1752</v>
      </c>
      <c r="E227" s="662" t="s">
        <v>3376</v>
      </c>
      <c r="F227" s="663" t="s">
        <v>3377</v>
      </c>
      <c r="G227" s="662" t="s">
        <v>2758</v>
      </c>
      <c r="H227" s="662" t="s">
        <v>2759</v>
      </c>
      <c r="I227" s="664">
        <v>12.1</v>
      </c>
      <c r="J227" s="664">
        <v>10</v>
      </c>
      <c r="K227" s="665">
        <v>121</v>
      </c>
    </row>
    <row r="228" spans="1:11" ht="14.4" customHeight="1" x14ac:dyDescent="0.3">
      <c r="A228" s="660" t="s">
        <v>552</v>
      </c>
      <c r="B228" s="661" t="s">
        <v>553</v>
      </c>
      <c r="C228" s="662" t="s">
        <v>566</v>
      </c>
      <c r="D228" s="663" t="s">
        <v>1752</v>
      </c>
      <c r="E228" s="662" t="s">
        <v>3376</v>
      </c>
      <c r="F228" s="663" t="s">
        <v>3377</v>
      </c>
      <c r="G228" s="662" t="s">
        <v>2930</v>
      </c>
      <c r="H228" s="662" t="s">
        <v>2931</v>
      </c>
      <c r="I228" s="664">
        <v>32.9</v>
      </c>
      <c r="J228" s="664">
        <v>30</v>
      </c>
      <c r="K228" s="665">
        <v>987</v>
      </c>
    </row>
    <row r="229" spans="1:11" ht="14.4" customHeight="1" x14ac:dyDescent="0.3">
      <c r="A229" s="660" t="s">
        <v>552</v>
      </c>
      <c r="B229" s="661" t="s">
        <v>553</v>
      </c>
      <c r="C229" s="662" t="s">
        <v>566</v>
      </c>
      <c r="D229" s="663" t="s">
        <v>1752</v>
      </c>
      <c r="E229" s="662" t="s">
        <v>3376</v>
      </c>
      <c r="F229" s="663" t="s">
        <v>3377</v>
      </c>
      <c r="G229" s="662" t="s">
        <v>2762</v>
      </c>
      <c r="H229" s="662" t="s">
        <v>2763</v>
      </c>
      <c r="I229" s="664">
        <v>5.2</v>
      </c>
      <c r="J229" s="664">
        <v>2040</v>
      </c>
      <c r="K229" s="665">
        <v>10608</v>
      </c>
    </row>
    <row r="230" spans="1:11" ht="14.4" customHeight="1" x14ac:dyDescent="0.3">
      <c r="A230" s="660" t="s">
        <v>552</v>
      </c>
      <c r="B230" s="661" t="s">
        <v>553</v>
      </c>
      <c r="C230" s="662" t="s">
        <v>566</v>
      </c>
      <c r="D230" s="663" t="s">
        <v>1752</v>
      </c>
      <c r="E230" s="662" t="s">
        <v>3376</v>
      </c>
      <c r="F230" s="663" t="s">
        <v>3377</v>
      </c>
      <c r="G230" s="662" t="s">
        <v>2764</v>
      </c>
      <c r="H230" s="662" t="s">
        <v>2765</v>
      </c>
      <c r="I230" s="664">
        <v>13.2</v>
      </c>
      <c r="J230" s="664">
        <v>10</v>
      </c>
      <c r="K230" s="665">
        <v>132</v>
      </c>
    </row>
    <row r="231" spans="1:11" ht="14.4" customHeight="1" x14ac:dyDescent="0.3">
      <c r="A231" s="660" t="s">
        <v>552</v>
      </c>
      <c r="B231" s="661" t="s">
        <v>553</v>
      </c>
      <c r="C231" s="662" t="s">
        <v>566</v>
      </c>
      <c r="D231" s="663" t="s">
        <v>1752</v>
      </c>
      <c r="E231" s="662" t="s">
        <v>3376</v>
      </c>
      <c r="F231" s="663" t="s">
        <v>3377</v>
      </c>
      <c r="G231" s="662" t="s">
        <v>2766</v>
      </c>
      <c r="H231" s="662" t="s">
        <v>2767</v>
      </c>
      <c r="I231" s="664">
        <v>13.2</v>
      </c>
      <c r="J231" s="664">
        <v>10</v>
      </c>
      <c r="K231" s="665">
        <v>132</v>
      </c>
    </row>
    <row r="232" spans="1:11" ht="14.4" customHeight="1" x14ac:dyDescent="0.3">
      <c r="A232" s="660" t="s">
        <v>552</v>
      </c>
      <c r="B232" s="661" t="s">
        <v>553</v>
      </c>
      <c r="C232" s="662" t="s">
        <v>566</v>
      </c>
      <c r="D232" s="663" t="s">
        <v>1752</v>
      </c>
      <c r="E232" s="662" t="s">
        <v>3376</v>
      </c>
      <c r="F232" s="663" t="s">
        <v>3377</v>
      </c>
      <c r="G232" s="662" t="s">
        <v>2932</v>
      </c>
      <c r="H232" s="662" t="s">
        <v>2933</v>
      </c>
      <c r="I232" s="664">
        <v>1.55</v>
      </c>
      <c r="J232" s="664">
        <v>150</v>
      </c>
      <c r="K232" s="665">
        <v>232.5</v>
      </c>
    </row>
    <row r="233" spans="1:11" ht="14.4" customHeight="1" x14ac:dyDescent="0.3">
      <c r="A233" s="660" t="s">
        <v>552</v>
      </c>
      <c r="B233" s="661" t="s">
        <v>553</v>
      </c>
      <c r="C233" s="662" t="s">
        <v>566</v>
      </c>
      <c r="D233" s="663" t="s">
        <v>1752</v>
      </c>
      <c r="E233" s="662" t="s">
        <v>3376</v>
      </c>
      <c r="F233" s="663" t="s">
        <v>3377</v>
      </c>
      <c r="G233" s="662" t="s">
        <v>2934</v>
      </c>
      <c r="H233" s="662" t="s">
        <v>2935</v>
      </c>
      <c r="I233" s="664">
        <v>21.24</v>
      </c>
      <c r="J233" s="664">
        <v>100</v>
      </c>
      <c r="K233" s="665">
        <v>2124</v>
      </c>
    </row>
    <row r="234" spans="1:11" ht="14.4" customHeight="1" x14ac:dyDescent="0.3">
      <c r="A234" s="660" t="s">
        <v>552</v>
      </c>
      <c r="B234" s="661" t="s">
        <v>553</v>
      </c>
      <c r="C234" s="662" t="s">
        <v>566</v>
      </c>
      <c r="D234" s="663" t="s">
        <v>1752</v>
      </c>
      <c r="E234" s="662" t="s">
        <v>3376</v>
      </c>
      <c r="F234" s="663" t="s">
        <v>3377</v>
      </c>
      <c r="G234" s="662" t="s">
        <v>2936</v>
      </c>
      <c r="H234" s="662" t="s">
        <v>2937</v>
      </c>
      <c r="I234" s="664">
        <v>6.65</v>
      </c>
      <c r="J234" s="664">
        <v>10</v>
      </c>
      <c r="K234" s="665">
        <v>66.5</v>
      </c>
    </row>
    <row r="235" spans="1:11" ht="14.4" customHeight="1" x14ac:dyDescent="0.3">
      <c r="A235" s="660" t="s">
        <v>552</v>
      </c>
      <c r="B235" s="661" t="s">
        <v>553</v>
      </c>
      <c r="C235" s="662" t="s">
        <v>566</v>
      </c>
      <c r="D235" s="663" t="s">
        <v>1752</v>
      </c>
      <c r="E235" s="662" t="s">
        <v>3376</v>
      </c>
      <c r="F235" s="663" t="s">
        <v>3377</v>
      </c>
      <c r="G235" s="662" t="s">
        <v>2938</v>
      </c>
      <c r="H235" s="662" t="s">
        <v>2939</v>
      </c>
      <c r="I235" s="664">
        <v>6.66</v>
      </c>
      <c r="J235" s="664">
        <v>10</v>
      </c>
      <c r="K235" s="665">
        <v>66.599999999999994</v>
      </c>
    </row>
    <row r="236" spans="1:11" ht="14.4" customHeight="1" x14ac:dyDescent="0.3">
      <c r="A236" s="660" t="s">
        <v>552</v>
      </c>
      <c r="B236" s="661" t="s">
        <v>553</v>
      </c>
      <c r="C236" s="662" t="s">
        <v>566</v>
      </c>
      <c r="D236" s="663" t="s">
        <v>1752</v>
      </c>
      <c r="E236" s="662" t="s">
        <v>3376</v>
      </c>
      <c r="F236" s="663" t="s">
        <v>3377</v>
      </c>
      <c r="G236" s="662" t="s">
        <v>2772</v>
      </c>
      <c r="H236" s="662" t="s">
        <v>2773</v>
      </c>
      <c r="I236" s="664">
        <v>0.47</v>
      </c>
      <c r="J236" s="664">
        <v>1300</v>
      </c>
      <c r="K236" s="665">
        <v>611</v>
      </c>
    </row>
    <row r="237" spans="1:11" ht="14.4" customHeight="1" x14ac:dyDescent="0.3">
      <c r="A237" s="660" t="s">
        <v>552</v>
      </c>
      <c r="B237" s="661" t="s">
        <v>553</v>
      </c>
      <c r="C237" s="662" t="s">
        <v>566</v>
      </c>
      <c r="D237" s="663" t="s">
        <v>1752</v>
      </c>
      <c r="E237" s="662" t="s">
        <v>3376</v>
      </c>
      <c r="F237" s="663" t="s">
        <v>3377</v>
      </c>
      <c r="G237" s="662" t="s">
        <v>2940</v>
      </c>
      <c r="H237" s="662" t="s">
        <v>2941</v>
      </c>
      <c r="I237" s="664">
        <v>0.47333333333333333</v>
      </c>
      <c r="J237" s="664">
        <v>1600</v>
      </c>
      <c r="K237" s="665">
        <v>755</v>
      </c>
    </row>
    <row r="238" spans="1:11" ht="14.4" customHeight="1" x14ac:dyDescent="0.3">
      <c r="A238" s="660" t="s">
        <v>552</v>
      </c>
      <c r="B238" s="661" t="s">
        <v>553</v>
      </c>
      <c r="C238" s="662" t="s">
        <v>566</v>
      </c>
      <c r="D238" s="663" t="s">
        <v>1752</v>
      </c>
      <c r="E238" s="662" t="s">
        <v>3376</v>
      </c>
      <c r="F238" s="663" t="s">
        <v>3377</v>
      </c>
      <c r="G238" s="662" t="s">
        <v>2942</v>
      </c>
      <c r="H238" s="662" t="s">
        <v>2943</v>
      </c>
      <c r="I238" s="664">
        <v>4.03</v>
      </c>
      <c r="J238" s="664">
        <v>250</v>
      </c>
      <c r="K238" s="665">
        <v>1007.5</v>
      </c>
    </row>
    <row r="239" spans="1:11" ht="14.4" customHeight="1" x14ac:dyDescent="0.3">
      <c r="A239" s="660" t="s">
        <v>552</v>
      </c>
      <c r="B239" s="661" t="s">
        <v>553</v>
      </c>
      <c r="C239" s="662" t="s">
        <v>566</v>
      </c>
      <c r="D239" s="663" t="s">
        <v>1752</v>
      </c>
      <c r="E239" s="662" t="s">
        <v>3376</v>
      </c>
      <c r="F239" s="663" t="s">
        <v>3377</v>
      </c>
      <c r="G239" s="662" t="s">
        <v>2944</v>
      </c>
      <c r="H239" s="662" t="s">
        <v>2945</v>
      </c>
      <c r="I239" s="664">
        <v>2.605</v>
      </c>
      <c r="J239" s="664">
        <v>200</v>
      </c>
      <c r="K239" s="665">
        <v>521</v>
      </c>
    </row>
    <row r="240" spans="1:11" ht="14.4" customHeight="1" x14ac:dyDescent="0.3">
      <c r="A240" s="660" t="s">
        <v>552</v>
      </c>
      <c r="B240" s="661" t="s">
        <v>553</v>
      </c>
      <c r="C240" s="662" t="s">
        <v>566</v>
      </c>
      <c r="D240" s="663" t="s">
        <v>1752</v>
      </c>
      <c r="E240" s="662" t="s">
        <v>3376</v>
      </c>
      <c r="F240" s="663" t="s">
        <v>3377</v>
      </c>
      <c r="G240" s="662" t="s">
        <v>2946</v>
      </c>
      <c r="H240" s="662" t="s">
        <v>2947</v>
      </c>
      <c r="I240" s="664">
        <v>2.605</v>
      </c>
      <c r="J240" s="664">
        <v>300</v>
      </c>
      <c r="K240" s="665">
        <v>781.5</v>
      </c>
    </row>
    <row r="241" spans="1:11" ht="14.4" customHeight="1" x14ac:dyDescent="0.3">
      <c r="A241" s="660" t="s">
        <v>552</v>
      </c>
      <c r="B241" s="661" t="s">
        <v>553</v>
      </c>
      <c r="C241" s="662" t="s">
        <v>566</v>
      </c>
      <c r="D241" s="663" t="s">
        <v>1752</v>
      </c>
      <c r="E241" s="662" t="s">
        <v>3376</v>
      </c>
      <c r="F241" s="663" t="s">
        <v>3377</v>
      </c>
      <c r="G241" s="662" t="s">
        <v>2948</v>
      </c>
      <c r="H241" s="662" t="s">
        <v>2949</v>
      </c>
      <c r="I241" s="664">
        <v>160.28</v>
      </c>
      <c r="J241" s="664">
        <v>30</v>
      </c>
      <c r="K241" s="665">
        <v>4808.3</v>
      </c>
    </row>
    <row r="242" spans="1:11" ht="14.4" customHeight="1" x14ac:dyDescent="0.3">
      <c r="A242" s="660" t="s">
        <v>552</v>
      </c>
      <c r="B242" s="661" t="s">
        <v>553</v>
      </c>
      <c r="C242" s="662" t="s">
        <v>566</v>
      </c>
      <c r="D242" s="663" t="s">
        <v>1752</v>
      </c>
      <c r="E242" s="662" t="s">
        <v>3376</v>
      </c>
      <c r="F242" s="663" t="s">
        <v>3377</v>
      </c>
      <c r="G242" s="662" t="s">
        <v>2950</v>
      </c>
      <c r="H242" s="662" t="s">
        <v>2951</v>
      </c>
      <c r="I242" s="664">
        <v>646.76</v>
      </c>
      <c r="J242" s="664">
        <v>2</v>
      </c>
      <c r="K242" s="665">
        <v>1293.52</v>
      </c>
    </row>
    <row r="243" spans="1:11" ht="14.4" customHeight="1" x14ac:dyDescent="0.3">
      <c r="A243" s="660" t="s">
        <v>552</v>
      </c>
      <c r="B243" s="661" t="s">
        <v>553</v>
      </c>
      <c r="C243" s="662" t="s">
        <v>566</v>
      </c>
      <c r="D243" s="663" t="s">
        <v>1752</v>
      </c>
      <c r="E243" s="662" t="s">
        <v>3376</v>
      </c>
      <c r="F243" s="663" t="s">
        <v>3377</v>
      </c>
      <c r="G243" s="662" t="s">
        <v>2952</v>
      </c>
      <c r="H243" s="662" t="s">
        <v>2953</v>
      </c>
      <c r="I243" s="664">
        <v>9.18</v>
      </c>
      <c r="J243" s="664">
        <v>32</v>
      </c>
      <c r="K243" s="665">
        <v>293.76</v>
      </c>
    </row>
    <row r="244" spans="1:11" ht="14.4" customHeight="1" x14ac:dyDescent="0.3">
      <c r="A244" s="660" t="s">
        <v>552</v>
      </c>
      <c r="B244" s="661" t="s">
        <v>553</v>
      </c>
      <c r="C244" s="662" t="s">
        <v>566</v>
      </c>
      <c r="D244" s="663" t="s">
        <v>1752</v>
      </c>
      <c r="E244" s="662" t="s">
        <v>3376</v>
      </c>
      <c r="F244" s="663" t="s">
        <v>3377</v>
      </c>
      <c r="G244" s="662" t="s">
        <v>2954</v>
      </c>
      <c r="H244" s="662" t="s">
        <v>2955</v>
      </c>
      <c r="I244" s="664">
        <v>17.91</v>
      </c>
      <c r="J244" s="664">
        <v>20</v>
      </c>
      <c r="K244" s="665">
        <v>358.1</v>
      </c>
    </row>
    <row r="245" spans="1:11" ht="14.4" customHeight="1" x14ac:dyDescent="0.3">
      <c r="A245" s="660" t="s">
        <v>552</v>
      </c>
      <c r="B245" s="661" t="s">
        <v>553</v>
      </c>
      <c r="C245" s="662" t="s">
        <v>566</v>
      </c>
      <c r="D245" s="663" t="s">
        <v>1752</v>
      </c>
      <c r="E245" s="662" t="s">
        <v>3376</v>
      </c>
      <c r="F245" s="663" t="s">
        <v>3377</v>
      </c>
      <c r="G245" s="662" t="s">
        <v>2956</v>
      </c>
      <c r="H245" s="662" t="s">
        <v>2957</v>
      </c>
      <c r="I245" s="664">
        <v>229.9</v>
      </c>
      <c r="J245" s="664">
        <v>20</v>
      </c>
      <c r="K245" s="665">
        <v>4598</v>
      </c>
    </row>
    <row r="246" spans="1:11" ht="14.4" customHeight="1" x14ac:dyDescent="0.3">
      <c r="A246" s="660" t="s">
        <v>552</v>
      </c>
      <c r="B246" s="661" t="s">
        <v>553</v>
      </c>
      <c r="C246" s="662" t="s">
        <v>566</v>
      </c>
      <c r="D246" s="663" t="s">
        <v>1752</v>
      </c>
      <c r="E246" s="662" t="s">
        <v>3376</v>
      </c>
      <c r="F246" s="663" t="s">
        <v>3377</v>
      </c>
      <c r="G246" s="662" t="s">
        <v>2958</v>
      </c>
      <c r="H246" s="662" t="s">
        <v>2959</v>
      </c>
      <c r="I246" s="664">
        <v>688.91</v>
      </c>
      <c r="J246" s="664">
        <v>2</v>
      </c>
      <c r="K246" s="665">
        <v>1377.83</v>
      </c>
    </row>
    <row r="247" spans="1:11" ht="14.4" customHeight="1" x14ac:dyDescent="0.3">
      <c r="A247" s="660" t="s">
        <v>552</v>
      </c>
      <c r="B247" s="661" t="s">
        <v>553</v>
      </c>
      <c r="C247" s="662" t="s">
        <v>566</v>
      </c>
      <c r="D247" s="663" t="s">
        <v>1752</v>
      </c>
      <c r="E247" s="662" t="s">
        <v>3376</v>
      </c>
      <c r="F247" s="663" t="s">
        <v>3377</v>
      </c>
      <c r="G247" s="662" t="s">
        <v>2960</v>
      </c>
      <c r="H247" s="662" t="s">
        <v>2961</v>
      </c>
      <c r="I247" s="664">
        <v>2156.67</v>
      </c>
      <c r="J247" s="664">
        <v>1</v>
      </c>
      <c r="K247" s="665">
        <v>2156.67</v>
      </c>
    </row>
    <row r="248" spans="1:11" ht="14.4" customHeight="1" x14ac:dyDescent="0.3">
      <c r="A248" s="660" t="s">
        <v>552</v>
      </c>
      <c r="B248" s="661" t="s">
        <v>553</v>
      </c>
      <c r="C248" s="662" t="s">
        <v>566</v>
      </c>
      <c r="D248" s="663" t="s">
        <v>1752</v>
      </c>
      <c r="E248" s="662" t="s">
        <v>3376</v>
      </c>
      <c r="F248" s="663" t="s">
        <v>3377</v>
      </c>
      <c r="G248" s="662" t="s">
        <v>2786</v>
      </c>
      <c r="H248" s="662" t="s">
        <v>2787</v>
      </c>
      <c r="I248" s="664">
        <v>9.1999999999999993</v>
      </c>
      <c r="J248" s="664">
        <v>50</v>
      </c>
      <c r="K248" s="665">
        <v>460</v>
      </c>
    </row>
    <row r="249" spans="1:11" ht="14.4" customHeight="1" x14ac:dyDescent="0.3">
      <c r="A249" s="660" t="s">
        <v>552</v>
      </c>
      <c r="B249" s="661" t="s">
        <v>553</v>
      </c>
      <c r="C249" s="662" t="s">
        <v>566</v>
      </c>
      <c r="D249" s="663" t="s">
        <v>1752</v>
      </c>
      <c r="E249" s="662" t="s">
        <v>3376</v>
      </c>
      <c r="F249" s="663" t="s">
        <v>3377</v>
      </c>
      <c r="G249" s="662" t="s">
        <v>2794</v>
      </c>
      <c r="H249" s="662" t="s">
        <v>2795</v>
      </c>
      <c r="I249" s="664">
        <v>17.059999999999999</v>
      </c>
      <c r="J249" s="664">
        <v>30</v>
      </c>
      <c r="K249" s="665">
        <v>511.84000000000003</v>
      </c>
    </row>
    <row r="250" spans="1:11" ht="14.4" customHeight="1" x14ac:dyDescent="0.3">
      <c r="A250" s="660" t="s">
        <v>552</v>
      </c>
      <c r="B250" s="661" t="s">
        <v>553</v>
      </c>
      <c r="C250" s="662" t="s">
        <v>566</v>
      </c>
      <c r="D250" s="663" t="s">
        <v>1752</v>
      </c>
      <c r="E250" s="662" t="s">
        <v>3376</v>
      </c>
      <c r="F250" s="663" t="s">
        <v>3377</v>
      </c>
      <c r="G250" s="662" t="s">
        <v>2962</v>
      </c>
      <c r="H250" s="662" t="s">
        <v>2963</v>
      </c>
      <c r="I250" s="664">
        <v>17.91</v>
      </c>
      <c r="J250" s="664">
        <v>10</v>
      </c>
      <c r="K250" s="665">
        <v>179.08</v>
      </c>
    </row>
    <row r="251" spans="1:11" ht="14.4" customHeight="1" x14ac:dyDescent="0.3">
      <c r="A251" s="660" t="s">
        <v>552</v>
      </c>
      <c r="B251" s="661" t="s">
        <v>553</v>
      </c>
      <c r="C251" s="662" t="s">
        <v>566</v>
      </c>
      <c r="D251" s="663" t="s">
        <v>1752</v>
      </c>
      <c r="E251" s="662" t="s">
        <v>3376</v>
      </c>
      <c r="F251" s="663" t="s">
        <v>3377</v>
      </c>
      <c r="G251" s="662" t="s">
        <v>2964</v>
      </c>
      <c r="H251" s="662" t="s">
        <v>2965</v>
      </c>
      <c r="I251" s="664">
        <v>154</v>
      </c>
      <c r="J251" s="664">
        <v>10</v>
      </c>
      <c r="K251" s="665">
        <v>1539.97</v>
      </c>
    </row>
    <row r="252" spans="1:11" ht="14.4" customHeight="1" x14ac:dyDescent="0.3">
      <c r="A252" s="660" t="s">
        <v>552</v>
      </c>
      <c r="B252" s="661" t="s">
        <v>553</v>
      </c>
      <c r="C252" s="662" t="s">
        <v>566</v>
      </c>
      <c r="D252" s="663" t="s">
        <v>1752</v>
      </c>
      <c r="E252" s="662" t="s">
        <v>3376</v>
      </c>
      <c r="F252" s="663" t="s">
        <v>3377</v>
      </c>
      <c r="G252" s="662" t="s">
        <v>2966</v>
      </c>
      <c r="H252" s="662" t="s">
        <v>2967</v>
      </c>
      <c r="I252" s="664">
        <v>250</v>
      </c>
      <c r="J252" s="664">
        <v>25</v>
      </c>
      <c r="K252" s="665">
        <v>6249.95</v>
      </c>
    </row>
    <row r="253" spans="1:11" ht="14.4" customHeight="1" x14ac:dyDescent="0.3">
      <c r="A253" s="660" t="s">
        <v>552</v>
      </c>
      <c r="B253" s="661" t="s">
        <v>553</v>
      </c>
      <c r="C253" s="662" t="s">
        <v>566</v>
      </c>
      <c r="D253" s="663" t="s">
        <v>1752</v>
      </c>
      <c r="E253" s="662" t="s">
        <v>3376</v>
      </c>
      <c r="F253" s="663" t="s">
        <v>3377</v>
      </c>
      <c r="G253" s="662" t="s">
        <v>2968</v>
      </c>
      <c r="H253" s="662" t="s">
        <v>2969</v>
      </c>
      <c r="I253" s="664">
        <v>23.1</v>
      </c>
      <c r="J253" s="664">
        <v>50</v>
      </c>
      <c r="K253" s="665">
        <v>1154.95</v>
      </c>
    </row>
    <row r="254" spans="1:11" ht="14.4" customHeight="1" x14ac:dyDescent="0.3">
      <c r="A254" s="660" t="s">
        <v>552</v>
      </c>
      <c r="B254" s="661" t="s">
        <v>553</v>
      </c>
      <c r="C254" s="662" t="s">
        <v>566</v>
      </c>
      <c r="D254" s="663" t="s">
        <v>1752</v>
      </c>
      <c r="E254" s="662" t="s">
        <v>3388</v>
      </c>
      <c r="F254" s="663" t="s">
        <v>3389</v>
      </c>
      <c r="G254" s="662" t="s">
        <v>2970</v>
      </c>
      <c r="H254" s="662" t="s">
        <v>2971</v>
      </c>
      <c r="I254" s="664">
        <v>1849.91</v>
      </c>
      <c r="J254" s="664">
        <v>5</v>
      </c>
      <c r="K254" s="665">
        <v>9249.5400000000009</v>
      </c>
    </row>
    <row r="255" spans="1:11" ht="14.4" customHeight="1" x14ac:dyDescent="0.3">
      <c r="A255" s="660" t="s">
        <v>552</v>
      </c>
      <c r="B255" s="661" t="s">
        <v>553</v>
      </c>
      <c r="C255" s="662" t="s">
        <v>566</v>
      </c>
      <c r="D255" s="663" t="s">
        <v>1752</v>
      </c>
      <c r="E255" s="662" t="s">
        <v>3388</v>
      </c>
      <c r="F255" s="663" t="s">
        <v>3389</v>
      </c>
      <c r="G255" s="662" t="s">
        <v>2972</v>
      </c>
      <c r="H255" s="662" t="s">
        <v>2973</v>
      </c>
      <c r="I255" s="664">
        <v>289.83999999999997</v>
      </c>
      <c r="J255" s="664">
        <v>10</v>
      </c>
      <c r="K255" s="665">
        <v>2898.43</v>
      </c>
    </row>
    <row r="256" spans="1:11" ht="14.4" customHeight="1" x14ac:dyDescent="0.3">
      <c r="A256" s="660" t="s">
        <v>552</v>
      </c>
      <c r="B256" s="661" t="s">
        <v>553</v>
      </c>
      <c r="C256" s="662" t="s">
        <v>566</v>
      </c>
      <c r="D256" s="663" t="s">
        <v>1752</v>
      </c>
      <c r="E256" s="662" t="s">
        <v>3388</v>
      </c>
      <c r="F256" s="663" t="s">
        <v>3389</v>
      </c>
      <c r="G256" s="662" t="s">
        <v>2974</v>
      </c>
      <c r="H256" s="662" t="s">
        <v>2975</v>
      </c>
      <c r="I256" s="664">
        <v>6474.71</v>
      </c>
      <c r="J256" s="664">
        <v>1</v>
      </c>
      <c r="K256" s="665">
        <v>6474.71</v>
      </c>
    </row>
    <row r="257" spans="1:11" ht="14.4" customHeight="1" x14ac:dyDescent="0.3">
      <c r="A257" s="660" t="s">
        <v>552</v>
      </c>
      <c r="B257" s="661" t="s">
        <v>553</v>
      </c>
      <c r="C257" s="662" t="s">
        <v>566</v>
      </c>
      <c r="D257" s="663" t="s">
        <v>1752</v>
      </c>
      <c r="E257" s="662" t="s">
        <v>3388</v>
      </c>
      <c r="F257" s="663" t="s">
        <v>3389</v>
      </c>
      <c r="G257" s="662" t="s">
        <v>2976</v>
      </c>
      <c r="H257" s="662" t="s">
        <v>2977</v>
      </c>
      <c r="I257" s="664">
        <v>2487.2800000000002</v>
      </c>
      <c r="J257" s="664">
        <v>10</v>
      </c>
      <c r="K257" s="665">
        <v>24872.76</v>
      </c>
    </row>
    <row r="258" spans="1:11" ht="14.4" customHeight="1" x14ac:dyDescent="0.3">
      <c r="A258" s="660" t="s">
        <v>552</v>
      </c>
      <c r="B258" s="661" t="s">
        <v>553</v>
      </c>
      <c r="C258" s="662" t="s">
        <v>566</v>
      </c>
      <c r="D258" s="663" t="s">
        <v>1752</v>
      </c>
      <c r="E258" s="662" t="s">
        <v>3378</v>
      </c>
      <c r="F258" s="663" t="s">
        <v>3379</v>
      </c>
      <c r="G258" s="662" t="s">
        <v>2800</v>
      </c>
      <c r="H258" s="662" t="s">
        <v>2801</v>
      </c>
      <c r="I258" s="664">
        <v>8.17</v>
      </c>
      <c r="J258" s="664">
        <v>1500</v>
      </c>
      <c r="K258" s="665">
        <v>12255</v>
      </c>
    </row>
    <row r="259" spans="1:11" ht="14.4" customHeight="1" x14ac:dyDescent="0.3">
      <c r="A259" s="660" t="s">
        <v>552</v>
      </c>
      <c r="B259" s="661" t="s">
        <v>553</v>
      </c>
      <c r="C259" s="662" t="s">
        <v>566</v>
      </c>
      <c r="D259" s="663" t="s">
        <v>1752</v>
      </c>
      <c r="E259" s="662" t="s">
        <v>3378</v>
      </c>
      <c r="F259" s="663" t="s">
        <v>3379</v>
      </c>
      <c r="G259" s="662" t="s">
        <v>2978</v>
      </c>
      <c r="H259" s="662" t="s">
        <v>2979</v>
      </c>
      <c r="I259" s="664">
        <v>7.01</v>
      </c>
      <c r="J259" s="664">
        <v>100</v>
      </c>
      <c r="K259" s="665">
        <v>701</v>
      </c>
    </row>
    <row r="260" spans="1:11" ht="14.4" customHeight="1" x14ac:dyDescent="0.3">
      <c r="A260" s="660" t="s">
        <v>552</v>
      </c>
      <c r="B260" s="661" t="s">
        <v>553</v>
      </c>
      <c r="C260" s="662" t="s">
        <v>566</v>
      </c>
      <c r="D260" s="663" t="s">
        <v>1752</v>
      </c>
      <c r="E260" s="662" t="s">
        <v>3378</v>
      </c>
      <c r="F260" s="663" t="s">
        <v>3379</v>
      </c>
      <c r="G260" s="662" t="s">
        <v>2980</v>
      </c>
      <c r="H260" s="662" t="s">
        <v>2981</v>
      </c>
      <c r="I260" s="664">
        <v>3539.25</v>
      </c>
      <c r="J260" s="664">
        <v>10</v>
      </c>
      <c r="K260" s="665">
        <v>35392.5</v>
      </c>
    </row>
    <row r="261" spans="1:11" ht="14.4" customHeight="1" x14ac:dyDescent="0.3">
      <c r="A261" s="660" t="s">
        <v>552</v>
      </c>
      <c r="B261" s="661" t="s">
        <v>553</v>
      </c>
      <c r="C261" s="662" t="s">
        <v>566</v>
      </c>
      <c r="D261" s="663" t="s">
        <v>1752</v>
      </c>
      <c r="E261" s="662" t="s">
        <v>3380</v>
      </c>
      <c r="F261" s="663" t="s">
        <v>3381</v>
      </c>
      <c r="G261" s="662" t="s">
        <v>2982</v>
      </c>
      <c r="H261" s="662" t="s">
        <v>2983</v>
      </c>
      <c r="I261" s="664">
        <v>0.30333333333333329</v>
      </c>
      <c r="J261" s="664">
        <v>2200</v>
      </c>
      <c r="K261" s="665">
        <v>662</v>
      </c>
    </row>
    <row r="262" spans="1:11" ht="14.4" customHeight="1" x14ac:dyDescent="0.3">
      <c r="A262" s="660" t="s">
        <v>552</v>
      </c>
      <c r="B262" s="661" t="s">
        <v>553</v>
      </c>
      <c r="C262" s="662" t="s">
        <v>566</v>
      </c>
      <c r="D262" s="663" t="s">
        <v>1752</v>
      </c>
      <c r="E262" s="662" t="s">
        <v>3380</v>
      </c>
      <c r="F262" s="663" t="s">
        <v>3381</v>
      </c>
      <c r="G262" s="662" t="s">
        <v>2984</v>
      </c>
      <c r="H262" s="662" t="s">
        <v>2985</v>
      </c>
      <c r="I262" s="664">
        <v>0.30499999999999999</v>
      </c>
      <c r="J262" s="664">
        <v>900</v>
      </c>
      <c r="K262" s="665">
        <v>274</v>
      </c>
    </row>
    <row r="263" spans="1:11" ht="14.4" customHeight="1" x14ac:dyDescent="0.3">
      <c r="A263" s="660" t="s">
        <v>552</v>
      </c>
      <c r="B263" s="661" t="s">
        <v>553</v>
      </c>
      <c r="C263" s="662" t="s">
        <v>566</v>
      </c>
      <c r="D263" s="663" t="s">
        <v>1752</v>
      </c>
      <c r="E263" s="662" t="s">
        <v>3380</v>
      </c>
      <c r="F263" s="663" t="s">
        <v>3381</v>
      </c>
      <c r="G263" s="662" t="s">
        <v>2810</v>
      </c>
      <c r="H263" s="662" t="s">
        <v>2811</v>
      </c>
      <c r="I263" s="664">
        <v>0.48249999999999998</v>
      </c>
      <c r="J263" s="664">
        <v>4100</v>
      </c>
      <c r="K263" s="665">
        <v>1972</v>
      </c>
    </row>
    <row r="264" spans="1:11" ht="14.4" customHeight="1" x14ac:dyDescent="0.3">
      <c r="A264" s="660" t="s">
        <v>552</v>
      </c>
      <c r="B264" s="661" t="s">
        <v>553</v>
      </c>
      <c r="C264" s="662" t="s">
        <v>566</v>
      </c>
      <c r="D264" s="663" t="s">
        <v>1752</v>
      </c>
      <c r="E264" s="662" t="s">
        <v>3380</v>
      </c>
      <c r="F264" s="663" t="s">
        <v>3381</v>
      </c>
      <c r="G264" s="662" t="s">
        <v>2814</v>
      </c>
      <c r="H264" s="662" t="s">
        <v>2815</v>
      </c>
      <c r="I264" s="664">
        <v>1.7650000000000001</v>
      </c>
      <c r="J264" s="664">
        <v>700</v>
      </c>
      <c r="K264" s="665">
        <v>1237</v>
      </c>
    </row>
    <row r="265" spans="1:11" ht="14.4" customHeight="1" x14ac:dyDescent="0.3">
      <c r="A265" s="660" t="s">
        <v>552</v>
      </c>
      <c r="B265" s="661" t="s">
        <v>553</v>
      </c>
      <c r="C265" s="662" t="s">
        <v>566</v>
      </c>
      <c r="D265" s="663" t="s">
        <v>1752</v>
      </c>
      <c r="E265" s="662" t="s">
        <v>3380</v>
      </c>
      <c r="F265" s="663" t="s">
        <v>3381</v>
      </c>
      <c r="G265" s="662" t="s">
        <v>2986</v>
      </c>
      <c r="H265" s="662" t="s">
        <v>2987</v>
      </c>
      <c r="I265" s="664">
        <v>1.7749999999999999</v>
      </c>
      <c r="J265" s="664">
        <v>700</v>
      </c>
      <c r="K265" s="665">
        <v>1244</v>
      </c>
    </row>
    <row r="266" spans="1:11" ht="14.4" customHeight="1" x14ac:dyDescent="0.3">
      <c r="A266" s="660" t="s">
        <v>552</v>
      </c>
      <c r="B266" s="661" t="s">
        <v>553</v>
      </c>
      <c r="C266" s="662" t="s">
        <v>566</v>
      </c>
      <c r="D266" s="663" t="s">
        <v>1752</v>
      </c>
      <c r="E266" s="662" t="s">
        <v>3382</v>
      </c>
      <c r="F266" s="663" t="s">
        <v>3383</v>
      </c>
      <c r="G266" s="662" t="s">
        <v>2988</v>
      </c>
      <c r="H266" s="662" t="s">
        <v>2989</v>
      </c>
      <c r="I266" s="664">
        <v>11.01</v>
      </c>
      <c r="J266" s="664">
        <v>40</v>
      </c>
      <c r="K266" s="665">
        <v>440.4</v>
      </c>
    </row>
    <row r="267" spans="1:11" ht="14.4" customHeight="1" x14ac:dyDescent="0.3">
      <c r="A267" s="660" t="s">
        <v>552</v>
      </c>
      <c r="B267" s="661" t="s">
        <v>553</v>
      </c>
      <c r="C267" s="662" t="s">
        <v>566</v>
      </c>
      <c r="D267" s="663" t="s">
        <v>1752</v>
      </c>
      <c r="E267" s="662" t="s">
        <v>3382</v>
      </c>
      <c r="F267" s="663" t="s">
        <v>3383</v>
      </c>
      <c r="G267" s="662" t="s">
        <v>2818</v>
      </c>
      <c r="H267" s="662" t="s">
        <v>2819</v>
      </c>
      <c r="I267" s="664">
        <v>0.71</v>
      </c>
      <c r="J267" s="664">
        <v>15000</v>
      </c>
      <c r="K267" s="665">
        <v>10650</v>
      </c>
    </row>
    <row r="268" spans="1:11" ht="14.4" customHeight="1" x14ac:dyDescent="0.3">
      <c r="A268" s="660" t="s">
        <v>552</v>
      </c>
      <c r="B268" s="661" t="s">
        <v>553</v>
      </c>
      <c r="C268" s="662" t="s">
        <v>566</v>
      </c>
      <c r="D268" s="663" t="s">
        <v>1752</v>
      </c>
      <c r="E268" s="662" t="s">
        <v>3382</v>
      </c>
      <c r="F268" s="663" t="s">
        <v>3383</v>
      </c>
      <c r="G268" s="662" t="s">
        <v>2820</v>
      </c>
      <c r="H268" s="662" t="s">
        <v>2821</v>
      </c>
      <c r="I268" s="664">
        <v>0.71</v>
      </c>
      <c r="J268" s="664">
        <v>8200</v>
      </c>
      <c r="K268" s="665">
        <v>5822</v>
      </c>
    </row>
    <row r="269" spans="1:11" ht="14.4" customHeight="1" x14ac:dyDescent="0.3">
      <c r="A269" s="660" t="s">
        <v>552</v>
      </c>
      <c r="B269" s="661" t="s">
        <v>553</v>
      </c>
      <c r="C269" s="662" t="s">
        <v>566</v>
      </c>
      <c r="D269" s="663" t="s">
        <v>1752</v>
      </c>
      <c r="E269" s="662" t="s">
        <v>3382</v>
      </c>
      <c r="F269" s="663" t="s">
        <v>3383</v>
      </c>
      <c r="G269" s="662" t="s">
        <v>2822</v>
      </c>
      <c r="H269" s="662" t="s">
        <v>2823</v>
      </c>
      <c r="I269" s="664">
        <v>0.71</v>
      </c>
      <c r="J269" s="664">
        <v>6200</v>
      </c>
      <c r="K269" s="665">
        <v>4402</v>
      </c>
    </row>
    <row r="270" spans="1:11" ht="14.4" customHeight="1" x14ac:dyDescent="0.3">
      <c r="A270" s="660" t="s">
        <v>552</v>
      </c>
      <c r="B270" s="661" t="s">
        <v>553</v>
      </c>
      <c r="C270" s="662" t="s">
        <v>566</v>
      </c>
      <c r="D270" s="663" t="s">
        <v>1752</v>
      </c>
      <c r="E270" s="662" t="s">
        <v>3384</v>
      </c>
      <c r="F270" s="663" t="s">
        <v>3385</v>
      </c>
      <c r="G270" s="662" t="s">
        <v>2990</v>
      </c>
      <c r="H270" s="662" t="s">
        <v>2991</v>
      </c>
      <c r="I270" s="664">
        <v>139.44</v>
      </c>
      <c r="J270" s="664">
        <v>36</v>
      </c>
      <c r="K270" s="665">
        <v>5019.8999999999996</v>
      </c>
    </row>
    <row r="271" spans="1:11" ht="14.4" customHeight="1" x14ac:dyDescent="0.3">
      <c r="A271" s="660" t="s">
        <v>552</v>
      </c>
      <c r="B271" s="661" t="s">
        <v>553</v>
      </c>
      <c r="C271" s="662" t="s">
        <v>566</v>
      </c>
      <c r="D271" s="663" t="s">
        <v>1752</v>
      </c>
      <c r="E271" s="662" t="s">
        <v>3384</v>
      </c>
      <c r="F271" s="663" t="s">
        <v>3385</v>
      </c>
      <c r="G271" s="662" t="s">
        <v>2992</v>
      </c>
      <c r="H271" s="662" t="s">
        <v>2993</v>
      </c>
      <c r="I271" s="664">
        <v>139.44</v>
      </c>
      <c r="J271" s="664">
        <v>36</v>
      </c>
      <c r="K271" s="665">
        <v>5019.8200000000006</v>
      </c>
    </row>
    <row r="272" spans="1:11" ht="14.4" customHeight="1" x14ac:dyDescent="0.3">
      <c r="A272" s="660" t="s">
        <v>552</v>
      </c>
      <c r="B272" s="661" t="s">
        <v>553</v>
      </c>
      <c r="C272" s="662" t="s">
        <v>566</v>
      </c>
      <c r="D272" s="663" t="s">
        <v>1752</v>
      </c>
      <c r="E272" s="662" t="s">
        <v>3384</v>
      </c>
      <c r="F272" s="663" t="s">
        <v>3385</v>
      </c>
      <c r="G272" s="662" t="s">
        <v>2994</v>
      </c>
      <c r="H272" s="662" t="s">
        <v>2995</v>
      </c>
      <c r="I272" s="664">
        <v>118.58</v>
      </c>
      <c r="J272" s="664">
        <v>2</v>
      </c>
      <c r="K272" s="665">
        <v>237.16</v>
      </c>
    </row>
    <row r="273" spans="1:11" ht="14.4" customHeight="1" x14ac:dyDescent="0.3">
      <c r="A273" s="660" t="s">
        <v>552</v>
      </c>
      <c r="B273" s="661" t="s">
        <v>553</v>
      </c>
      <c r="C273" s="662" t="s">
        <v>566</v>
      </c>
      <c r="D273" s="663" t="s">
        <v>1752</v>
      </c>
      <c r="E273" s="662" t="s">
        <v>3384</v>
      </c>
      <c r="F273" s="663" t="s">
        <v>3385</v>
      </c>
      <c r="G273" s="662" t="s">
        <v>2824</v>
      </c>
      <c r="H273" s="662" t="s">
        <v>2825</v>
      </c>
      <c r="I273" s="664">
        <v>11.65</v>
      </c>
      <c r="J273" s="664">
        <v>60</v>
      </c>
      <c r="K273" s="665">
        <v>699.14</v>
      </c>
    </row>
    <row r="274" spans="1:11" ht="14.4" customHeight="1" x14ac:dyDescent="0.3">
      <c r="A274" s="660" t="s">
        <v>552</v>
      </c>
      <c r="B274" s="661" t="s">
        <v>553</v>
      </c>
      <c r="C274" s="662" t="s">
        <v>566</v>
      </c>
      <c r="D274" s="663" t="s">
        <v>1752</v>
      </c>
      <c r="E274" s="662" t="s">
        <v>3384</v>
      </c>
      <c r="F274" s="663" t="s">
        <v>3385</v>
      </c>
      <c r="G274" s="662" t="s">
        <v>2826</v>
      </c>
      <c r="H274" s="662" t="s">
        <v>2827</v>
      </c>
      <c r="I274" s="664">
        <v>152.46</v>
      </c>
      <c r="J274" s="664">
        <v>11</v>
      </c>
      <c r="K274" s="665">
        <v>1677.06</v>
      </c>
    </row>
    <row r="275" spans="1:11" ht="14.4" customHeight="1" x14ac:dyDescent="0.3">
      <c r="A275" s="660" t="s">
        <v>552</v>
      </c>
      <c r="B275" s="661" t="s">
        <v>553</v>
      </c>
      <c r="C275" s="662" t="s">
        <v>566</v>
      </c>
      <c r="D275" s="663" t="s">
        <v>1752</v>
      </c>
      <c r="E275" s="662" t="s">
        <v>3384</v>
      </c>
      <c r="F275" s="663" t="s">
        <v>3385</v>
      </c>
      <c r="G275" s="662" t="s">
        <v>2996</v>
      </c>
      <c r="H275" s="662" t="s">
        <v>2997</v>
      </c>
      <c r="I275" s="664">
        <v>4637.08</v>
      </c>
      <c r="J275" s="664">
        <v>1</v>
      </c>
      <c r="K275" s="665">
        <v>4637.08</v>
      </c>
    </row>
    <row r="276" spans="1:11" ht="14.4" customHeight="1" x14ac:dyDescent="0.3">
      <c r="A276" s="660" t="s">
        <v>552</v>
      </c>
      <c r="B276" s="661" t="s">
        <v>553</v>
      </c>
      <c r="C276" s="662" t="s">
        <v>566</v>
      </c>
      <c r="D276" s="663" t="s">
        <v>1752</v>
      </c>
      <c r="E276" s="662" t="s">
        <v>3384</v>
      </c>
      <c r="F276" s="663" t="s">
        <v>3385</v>
      </c>
      <c r="G276" s="662" t="s">
        <v>2998</v>
      </c>
      <c r="H276" s="662" t="s">
        <v>2999</v>
      </c>
      <c r="I276" s="664">
        <v>4572.71</v>
      </c>
      <c r="J276" s="664">
        <v>1</v>
      </c>
      <c r="K276" s="665">
        <v>4572.71</v>
      </c>
    </row>
    <row r="277" spans="1:11" ht="14.4" customHeight="1" x14ac:dyDescent="0.3">
      <c r="A277" s="660" t="s">
        <v>552</v>
      </c>
      <c r="B277" s="661" t="s">
        <v>553</v>
      </c>
      <c r="C277" s="662" t="s">
        <v>566</v>
      </c>
      <c r="D277" s="663" t="s">
        <v>1752</v>
      </c>
      <c r="E277" s="662" t="s">
        <v>3384</v>
      </c>
      <c r="F277" s="663" t="s">
        <v>3385</v>
      </c>
      <c r="G277" s="662" t="s">
        <v>3000</v>
      </c>
      <c r="H277" s="662" t="s">
        <v>3001</v>
      </c>
      <c r="I277" s="664">
        <v>4973.8900000000003</v>
      </c>
      <c r="J277" s="664">
        <v>6</v>
      </c>
      <c r="K277" s="665">
        <v>29843.32</v>
      </c>
    </row>
    <row r="278" spans="1:11" ht="14.4" customHeight="1" x14ac:dyDescent="0.3">
      <c r="A278" s="660" t="s">
        <v>552</v>
      </c>
      <c r="B278" s="661" t="s">
        <v>553</v>
      </c>
      <c r="C278" s="662" t="s">
        <v>566</v>
      </c>
      <c r="D278" s="663" t="s">
        <v>1752</v>
      </c>
      <c r="E278" s="662" t="s">
        <v>3384</v>
      </c>
      <c r="F278" s="663" t="s">
        <v>3385</v>
      </c>
      <c r="G278" s="662" t="s">
        <v>3002</v>
      </c>
      <c r="H278" s="662" t="s">
        <v>3003</v>
      </c>
      <c r="I278" s="664">
        <v>266.69</v>
      </c>
      <c r="J278" s="664">
        <v>4</v>
      </c>
      <c r="K278" s="665">
        <v>1066.74</v>
      </c>
    </row>
    <row r="279" spans="1:11" ht="14.4" customHeight="1" x14ac:dyDescent="0.3">
      <c r="A279" s="660" t="s">
        <v>552</v>
      </c>
      <c r="B279" s="661" t="s">
        <v>553</v>
      </c>
      <c r="C279" s="662" t="s">
        <v>566</v>
      </c>
      <c r="D279" s="663" t="s">
        <v>1752</v>
      </c>
      <c r="E279" s="662" t="s">
        <v>3384</v>
      </c>
      <c r="F279" s="663" t="s">
        <v>3385</v>
      </c>
      <c r="G279" s="662" t="s">
        <v>3004</v>
      </c>
      <c r="H279" s="662" t="s">
        <v>3005</v>
      </c>
      <c r="I279" s="664">
        <v>11296</v>
      </c>
      <c r="J279" s="664">
        <v>1</v>
      </c>
      <c r="K279" s="665">
        <v>11296</v>
      </c>
    </row>
    <row r="280" spans="1:11" ht="14.4" customHeight="1" x14ac:dyDescent="0.3">
      <c r="A280" s="660" t="s">
        <v>552</v>
      </c>
      <c r="B280" s="661" t="s">
        <v>553</v>
      </c>
      <c r="C280" s="662" t="s">
        <v>566</v>
      </c>
      <c r="D280" s="663" t="s">
        <v>1752</v>
      </c>
      <c r="E280" s="662" t="s">
        <v>3384</v>
      </c>
      <c r="F280" s="663" t="s">
        <v>3385</v>
      </c>
      <c r="G280" s="662" t="s">
        <v>3006</v>
      </c>
      <c r="H280" s="662" t="s">
        <v>3007</v>
      </c>
      <c r="I280" s="664">
        <v>11892.18</v>
      </c>
      <c r="J280" s="664">
        <v>1</v>
      </c>
      <c r="K280" s="665">
        <v>11892.18</v>
      </c>
    </row>
    <row r="281" spans="1:11" ht="14.4" customHeight="1" x14ac:dyDescent="0.3">
      <c r="A281" s="660" t="s">
        <v>552</v>
      </c>
      <c r="B281" s="661" t="s">
        <v>553</v>
      </c>
      <c r="C281" s="662" t="s">
        <v>566</v>
      </c>
      <c r="D281" s="663" t="s">
        <v>1752</v>
      </c>
      <c r="E281" s="662" t="s">
        <v>3384</v>
      </c>
      <c r="F281" s="663" t="s">
        <v>3385</v>
      </c>
      <c r="G281" s="662" t="s">
        <v>3008</v>
      </c>
      <c r="H281" s="662" t="s">
        <v>3009</v>
      </c>
      <c r="I281" s="664">
        <v>28743.25</v>
      </c>
      <c r="J281" s="664">
        <v>1</v>
      </c>
      <c r="K281" s="665">
        <v>28743.25</v>
      </c>
    </row>
    <row r="282" spans="1:11" ht="14.4" customHeight="1" x14ac:dyDescent="0.3">
      <c r="A282" s="660" t="s">
        <v>552</v>
      </c>
      <c r="B282" s="661" t="s">
        <v>553</v>
      </c>
      <c r="C282" s="662" t="s">
        <v>566</v>
      </c>
      <c r="D282" s="663" t="s">
        <v>1752</v>
      </c>
      <c r="E282" s="662" t="s">
        <v>3384</v>
      </c>
      <c r="F282" s="663" t="s">
        <v>3385</v>
      </c>
      <c r="G282" s="662" t="s">
        <v>3010</v>
      </c>
      <c r="H282" s="662" t="s">
        <v>3011</v>
      </c>
      <c r="I282" s="664">
        <v>356.95</v>
      </c>
      <c r="J282" s="664">
        <v>1</v>
      </c>
      <c r="K282" s="665">
        <v>356.95</v>
      </c>
    </row>
    <row r="283" spans="1:11" ht="14.4" customHeight="1" x14ac:dyDescent="0.3">
      <c r="A283" s="660" t="s">
        <v>552</v>
      </c>
      <c r="B283" s="661" t="s">
        <v>553</v>
      </c>
      <c r="C283" s="662" t="s">
        <v>566</v>
      </c>
      <c r="D283" s="663" t="s">
        <v>1752</v>
      </c>
      <c r="E283" s="662" t="s">
        <v>3386</v>
      </c>
      <c r="F283" s="663" t="s">
        <v>3387</v>
      </c>
      <c r="G283" s="662" t="s">
        <v>2828</v>
      </c>
      <c r="H283" s="662" t="s">
        <v>2829</v>
      </c>
      <c r="I283" s="664">
        <v>23.47</v>
      </c>
      <c r="J283" s="664">
        <v>120</v>
      </c>
      <c r="K283" s="665">
        <v>2816.4</v>
      </c>
    </row>
    <row r="284" spans="1:11" ht="14.4" customHeight="1" x14ac:dyDescent="0.3">
      <c r="A284" s="660" t="s">
        <v>552</v>
      </c>
      <c r="B284" s="661" t="s">
        <v>553</v>
      </c>
      <c r="C284" s="662" t="s">
        <v>566</v>
      </c>
      <c r="D284" s="663" t="s">
        <v>1752</v>
      </c>
      <c r="E284" s="662" t="s">
        <v>3386</v>
      </c>
      <c r="F284" s="663" t="s">
        <v>3387</v>
      </c>
      <c r="G284" s="662" t="s">
        <v>3012</v>
      </c>
      <c r="H284" s="662" t="s">
        <v>3013</v>
      </c>
      <c r="I284" s="664">
        <v>32.67</v>
      </c>
      <c r="J284" s="664">
        <v>210</v>
      </c>
      <c r="K284" s="665">
        <v>6860.7000000000007</v>
      </c>
    </row>
    <row r="285" spans="1:11" ht="14.4" customHeight="1" x14ac:dyDescent="0.3">
      <c r="A285" s="660" t="s">
        <v>552</v>
      </c>
      <c r="B285" s="661" t="s">
        <v>553</v>
      </c>
      <c r="C285" s="662" t="s">
        <v>566</v>
      </c>
      <c r="D285" s="663" t="s">
        <v>1752</v>
      </c>
      <c r="E285" s="662" t="s">
        <v>3386</v>
      </c>
      <c r="F285" s="663" t="s">
        <v>3387</v>
      </c>
      <c r="G285" s="662" t="s">
        <v>3014</v>
      </c>
      <c r="H285" s="662" t="s">
        <v>3015</v>
      </c>
      <c r="I285" s="664">
        <v>15.105</v>
      </c>
      <c r="J285" s="664">
        <v>100</v>
      </c>
      <c r="K285" s="665">
        <v>1510.5</v>
      </c>
    </row>
    <row r="286" spans="1:11" ht="14.4" customHeight="1" x14ac:dyDescent="0.3">
      <c r="A286" s="660" t="s">
        <v>552</v>
      </c>
      <c r="B286" s="661" t="s">
        <v>553</v>
      </c>
      <c r="C286" s="662" t="s">
        <v>566</v>
      </c>
      <c r="D286" s="663" t="s">
        <v>1752</v>
      </c>
      <c r="E286" s="662" t="s">
        <v>3386</v>
      </c>
      <c r="F286" s="663" t="s">
        <v>3387</v>
      </c>
      <c r="G286" s="662" t="s">
        <v>3016</v>
      </c>
      <c r="H286" s="662" t="s">
        <v>3017</v>
      </c>
      <c r="I286" s="664">
        <v>54.28</v>
      </c>
      <c r="J286" s="664">
        <v>80</v>
      </c>
      <c r="K286" s="665">
        <v>4342.45</v>
      </c>
    </row>
    <row r="287" spans="1:11" ht="14.4" customHeight="1" x14ac:dyDescent="0.3">
      <c r="A287" s="660" t="s">
        <v>552</v>
      </c>
      <c r="B287" s="661" t="s">
        <v>553</v>
      </c>
      <c r="C287" s="662" t="s">
        <v>569</v>
      </c>
      <c r="D287" s="663" t="s">
        <v>1753</v>
      </c>
      <c r="E287" s="662" t="s">
        <v>3374</v>
      </c>
      <c r="F287" s="663" t="s">
        <v>3375</v>
      </c>
      <c r="G287" s="662" t="s">
        <v>2838</v>
      </c>
      <c r="H287" s="662" t="s">
        <v>2839</v>
      </c>
      <c r="I287" s="664">
        <v>4.3</v>
      </c>
      <c r="J287" s="664">
        <v>48</v>
      </c>
      <c r="K287" s="665">
        <v>206.4</v>
      </c>
    </row>
    <row r="288" spans="1:11" ht="14.4" customHeight="1" x14ac:dyDescent="0.3">
      <c r="A288" s="660" t="s">
        <v>552</v>
      </c>
      <c r="B288" s="661" t="s">
        <v>553</v>
      </c>
      <c r="C288" s="662" t="s">
        <v>569</v>
      </c>
      <c r="D288" s="663" t="s">
        <v>1753</v>
      </c>
      <c r="E288" s="662" t="s">
        <v>3374</v>
      </c>
      <c r="F288" s="663" t="s">
        <v>3375</v>
      </c>
      <c r="G288" s="662" t="s">
        <v>3018</v>
      </c>
      <c r="H288" s="662" t="s">
        <v>3019</v>
      </c>
      <c r="I288" s="664">
        <v>5.36</v>
      </c>
      <c r="J288" s="664">
        <v>24</v>
      </c>
      <c r="K288" s="665">
        <v>128.62</v>
      </c>
    </row>
    <row r="289" spans="1:11" ht="14.4" customHeight="1" x14ac:dyDescent="0.3">
      <c r="A289" s="660" t="s">
        <v>552</v>
      </c>
      <c r="B289" s="661" t="s">
        <v>553</v>
      </c>
      <c r="C289" s="662" t="s">
        <v>569</v>
      </c>
      <c r="D289" s="663" t="s">
        <v>1753</v>
      </c>
      <c r="E289" s="662" t="s">
        <v>3374</v>
      </c>
      <c r="F289" s="663" t="s">
        <v>3375</v>
      </c>
      <c r="G289" s="662" t="s">
        <v>3020</v>
      </c>
      <c r="H289" s="662" t="s">
        <v>3021</v>
      </c>
      <c r="I289" s="664">
        <v>8.1999999999999993</v>
      </c>
      <c r="J289" s="664">
        <v>1</v>
      </c>
      <c r="K289" s="665">
        <v>8.1999999999999993</v>
      </c>
    </row>
    <row r="290" spans="1:11" ht="14.4" customHeight="1" x14ac:dyDescent="0.3">
      <c r="A290" s="660" t="s">
        <v>552</v>
      </c>
      <c r="B290" s="661" t="s">
        <v>553</v>
      </c>
      <c r="C290" s="662" t="s">
        <v>569</v>
      </c>
      <c r="D290" s="663" t="s">
        <v>1753</v>
      </c>
      <c r="E290" s="662" t="s">
        <v>3374</v>
      </c>
      <c r="F290" s="663" t="s">
        <v>3375</v>
      </c>
      <c r="G290" s="662" t="s">
        <v>3022</v>
      </c>
      <c r="H290" s="662" t="s">
        <v>3023</v>
      </c>
      <c r="I290" s="664">
        <v>0.4</v>
      </c>
      <c r="J290" s="664">
        <v>1500</v>
      </c>
      <c r="K290" s="665">
        <v>600</v>
      </c>
    </row>
    <row r="291" spans="1:11" ht="14.4" customHeight="1" x14ac:dyDescent="0.3">
      <c r="A291" s="660" t="s">
        <v>552</v>
      </c>
      <c r="B291" s="661" t="s">
        <v>553</v>
      </c>
      <c r="C291" s="662" t="s">
        <v>569</v>
      </c>
      <c r="D291" s="663" t="s">
        <v>1753</v>
      </c>
      <c r="E291" s="662" t="s">
        <v>3374</v>
      </c>
      <c r="F291" s="663" t="s">
        <v>3375</v>
      </c>
      <c r="G291" s="662" t="s">
        <v>3024</v>
      </c>
      <c r="H291" s="662" t="s">
        <v>3025</v>
      </c>
      <c r="I291" s="664">
        <v>65.2</v>
      </c>
      <c r="J291" s="664">
        <v>20</v>
      </c>
      <c r="K291" s="665">
        <v>1304</v>
      </c>
    </row>
    <row r="292" spans="1:11" ht="14.4" customHeight="1" x14ac:dyDescent="0.3">
      <c r="A292" s="660" t="s">
        <v>552</v>
      </c>
      <c r="B292" s="661" t="s">
        <v>553</v>
      </c>
      <c r="C292" s="662" t="s">
        <v>569</v>
      </c>
      <c r="D292" s="663" t="s">
        <v>1753</v>
      </c>
      <c r="E292" s="662" t="s">
        <v>3374</v>
      </c>
      <c r="F292" s="663" t="s">
        <v>3375</v>
      </c>
      <c r="G292" s="662" t="s">
        <v>3026</v>
      </c>
      <c r="H292" s="662" t="s">
        <v>3027</v>
      </c>
      <c r="I292" s="664">
        <v>2.27</v>
      </c>
      <c r="J292" s="664">
        <v>600</v>
      </c>
      <c r="K292" s="665">
        <v>1362</v>
      </c>
    </row>
    <row r="293" spans="1:11" ht="14.4" customHeight="1" x14ac:dyDescent="0.3">
      <c r="A293" s="660" t="s">
        <v>552</v>
      </c>
      <c r="B293" s="661" t="s">
        <v>553</v>
      </c>
      <c r="C293" s="662" t="s">
        <v>569</v>
      </c>
      <c r="D293" s="663" t="s">
        <v>1753</v>
      </c>
      <c r="E293" s="662" t="s">
        <v>3374</v>
      </c>
      <c r="F293" s="663" t="s">
        <v>3375</v>
      </c>
      <c r="G293" s="662" t="s">
        <v>3028</v>
      </c>
      <c r="H293" s="662" t="s">
        <v>3029</v>
      </c>
      <c r="I293" s="664">
        <v>437</v>
      </c>
      <c r="J293" s="664">
        <v>4</v>
      </c>
      <c r="K293" s="665">
        <v>1748</v>
      </c>
    </row>
    <row r="294" spans="1:11" ht="14.4" customHeight="1" x14ac:dyDescent="0.3">
      <c r="A294" s="660" t="s">
        <v>552</v>
      </c>
      <c r="B294" s="661" t="s">
        <v>553</v>
      </c>
      <c r="C294" s="662" t="s">
        <v>569</v>
      </c>
      <c r="D294" s="663" t="s">
        <v>1753</v>
      </c>
      <c r="E294" s="662" t="s">
        <v>3374</v>
      </c>
      <c r="F294" s="663" t="s">
        <v>3375</v>
      </c>
      <c r="G294" s="662" t="s">
        <v>2848</v>
      </c>
      <c r="H294" s="662" t="s">
        <v>2849</v>
      </c>
      <c r="I294" s="664">
        <v>0.435</v>
      </c>
      <c r="J294" s="664">
        <v>2000</v>
      </c>
      <c r="K294" s="665">
        <v>870</v>
      </c>
    </row>
    <row r="295" spans="1:11" ht="14.4" customHeight="1" x14ac:dyDescent="0.3">
      <c r="A295" s="660" t="s">
        <v>552</v>
      </c>
      <c r="B295" s="661" t="s">
        <v>553</v>
      </c>
      <c r="C295" s="662" t="s">
        <v>569</v>
      </c>
      <c r="D295" s="663" t="s">
        <v>1753</v>
      </c>
      <c r="E295" s="662" t="s">
        <v>3374</v>
      </c>
      <c r="F295" s="663" t="s">
        <v>3375</v>
      </c>
      <c r="G295" s="662" t="s">
        <v>2626</v>
      </c>
      <c r="H295" s="662" t="s">
        <v>2627</v>
      </c>
      <c r="I295" s="664">
        <v>1.38</v>
      </c>
      <c r="J295" s="664">
        <v>400</v>
      </c>
      <c r="K295" s="665">
        <v>552</v>
      </c>
    </row>
    <row r="296" spans="1:11" ht="14.4" customHeight="1" x14ac:dyDescent="0.3">
      <c r="A296" s="660" t="s">
        <v>552</v>
      </c>
      <c r="B296" s="661" t="s">
        <v>553</v>
      </c>
      <c r="C296" s="662" t="s">
        <v>569</v>
      </c>
      <c r="D296" s="663" t="s">
        <v>1753</v>
      </c>
      <c r="E296" s="662" t="s">
        <v>3374</v>
      </c>
      <c r="F296" s="663" t="s">
        <v>3375</v>
      </c>
      <c r="G296" s="662" t="s">
        <v>2630</v>
      </c>
      <c r="H296" s="662" t="s">
        <v>2631</v>
      </c>
      <c r="I296" s="664">
        <v>3.27</v>
      </c>
      <c r="J296" s="664">
        <v>200</v>
      </c>
      <c r="K296" s="665">
        <v>654</v>
      </c>
    </row>
    <row r="297" spans="1:11" ht="14.4" customHeight="1" x14ac:dyDescent="0.3">
      <c r="A297" s="660" t="s">
        <v>552</v>
      </c>
      <c r="B297" s="661" t="s">
        <v>553</v>
      </c>
      <c r="C297" s="662" t="s">
        <v>569</v>
      </c>
      <c r="D297" s="663" t="s">
        <v>1753</v>
      </c>
      <c r="E297" s="662" t="s">
        <v>3374</v>
      </c>
      <c r="F297" s="663" t="s">
        <v>3375</v>
      </c>
      <c r="G297" s="662" t="s">
        <v>3030</v>
      </c>
      <c r="H297" s="662" t="s">
        <v>3031</v>
      </c>
      <c r="I297" s="664">
        <v>13.01</v>
      </c>
      <c r="J297" s="664">
        <v>1</v>
      </c>
      <c r="K297" s="665">
        <v>13.01</v>
      </c>
    </row>
    <row r="298" spans="1:11" ht="14.4" customHeight="1" x14ac:dyDescent="0.3">
      <c r="A298" s="660" t="s">
        <v>552</v>
      </c>
      <c r="B298" s="661" t="s">
        <v>553</v>
      </c>
      <c r="C298" s="662" t="s">
        <v>569</v>
      </c>
      <c r="D298" s="663" t="s">
        <v>1753</v>
      </c>
      <c r="E298" s="662" t="s">
        <v>3374</v>
      </c>
      <c r="F298" s="663" t="s">
        <v>3375</v>
      </c>
      <c r="G298" s="662" t="s">
        <v>2642</v>
      </c>
      <c r="H298" s="662" t="s">
        <v>2643</v>
      </c>
      <c r="I298" s="664">
        <v>1.17</v>
      </c>
      <c r="J298" s="664">
        <v>100</v>
      </c>
      <c r="K298" s="665">
        <v>117</v>
      </c>
    </row>
    <row r="299" spans="1:11" ht="14.4" customHeight="1" x14ac:dyDescent="0.3">
      <c r="A299" s="660" t="s">
        <v>552</v>
      </c>
      <c r="B299" s="661" t="s">
        <v>553</v>
      </c>
      <c r="C299" s="662" t="s">
        <v>569</v>
      </c>
      <c r="D299" s="663" t="s">
        <v>1753</v>
      </c>
      <c r="E299" s="662" t="s">
        <v>3374</v>
      </c>
      <c r="F299" s="663" t="s">
        <v>3375</v>
      </c>
      <c r="G299" s="662" t="s">
        <v>2644</v>
      </c>
      <c r="H299" s="662" t="s">
        <v>2645</v>
      </c>
      <c r="I299" s="664">
        <v>46</v>
      </c>
      <c r="J299" s="664">
        <v>1</v>
      </c>
      <c r="K299" s="665">
        <v>46</v>
      </c>
    </row>
    <row r="300" spans="1:11" ht="14.4" customHeight="1" x14ac:dyDescent="0.3">
      <c r="A300" s="660" t="s">
        <v>552</v>
      </c>
      <c r="B300" s="661" t="s">
        <v>553</v>
      </c>
      <c r="C300" s="662" t="s">
        <v>569</v>
      </c>
      <c r="D300" s="663" t="s">
        <v>1753</v>
      </c>
      <c r="E300" s="662" t="s">
        <v>3374</v>
      </c>
      <c r="F300" s="663" t="s">
        <v>3375</v>
      </c>
      <c r="G300" s="662" t="s">
        <v>3032</v>
      </c>
      <c r="H300" s="662" t="s">
        <v>3033</v>
      </c>
      <c r="I300" s="664">
        <v>10.35</v>
      </c>
      <c r="J300" s="664">
        <v>4600</v>
      </c>
      <c r="K300" s="665">
        <v>47610</v>
      </c>
    </row>
    <row r="301" spans="1:11" ht="14.4" customHeight="1" x14ac:dyDescent="0.3">
      <c r="A301" s="660" t="s">
        <v>552</v>
      </c>
      <c r="B301" s="661" t="s">
        <v>553</v>
      </c>
      <c r="C301" s="662" t="s">
        <v>569</v>
      </c>
      <c r="D301" s="663" t="s">
        <v>1753</v>
      </c>
      <c r="E301" s="662" t="s">
        <v>3374</v>
      </c>
      <c r="F301" s="663" t="s">
        <v>3375</v>
      </c>
      <c r="G301" s="662" t="s">
        <v>2658</v>
      </c>
      <c r="H301" s="662" t="s">
        <v>2659</v>
      </c>
      <c r="I301" s="664">
        <v>2.0649999999999999</v>
      </c>
      <c r="J301" s="664">
        <v>200</v>
      </c>
      <c r="K301" s="665">
        <v>413</v>
      </c>
    </row>
    <row r="302" spans="1:11" ht="14.4" customHeight="1" x14ac:dyDescent="0.3">
      <c r="A302" s="660" t="s">
        <v>552</v>
      </c>
      <c r="B302" s="661" t="s">
        <v>553</v>
      </c>
      <c r="C302" s="662" t="s">
        <v>569</v>
      </c>
      <c r="D302" s="663" t="s">
        <v>1753</v>
      </c>
      <c r="E302" s="662" t="s">
        <v>3374</v>
      </c>
      <c r="F302" s="663" t="s">
        <v>3375</v>
      </c>
      <c r="G302" s="662" t="s">
        <v>2662</v>
      </c>
      <c r="H302" s="662" t="s">
        <v>2663</v>
      </c>
      <c r="I302" s="664">
        <v>5.875</v>
      </c>
      <c r="J302" s="664">
        <v>200</v>
      </c>
      <c r="K302" s="665">
        <v>1175</v>
      </c>
    </row>
    <row r="303" spans="1:11" ht="14.4" customHeight="1" x14ac:dyDescent="0.3">
      <c r="A303" s="660" t="s">
        <v>552</v>
      </c>
      <c r="B303" s="661" t="s">
        <v>553</v>
      </c>
      <c r="C303" s="662" t="s">
        <v>569</v>
      </c>
      <c r="D303" s="663" t="s">
        <v>1753</v>
      </c>
      <c r="E303" s="662" t="s">
        <v>3374</v>
      </c>
      <c r="F303" s="663" t="s">
        <v>3375</v>
      </c>
      <c r="G303" s="662" t="s">
        <v>3034</v>
      </c>
      <c r="H303" s="662" t="s">
        <v>3035</v>
      </c>
      <c r="I303" s="664">
        <v>0.31</v>
      </c>
      <c r="J303" s="664">
        <v>5</v>
      </c>
      <c r="K303" s="665">
        <v>1.55</v>
      </c>
    </row>
    <row r="304" spans="1:11" ht="14.4" customHeight="1" x14ac:dyDescent="0.3">
      <c r="A304" s="660" t="s">
        <v>552</v>
      </c>
      <c r="B304" s="661" t="s">
        <v>553</v>
      </c>
      <c r="C304" s="662" t="s">
        <v>569</v>
      </c>
      <c r="D304" s="663" t="s">
        <v>1753</v>
      </c>
      <c r="E304" s="662" t="s">
        <v>3374</v>
      </c>
      <c r="F304" s="663" t="s">
        <v>3375</v>
      </c>
      <c r="G304" s="662" t="s">
        <v>3036</v>
      </c>
      <c r="H304" s="662" t="s">
        <v>3037</v>
      </c>
      <c r="I304" s="664">
        <v>11.74</v>
      </c>
      <c r="J304" s="664">
        <v>1</v>
      </c>
      <c r="K304" s="665">
        <v>11.74</v>
      </c>
    </row>
    <row r="305" spans="1:11" ht="14.4" customHeight="1" x14ac:dyDescent="0.3">
      <c r="A305" s="660" t="s">
        <v>552</v>
      </c>
      <c r="B305" s="661" t="s">
        <v>553</v>
      </c>
      <c r="C305" s="662" t="s">
        <v>569</v>
      </c>
      <c r="D305" s="663" t="s">
        <v>1753</v>
      </c>
      <c r="E305" s="662" t="s">
        <v>3374</v>
      </c>
      <c r="F305" s="663" t="s">
        <v>3375</v>
      </c>
      <c r="G305" s="662" t="s">
        <v>3038</v>
      </c>
      <c r="H305" s="662" t="s">
        <v>3039</v>
      </c>
      <c r="I305" s="664">
        <v>14.09</v>
      </c>
      <c r="J305" s="664">
        <v>1</v>
      </c>
      <c r="K305" s="665">
        <v>14.09</v>
      </c>
    </row>
    <row r="306" spans="1:11" ht="14.4" customHeight="1" x14ac:dyDescent="0.3">
      <c r="A306" s="660" t="s">
        <v>552</v>
      </c>
      <c r="B306" s="661" t="s">
        <v>553</v>
      </c>
      <c r="C306" s="662" t="s">
        <v>569</v>
      </c>
      <c r="D306" s="663" t="s">
        <v>1753</v>
      </c>
      <c r="E306" s="662" t="s">
        <v>3374</v>
      </c>
      <c r="F306" s="663" t="s">
        <v>3375</v>
      </c>
      <c r="G306" s="662" t="s">
        <v>3040</v>
      </c>
      <c r="H306" s="662" t="s">
        <v>3041</v>
      </c>
      <c r="I306" s="664">
        <v>7.1</v>
      </c>
      <c r="J306" s="664">
        <v>2</v>
      </c>
      <c r="K306" s="665">
        <v>14.2</v>
      </c>
    </row>
    <row r="307" spans="1:11" ht="14.4" customHeight="1" x14ac:dyDescent="0.3">
      <c r="A307" s="660" t="s">
        <v>552</v>
      </c>
      <c r="B307" s="661" t="s">
        <v>553</v>
      </c>
      <c r="C307" s="662" t="s">
        <v>569</v>
      </c>
      <c r="D307" s="663" t="s">
        <v>1753</v>
      </c>
      <c r="E307" s="662" t="s">
        <v>3374</v>
      </c>
      <c r="F307" s="663" t="s">
        <v>3375</v>
      </c>
      <c r="G307" s="662" t="s">
        <v>3042</v>
      </c>
      <c r="H307" s="662" t="s">
        <v>3043</v>
      </c>
      <c r="I307" s="664">
        <v>8.2799999999999994</v>
      </c>
      <c r="J307" s="664">
        <v>1</v>
      </c>
      <c r="K307" s="665">
        <v>8.2799999999999994</v>
      </c>
    </row>
    <row r="308" spans="1:11" ht="14.4" customHeight="1" x14ac:dyDescent="0.3">
      <c r="A308" s="660" t="s">
        <v>552</v>
      </c>
      <c r="B308" s="661" t="s">
        <v>553</v>
      </c>
      <c r="C308" s="662" t="s">
        <v>569</v>
      </c>
      <c r="D308" s="663" t="s">
        <v>1753</v>
      </c>
      <c r="E308" s="662" t="s">
        <v>3374</v>
      </c>
      <c r="F308" s="663" t="s">
        <v>3375</v>
      </c>
      <c r="G308" s="662" t="s">
        <v>3044</v>
      </c>
      <c r="H308" s="662" t="s">
        <v>3045</v>
      </c>
      <c r="I308" s="664">
        <v>5.92</v>
      </c>
      <c r="J308" s="664">
        <v>2</v>
      </c>
      <c r="K308" s="665">
        <v>11.83</v>
      </c>
    </row>
    <row r="309" spans="1:11" ht="14.4" customHeight="1" x14ac:dyDescent="0.3">
      <c r="A309" s="660" t="s">
        <v>552</v>
      </c>
      <c r="B309" s="661" t="s">
        <v>553</v>
      </c>
      <c r="C309" s="662" t="s">
        <v>569</v>
      </c>
      <c r="D309" s="663" t="s">
        <v>1753</v>
      </c>
      <c r="E309" s="662" t="s">
        <v>3374</v>
      </c>
      <c r="F309" s="663" t="s">
        <v>3375</v>
      </c>
      <c r="G309" s="662" t="s">
        <v>3046</v>
      </c>
      <c r="H309" s="662" t="s">
        <v>3047</v>
      </c>
      <c r="I309" s="664">
        <v>2.5499999999999998</v>
      </c>
      <c r="J309" s="664">
        <v>9</v>
      </c>
      <c r="K309" s="665">
        <v>22.92</v>
      </c>
    </row>
    <row r="310" spans="1:11" ht="14.4" customHeight="1" x14ac:dyDescent="0.3">
      <c r="A310" s="660" t="s">
        <v>552</v>
      </c>
      <c r="B310" s="661" t="s">
        <v>553</v>
      </c>
      <c r="C310" s="662" t="s">
        <v>569</v>
      </c>
      <c r="D310" s="663" t="s">
        <v>1753</v>
      </c>
      <c r="E310" s="662" t="s">
        <v>3374</v>
      </c>
      <c r="F310" s="663" t="s">
        <v>3375</v>
      </c>
      <c r="G310" s="662" t="s">
        <v>3048</v>
      </c>
      <c r="H310" s="662" t="s">
        <v>3049</v>
      </c>
      <c r="I310" s="664">
        <v>5.27</v>
      </c>
      <c r="J310" s="664">
        <v>10</v>
      </c>
      <c r="K310" s="665">
        <v>52.7</v>
      </c>
    </row>
    <row r="311" spans="1:11" ht="14.4" customHeight="1" x14ac:dyDescent="0.3">
      <c r="A311" s="660" t="s">
        <v>552</v>
      </c>
      <c r="B311" s="661" t="s">
        <v>553</v>
      </c>
      <c r="C311" s="662" t="s">
        <v>569</v>
      </c>
      <c r="D311" s="663" t="s">
        <v>1753</v>
      </c>
      <c r="E311" s="662" t="s">
        <v>3374</v>
      </c>
      <c r="F311" s="663" t="s">
        <v>3375</v>
      </c>
      <c r="G311" s="662" t="s">
        <v>3050</v>
      </c>
      <c r="H311" s="662" t="s">
        <v>3051</v>
      </c>
      <c r="I311" s="664">
        <v>41.17</v>
      </c>
      <c r="J311" s="664">
        <v>100</v>
      </c>
      <c r="K311" s="665">
        <v>4117</v>
      </c>
    </row>
    <row r="312" spans="1:11" ht="14.4" customHeight="1" x14ac:dyDescent="0.3">
      <c r="A312" s="660" t="s">
        <v>552</v>
      </c>
      <c r="B312" s="661" t="s">
        <v>553</v>
      </c>
      <c r="C312" s="662" t="s">
        <v>569</v>
      </c>
      <c r="D312" s="663" t="s">
        <v>1753</v>
      </c>
      <c r="E312" s="662" t="s">
        <v>3376</v>
      </c>
      <c r="F312" s="663" t="s">
        <v>3377</v>
      </c>
      <c r="G312" s="662" t="s">
        <v>3052</v>
      </c>
      <c r="H312" s="662" t="s">
        <v>3053</v>
      </c>
      <c r="I312" s="664">
        <v>6945.64</v>
      </c>
      <c r="J312" s="664">
        <v>24</v>
      </c>
      <c r="K312" s="665">
        <v>166695.4</v>
      </c>
    </row>
    <row r="313" spans="1:11" ht="14.4" customHeight="1" x14ac:dyDescent="0.3">
      <c r="A313" s="660" t="s">
        <v>552</v>
      </c>
      <c r="B313" s="661" t="s">
        <v>553</v>
      </c>
      <c r="C313" s="662" t="s">
        <v>569</v>
      </c>
      <c r="D313" s="663" t="s">
        <v>1753</v>
      </c>
      <c r="E313" s="662" t="s">
        <v>3376</v>
      </c>
      <c r="F313" s="663" t="s">
        <v>3377</v>
      </c>
      <c r="G313" s="662" t="s">
        <v>3054</v>
      </c>
      <c r="H313" s="662" t="s">
        <v>3055</v>
      </c>
      <c r="I313" s="664">
        <v>3112.18</v>
      </c>
      <c r="J313" s="664">
        <v>24</v>
      </c>
      <c r="K313" s="665">
        <v>74692.34</v>
      </c>
    </row>
    <row r="314" spans="1:11" ht="14.4" customHeight="1" x14ac:dyDescent="0.3">
      <c r="A314" s="660" t="s">
        <v>552</v>
      </c>
      <c r="B314" s="661" t="s">
        <v>553</v>
      </c>
      <c r="C314" s="662" t="s">
        <v>569</v>
      </c>
      <c r="D314" s="663" t="s">
        <v>1753</v>
      </c>
      <c r="E314" s="662" t="s">
        <v>3376</v>
      </c>
      <c r="F314" s="663" t="s">
        <v>3377</v>
      </c>
      <c r="G314" s="662" t="s">
        <v>3056</v>
      </c>
      <c r="H314" s="662" t="s">
        <v>3057</v>
      </c>
      <c r="I314" s="664">
        <v>1980.04</v>
      </c>
      <c r="J314" s="664">
        <v>40</v>
      </c>
      <c r="K314" s="665">
        <v>79201.759999999995</v>
      </c>
    </row>
    <row r="315" spans="1:11" ht="14.4" customHeight="1" x14ac:dyDescent="0.3">
      <c r="A315" s="660" t="s">
        <v>552</v>
      </c>
      <c r="B315" s="661" t="s">
        <v>553</v>
      </c>
      <c r="C315" s="662" t="s">
        <v>569</v>
      </c>
      <c r="D315" s="663" t="s">
        <v>1753</v>
      </c>
      <c r="E315" s="662" t="s">
        <v>3376</v>
      </c>
      <c r="F315" s="663" t="s">
        <v>3377</v>
      </c>
      <c r="G315" s="662" t="s">
        <v>3058</v>
      </c>
      <c r="H315" s="662" t="s">
        <v>3059</v>
      </c>
      <c r="I315" s="664">
        <v>3112.18</v>
      </c>
      <c r="J315" s="664">
        <v>26</v>
      </c>
      <c r="K315" s="665">
        <v>80916.7</v>
      </c>
    </row>
    <row r="316" spans="1:11" ht="14.4" customHeight="1" x14ac:dyDescent="0.3">
      <c r="A316" s="660" t="s">
        <v>552</v>
      </c>
      <c r="B316" s="661" t="s">
        <v>553</v>
      </c>
      <c r="C316" s="662" t="s">
        <v>569</v>
      </c>
      <c r="D316" s="663" t="s">
        <v>1753</v>
      </c>
      <c r="E316" s="662" t="s">
        <v>3376</v>
      </c>
      <c r="F316" s="663" t="s">
        <v>3377</v>
      </c>
      <c r="G316" s="662" t="s">
        <v>3060</v>
      </c>
      <c r="H316" s="662" t="s">
        <v>3061</v>
      </c>
      <c r="I316" s="664">
        <v>2280</v>
      </c>
      <c r="J316" s="664">
        <v>24</v>
      </c>
      <c r="K316" s="665">
        <v>54720.08</v>
      </c>
    </row>
    <row r="317" spans="1:11" ht="14.4" customHeight="1" x14ac:dyDescent="0.3">
      <c r="A317" s="660" t="s">
        <v>552</v>
      </c>
      <c r="B317" s="661" t="s">
        <v>553</v>
      </c>
      <c r="C317" s="662" t="s">
        <v>569</v>
      </c>
      <c r="D317" s="663" t="s">
        <v>1753</v>
      </c>
      <c r="E317" s="662" t="s">
        <v>3376</v>
      </c>
      <c r="F317" s="663" t="s">
        <v>3377</v>
      </c>
      <c r="G317" s="662" t="s">
        <v>3062</v>
      </c>
      <c r="H317" s="662" t="s">
        <v>3063</v>
      </c>
      <c r="I317" s="664">
        <v>10803</v>
      </c>
      <c r="J317" s="664">
        <v>42</v>
      </c>
      <c r="K317" s="665">
        <v>453726</v>
      </c>
    </row>
    <row r="318" spans="1:11" ht="14.4" customHeight="1" x14ac:dyDescent="0.3">
      <c r="A318" s="660" t="s">
        <v>552</v>
      </c>
      <c r="B318" s="661" t="s">
        <v>553</v>
      </c>
      <c r="C318" s="662" t="s">
        <v>569</v>
      </c>
      <c r="D318" s="663" t="s">
        <v>1753</v>
      </c>
      <c r="E318" s="662" t="s">
        <v>3376</v>
      </c>
      <c r="F318" s="663" t="s">
        <v>3377</v>
      </c>
      <c r="G318" s="662" t="s">
        <v>3064</v>
      </c>
      <c r="H318" s="662" t="s">
        <v>3065</v>
      </c>
      <c r="I318" s="664">
        <v>6685</v>
      </c>
      <c r="J318" s="664">
        <v>40</v>
      </c>
      <c r="K318" s="665">
        <v>267400</v>
      </c>
    </row>
    <row r="319" spans="1:11" ht="14.4" customHeight="1" x14ac:dyDescent="0.3">
      <c r="A319" s="660" t="s">
        <v>552</v>
      </c>
      <c r="B319" s="661" t="s">
        <v>553</v>
      </c>
      <c r="C319" s="662" t="s">
        <v>569</v>
      </c>
      <c r="D319" s="663" t="s">
        <v>1753</v>
      </c>
      <c r="E319" s="662" t="s">
        <v>3376</v>
      </c>
      <c r="F319" s="663" t="s">
        <v>3377</v>
      </c>
      <c r="G319" s="662" t="s">
        <v>3066</v>
      </c>
      <c r="H319" s="662" t="s">
        <v>3067</v>
      </c>
      <c r="I319" s="664">
        <v>37490</v>
      </c>
      <c r="J319" s="664">
        <v>4</v>
      </c>
      <c r="K319" s="665">
        <v>149960</v>
      </c>
    </row>
    <row r="320" spans="1:11" ht="14.4" customHeight="1" x14ac:dyDescent="0.3">
      <c r="A320" s="660" t="s">
        <v>552</v>
      </c>
      <c r="B320" s="661" t="s">
        <v>553</v>
      </c>
      <c r="C320" s="662" t="s">
        <v>569</v>
      </c>
      <c r="D320" s="663" t="s">
        <v>1753</v>
      </c>
      <c r="E320" s="662" t="s">
        <v>3376</v>
      </c>
      <c r="F320" s="663" t="s">
        <v>3377</v>
      </c>
      <c r="G320" s="662" t="s">
        <v>3068</v>
      </c>
      <c r="H320" s="662" t="s">
        <v>3069</v>
      </c>
      <c r="I320" s="664">
        <v>8701.11</v>
      </c>
      <c r="J320" s="664">
        <v>9</v>
      </c>
      <c r="K320" s="665">
        <v>78309.990000000005</v>
      </c>
    </row>
    <row r="321" spans="1:11" ht="14.4" customHeight="1" x14ac:dyDescent="0.3">
      <c r="A321" s="660" t="s">
        <v>552</v>
      </c>
      <c r="B321" s="661" t="s">
        <v>553</v>
      </c>
      <c r="C321" s="662" t="s">
        <v>569</v>
      </c>
      <c r="D321" s="663" t="s">
        <v>1753</v>
      </c>
      <c r="E321" s="662" t="s">
        <v>3376</v>
      </c>
      <c r="F321" s="663" t="s">
        <v>3377</v>
      </c>
      <c r="G321" s="662" t="s">
        <v>3070</v>
      </c>
      <c r="H321" s="662" t="s">
        <v>3071</v>
      </c>
      <c r="I321" s="664">
        <v>16701.63</v>
      </c>
      <c r="J321" s="664">
        <v>9</v>
      </c>
      <c r="K321" s="665">
        <v>150314.67000000001</v>
      </c>
    </row>
    <row r="322" spans="1:11" ht="14.4" customHeight="1" x14ac:dyDescent="0.3">
      <c r="A322" s="660" t="s">
        <v>552</v>
      </c>
      <c r="B322" s="661" t="s">
        <v>553</v>
      </c>
      <c r="C322" s="662" t="s">
        <v>569</v>
      </c>
      <c r="D322" s="663" t="s">
        <v>1753</v>
      </c>
      <c r="E322" s="662" t="s">
        <v>3376</v>
      </c>
      <c r="F322" s="663" t="s">
        <v>3377</v>
      </c>
      <c r="G322" s="662" t="s">
        <v>3072</v>
      </c>
      <c r="H322" s="662" t="s">
        <v>3073</v>
      </c>
      <c r="I322" s="664">
        <v>1212.42</v>
      </c>
      <c r="J322" s="664">
        <v>15</v>
      </c>
      <c r="K322" s="665">
        <v>18186.300000000003</v>
      </c>
    </row>
    <row r="323" spans="1:11" ht="14.4" customHeight="1" x14ac:dyDescent="0.3">
      <c r="A323" s="660" t="s">
        <v>552</v>
      </c>
      <c r="B323" s="661" t="s">
        <v>553</v>
      </c>
      <c r="C323" s="662" t="s">
        <v>569</v>
      </c>
      <c r="D323" s="663" t="s">
        <v>1753</v>
      </c>
      <c r="E323" s="662" t="s">
        <v>3376</v>
      </c>
      <c r="F323" s="663" t="s">
        <v>3377</v>
      </c>
      <c r="G323" s="662" t="s">
        <v>3074</v>
      </c>
      <c r="H323" s="662" t="s">
        <v>3075</v>
      </c>
      <c r="I323" s="664">
        <v>652.91999999999996</v>
      </c>
      <c r="J323" s="664">
        <v>40</v>
      </c>
      <c r="K323" s="665">
        <v>26116.639999999999</v>
      </c>
    </row>
    <row r="324" spans="1:11" ht="14.4" customHeight="1" x14ac:dyDescent="0.3">
      <c r="A324" s="660" t="s">
        <v>552</v>
      </c>
      <c r="B324" s="661" t="s">
        <v>553</v>
      </c>
      <c r="C324" s="662" t="s">
        <v>569</v>
      </c>
      <c r="D324" s="663" t="s">
        <v>1753</v>
      </c>
      <c r="E324" s="662" t="s">
        <v>3376</v>
      </c>
      <c r="F324" s="663" t="s">
        <v>3377</v>
      </c>
      <c r="G324" s="662" t="s">
        <v>2874</v>
      </c>
      <c r="H324" s="662" t="s">
        <v>2875</v>
      </c>
      <c r="I324" s="664">
        <v>26.02</v>
      </c>
      <c r="J324" s="664">
        <v>40</v>
      </c>
      <c r="K324" s="665">
        <v>1040.8</v>
      </c>
    </row>
    <row r="325" spans="1:11" ht="14.4" customHeight="1" x14ac:dyDescent="0.3">
      <c r="A325" s="660" t="s">
        <v>552</v>
      </c>
      <c r="B325" s="661" t="s">
        <v>553</v>
      </c>
      <c r="C325" s="662" t="s">
        <v>569</v>
      </c>
      <c r="D325" s="663" t="s">
        <v>1753</v>
      </c>
      <c r="E325" s="662" t="s">
        <v>3376</v>
      </c>
      <c r="F325" s="663" t="s">
        <v>3377</v>
      </c>
      <c r="G325" s="662" t="s">
        <v>2876</v>
      </c>
      <c r="H325" s="662" t="s">
        <v>2877</v>
      </c>
      <c r="I325" s="664">
        <v>2.9299999999999997</v>
      </c>
      <c r="J325" s="664">
        <v>40</v>
      </c>
      <c r="K325" s="665">
        <v>118.6</v>
      </c>
    </row>
    <row r="326" spans="1:11" ht="14.4" customHeight="1" x14ac:dyDescent="0.3">
      <c r="A326" s="660" t="s">
        <v>552</v>
      </c>
      <c r="B326" s="661" t="s">
        <v>553</v>
      </c>
      <c r="C326" s="662" t="s">
        <v>569</v>
      </c>
      <c r="D326" s="663" t="s">
        <v>1753</v>
      </c>
      <c r="E326" s="662" t="s">
        <v>3376</v>
      </c>
      <c r="F326" s="663" t="s">
        <v>3377</v>
      </c>
      <c r="G326" s="662" t="s">
        <v>2704</v>
      </c>
      <c r="H326" s="662" t="s">
        <v>2705</v>
      </c>
      <c r="I326" s="664">
        <v>11.145</v>
      </c>
      <c r="J326" s="664">
        <v>300</v>
      </c>
      <c r="K326" s="665">
        <v>3343.5</v>
      </c>
    </row>
    <row r="327" spans="1:11" ht="14.4" customHeight="1" x14ac:dyDescent="0.3">
      <c r="A327" s="660" t="s">
        <v>552</v>
      </c>
      <c r="B327" s="661" t="s">
        <v>553</v>
      </c>
      <c r="C327" s="662" t="s">
        <v>569</v>
      </c>
      <c r="D327" s="663" t="s">
        <v>1753</v>
      </c>
      <c r="E327" s="662" t="s">
        <v>3376</v>
      </c>
      <c r="F327" s="663" t="s">
        <v>3377</v>
      </c>
      <c r="G327" s="662" t="s">
        <v>3076</v>
      </c>
      <c r="H327" s="662" t="s">
        <v>3077</v>
      </c>
      <c r="I327" s="664">
        <v>9.83</v>
      </c>
      <c r="J327" s="664">
        <v>200</v>
      </c>
      <c r="K327" s="665">
        <v>1966</v>
      </c>
    </row>
    <row r="328" spans="1:11" ht="14.4" customHeight="1" x14ac:dyDescent="0.3">
      <c r="A328" s="660" t="s">
        <v>552</v>
      </c>
      <c r="B328" s="661" t="s">
        <v>553</v>
      </c>
      <c r="C328" s="662" t="s">
        <v>569</v>
      </c>
      <c r="D328" s="663" t="s">
        <v>1753</v>
      </c>
      <c r="E328" s="662" t="s">
        <v>3376</v>
      </c>
      <c r="F328" s="663" t="s">
        <v>3377</v>
      </c>
      <c r="G328" s="662" t="s">
        <v>2706</v>
      </c>
      <c r="H328" s="662" t="s">
        <v>2707</v>
      </c>
      <c r="I328" s="664">
        <v>1.0900000000000001</v>
      </c>
      <c r="J328" s="664">
        <v>1400</v>
      </c>
      <c r="K328" s="665">
        <v>1526</v>
      </c>
    </row>
    <row r="329" spans="1:11" ht="14.4" customHeight="1" x14ac:dyDescent="0.3">
      <c r="A329" s="660" t="s">
        <v>552</v>
      </c>
      <c r="B329" s="661" t="s">
        <v>553</v>
      </c>
      <c r="C329" s="662" t="s">
        <v>569</v>
      </c>
      <c r="D329" s="663" t="s">
        <v>1753</v>
      </c>
      <c r="E329" s="662" t="s">
        <v>3376</v>
      </c>
      <c r="F329" s="663" t="s">
        <v>3377</v>
      </c>
      <c r="G329" s="662" t="s">
        <v>2708</v>
      </c>
      <c r="H329" s="662" t="s">
        <v>2709</v>
      </c>
      <c r="I329" s="664">
        <v>1.6749999999999998</v>
      </c>
      <c r="J329" s="664">
        <v>600</v>
      </c>
      <c r="K329" s="665">
        <v>1005</v>
      </c>
    </row>
    <row r="330" spans="1:11" ht="14.4" customHeight="1" x14ac:dyDescent="0.3">
      <c r="A330" s="660" t="s">
        <v>552</v>
      </c>
      <c r="B330" s="661" t="s">
        <v>553</v>
      </c>
      <c r="C330" s="662" t="s">
        <v>569</v>
      </c>
      <c r="D330" s="663" t="s">
        <v>1753</v>
      </c>
      <c r="E330" s="662" t="s">
        <v>3376</v>
      </c>
      <c r="F330" s="663" t="s">
        <v>3377</v>
      </c>
      <c r="G330" s="662" t="s">
        <v>2710</v>
      </c>
      <c r="H330" s="662" t="s">
        <v>2711</v>
      </c>
      <c r="I330" s="664">
        <v>0.48</v>
      </c>
      <c r="J330" s="664">
        <v>1400</v>
      </c>
      <c r="K330" s="665">
        <v>672</v>
      </c>
    </row>
    <row r="331" spans="1:11" ht="14.4" customHeight="1" x14ac:dyDescent="0.3">
      <c r="A331" s="660" t="s">
        <v>552</v>
      </c>
      <c r="B331" s="661" t="s">
        <v>553</v>
      </c>
      <c r="C331" s="662" t="s">
        <v>569</v>
      </c>
      <c r="D331" s="663" t="s">
        <v>1753</v>
      </c>
      <c r="E331" s="662" t="s">
        <v>3376</v>
      </c>
      <c r="F331" s="663" t="s">
        <v>3377</v>
      </c>
      <c r="G331" s="662" t="s">
        <v>2878</v>
      </c>
      <c r="H331" s="662" t="s">
        <v>2879</v>
      </c>
      <c r="I331" s="664">
        <v>0.67</v>
      </c>
      <c r="J331" s="664">
        <v>800</v>
      </c>
      <c r="K331" s="665">
        <v>536</v>
      </c>
    </row>
    <row r="332" spans="1:11" ht="14.4" customHeight="1" x14ac:dyDescent="0.3">
      <c r="A332" s="660" t="s">
        <v>552</v>
      </c>
      <c r="B332" s="661" t="s">
        <v>553</v>
      </c>
      <c r="C332" s="662" t="s">
        <v>569</v>
      </c>
      <c r="D332" s="663" t="s">
        <v>1753</v>
      </c>
      <c r="E332" s="662" t="s">
        <v>3376</v>
      </c>
      <c r="F332" s="663" t="s">
        <v>3377</v>
      </c>
      <c r="G332" s="662" t="s">
        <v>3078</v>
      </c>
      <c r="H332" s="662" t="s">
        <v>3079</v>
      </c>
      <c r="I332" s="664">
        <v>22.53</v>
      </c>
      <c r="J332" s="664">
        <v>8</v>
      </c>
      <c r="K332" s="665">
        <v>180.24</v>
      </c>
    </row>
    <row r="333" spans="1:11" ht="14.4" customHeight="1" x14ac:dyDescent="0.3">
      <c r="A333" s="660" t="s">
        <v>552</v>
      </c>
      <c r="B333" s="661" t="s">
        <v>553</v>
      </c>
      <c r="C333" s="662" t="s">
        <v>569</v>
      </c>
      <c r="D333" s="663" t="s">
        <v>1753</v>
      </c>
      <c r="E333" s="662" t="s">
        <v>3376</v>
      </c>
      <c r="F333" s="663" t="s">
        <v>3377</v>
      </c>
      <c r="G333" s="662" t="s">
        <v>3080</v>
      </c>
      <c r="H333" s="662" t="s">
        <v>3081</v>
      </c>
      <c r="I333" s="664">
        <v>824.01</v>
      </c>
      <c r="J333" s="664">
        <v>50</v>
      </c>
      <c r="K333" s="665">
        <v>41200.5</v>
      </c>
    </row>
    <row r="334" spans="1:11" ht="14.4" customHeight="1" x14ac:dyDescent="0.3">
      <c r="A334" s="660" t="s">
        <v>552</v>
      </c>
      <c r="B334" s="661" t="s">
        <v>553</v>
      </c>
      <c r="C334" s="662" t="s">
        <v>569</v>
      </c>
      <c r="D334" s="663" t="s">
        <v>1753</v>
      </c>
      <c r="E334" s="662" t="s">
        <v>3376</v>
      </c>
      <c r="F334" s="663" t="s">
        <v>3377</v>
      </c>
      <c r="G334" s="662" t="s">
        <v>2718</v>
      </c>
      <c r="H334" s="662" t="s">
        <v>2719</v>
      </c>
      <c r="I334" s="664">
        <v>50.82</v>
      </c>
      <c r="J334" s="664">
        <v>60</v>
      </c>
      <c r="K334" s="665">
        <v>3049.2</v>
      </c>
    </row>
    <row r="335" spans="1:11" ht="14.4" customHeight="1" x14ac:dyDescent="0.3">
      <c r="A335" s="660" t="s">
        <v>552</v>
      </c>
      <c r="B335" s="661" t="s">
        <v>553</v>
      </c>
      <c r="C335" s="662" t="s">
        <v>569</v>
      </c>
      <c r="D335" s="663" t="s">
        <v>1753</v>
      </c>
      <c r="E335" s="662" t="s">
        <v>3376</v>
      </c>
      <c r="F335" s="663" t="s">
        <v>3377</v>
      </c>
      <c r="G335" s="662" t="s">
        <v>2884</v>
      </c>
      <c r="H335" s="662" t="s">
        <v>2885</v>
      </c>
      <c r="I335" s="664">
        <v>80.574999999999989</v>
      </c>
      <c r="J335" s="664">
        <v>160</v>
      </c>
      <c r="K335" s="665">
        <v>12892</v>
      </c>
    </row>
    <row r="336" spans="1:11" ht="14.4" customHeight="1" x14ac:dyDescent="0.3">
      <c r="A336" s="660" t="s">
        <v>552</v>
      </c>
      <c r="B336" s="661" t="s">
        <v>553</v>
      </c>
      <c r="C336" s="662" t="s">
        <v>569</v>
      </c>
      <c r="D336" s="663" t="s">
        <v>1753</v>
      </c>
      <c r="E336" s="662" t="s">
        <v>3376</v>
      </c>
      <c r="F336" s="663" t="s">
        <v>3377</v>
      </c>
      <c r="G336" s="662" t="s">
        <v>3082</v>
      </c>
      <c r="H336" s="662" t="s">
        <v>3083</v>
      </c>
      <c r="I336" s="664">
        <v>139.15</v>
      </c>
      <c r="J336" s="664">
        <v>405</v>
      </c>
      <c r="K336" s="665">
        <v>56355.75</v>
      </c>
    </row>
    <row r="337" spans="1:11" ht="14.4" customHeight="1" x14ac:dyDescent="0.3">
      <c r="A337" s="660" t="s">
        <v>552</v>
      </c>
      <c r="B337" s="661" t="s">
        <v>553</v>
      </c>
      <c r="C337" s="662" t="s">
        <v>569</v>
      </c>
      <c r="D337" s="663" t="s">
        <v>1753</v>
      </c>
      <c r="E337" s="662" t="s">
        <v>3376</v>
      </c>
      <c r="F337" s="663" t="s">
        <v>3377</v>
      </c>
      <c r="G337" s="662" t="s">
        <v>3084</v>
      </c>
      <c r="H337" s="662" t="s">
        <v>3085</v>
      </c>
      <c r="I337" s="664">
        <v>191.51</v>
      </c>
      <c r="J337" s="664">
        <v>108</v>
      </c>
      <c r="K337" s="665">
        <v>20682.75</v>
      </c>
    </row>
    <row r="338" spans="1:11" ht="14.4" customHeight="1" x14ac:dyDescent="0.3">
      <c r="A338" s="660" t="s">
        <v>552</v>
      </c>
      <c r="B338" s="661" t="s">
        <v>553</v>
      </c>
      <c r="C338" s="662" t="s">
        <v>569</v>
      </c>
      <c r="D338" s="663" t="s">
        <v>1753</v>
      </c>
      <c r="E338" s="662" t="s">
        <v>3376</v>
      </c>
      <c r="F338" s="663" t="s">
        <v>3377</v>
      </c>
      <c r="G338" s="662" t="s">
        <v>2890</v>
      </c>
      <c r="H338" s="662" t="s">
        <v>2891</v>
      </c>
      <c r="I338" s="664">
        <v>61.105000000000004</v>
      </c>
      <c r="J338" s="664">
        <v>120</v>
      </c>
      <c r="K338" s="665">
        <v>7332.7</v>
      </c>
    </row>
    <row r="339" spans="1:11" ht="14.4" customHeight="1" x14ac:dyDescent="0.3">
      <c r="A339" s="660" t="s">
        <v>552</v>
      </c>
      <c r="B339" s="661" t="s">
        <v>553</v>
      </c>
      <c r="C339" s="662" t="s">
        <v>569</v>
      </c>
      <c r="D339" s="663" t="s">
        <v>1753</v>
      </c>
      <c r="E339" s="662" t="s">
        <v>3376</v>
      </c>
      <c r="F339" s="663" t="s">
        <v>3377</v>
      </c>
      <c r="G339" s="662" t="s">
        <v>2892</v>
      </c>
      <c r="H339" s="662" t="s">
        <v>2893</v>
      </c>
      <c r="I339" s="664">
        <v>45.13</v>
      </c>
      <c r="J339" s="664">
        <v>80</v>
      </c>
      <c r="K339" s="665">
        <v>3610.42</v>
      </c>
    </row>
    <row r="340" spans="1:11" ht="14.4" customHeight="1" x14ac:dyDescent="0.3">
      <c r="A340" s="660" t="s">
        <v>552</v>
      </c>
      <c r="B340" s="661" t="s">
        <v>553</v>
      </c>
      <c r="C340" s="662" t="s">
        <v>569</v>
      </c>
      <c r="D340" s="663" t="s">
        <v>1753</v>
      </c>
      <c r="E340" s="662" t="s">
        <v>3376</v>
      </c>
      <c r="F340" s="663" t="s">
        <v>3377</v>
      </c>
      <c r="G340" s="662" t="s">
        <v>3086</v>
      </c>
      <c r="H340" s="662" t="s">
        <v>3087</v>
      </c>
      <c r="I340" s="664">
        <v>75.87</v>
      </c>
      <c r="J340" s="664">
        <v>10</v>
      </c>
      <c r="K340" s="665">
        <v>758.67</v>
      </c>
    </row>
    <row r="341" spans="1:11" ht="14.4" customHeight="1" x14ac:dyDescent="0.3">
      <c r="A341" s="660" t="s">
        <v>552</v>
      </c>
      <c r="B341" s="661" t="s">
        <v>553</v>
      </c>
      <c r="C341" s="662" t="s">
        <v>569</v>
      </c>
      <c r="D341" s="663" t="s">
        <v>1753</v>
      </c>
      <c r="E341" s="662" t="s">
        <v>3376</v>
      </c>
      <c r="F341" s="663" t="s">
        <v>3377</v>
      </c>
      <c r="G341" s="662" t="s">
        <v>3088</v>
      </c>
      <c r="H341" s="662" t="s">
        <v>3089</v>
      </c>
      <c r="I341" s="664">
        <v>699.38</v>
      </c>
      <c r="J341" s="664">
        <v>10</v>
      </c>
      <c r="K341" s="665">
        <v>6993.8</v>
      </c>
    </row>
    <row r="342" spans="1:11" ht="14.4" customHeight="1" x14ac:dyDescent="0.3">
      <c r="A342" s="660" t="s">
        <v>552</v>
      </c>
      <c r="B342" s="661" t="s">
        <v>553</v>
      </c>
      <c r="C342" s="662" t="s">
        <v>569</v>
      </c>
      <c r="D342" s="663" t="s">
        <v>1753</v>
      </c>
      <c r="E342" s="662" t="s">
        <v>3376</v>
      </c>
      <c r="F342" s="663" t="s">
        <v>3377</v>
      </c>
      <c r="G342" s="662" t="s">
        <v>2894</v>
      </c>
      <c r="H342" s="662" t="s">
        <v>2895</v>
      </c>
      <c r="I342" s="664">
        <v>2.7850000000000001</v>
      </c>
      <c r="J342" s="664">
        <v>690</v>
      </c>
      <c r="K342" s="665">
        <v>1922.1</v>
      </c>
    </row>
    <row r="343" spans="1:11" ht="14.4" customHeight="1" x14ac:dyDescent="0.3">
      <c r="A343" s="660" t="s">
        <v>552</v>
      </c>
      <c r="B343" s="661" t="s">
        <v>553</v>
      </c>
      <c r="C343" s="662" t="s">
        <v>569</v>
      </c>
      <c r="D343" s="663" t="s">
        <v>1753</v>
      </c>
      <c r="E343" s="662" t="s">
        <v>3376</v>
      </c>
      <c r="F343" s="663" t="s">
        <v>3377</v>
      </c>
      <c r="G343" s="662" t="s">
        <v>3090</v>
      </c>
      <c r="H343" s="662" t="s">
        <v>3091</v>
      </c>
      <c r="I343" s="664">
        <v>140.12</v>
      </c>
      <c r="J343" s="664">
        <v>20</v>
      </c>
      <c r="K343" s="665">
        <v>2802.36</v>
      </c>
    </row>
    <row r="344" spans="1:11" ht="14.4" customHeight="1" x14ac:dyDescent="0.3">
      <c r="A344" s="660" t="s">
        <v>552</v>
      </c>
      <c r="B344" s="661" t="s">
        <v>553</v>
      </c>
      <c r="C344" s="662" t="s">
        <v>569</v>
      </c>
      <c r="D344" s="663" t="s">
        <v>1753</v>
      </c>
      <c r="E344" s="662" t="s">
        <v>3376</v>
      </c>
      <c r="F344" s="663" t="s">
        <v>3377</v>
      </c>
      <c r="G344" s="662" t="s">
        <v>3092</v>
      </c>
      <c r="H344" s="662" t="s">
        <v>3093</v>
      </c>
      <c r="I344" s="664">
        <v>824.01</v>
      </c>
      <c r="J344" s="664">
        <v>50</v>
      </c>
      <c r="K344" s="665">
        <v>41200.5</v>
      </c>
    </row>
    <row r="345" spans="1:11" ht="14.4" customHeight="1" x14ac:dyDescent="0.3">
      <c r="A345" s="660" t="s">
        <v>552</v>
      </c>
      <c r="B345" s="661" t="s">
        <v>553</v>
      </c>
      <c r="C345" s="662" t="s">
        <v>569</v>
      </c>
      <c r="D345" s="663" t="s">
        <v>1753</v>
      </c>
      <c r="E345" s="662" t="s">
        <v>3376</v>
      </c>
      <c r="F345" s="663" t="s">
        <v>3377</v>
      </c>
      <c r="G345" s="662" t="s">
        <v>3094</v>
      </c>
      <c r="H345" s="662" t="s">
        <v>3095</v>
      </c>
      <c r="I345" s="664">
        <v>699.38</v>
      </c>
      <c r="J345" s="664">
        <v>10</v>
      </c>
      <c r="K345" s="665">
        <v>6993.8</v>
      </c>
    </row>
    <row r="346" spans="1:11" ht="14.4" customHeight="1" x14ac:dyDescent="0.3">
      <c r="A346" s="660" t="s">
        <v>552</v>
      </c>
      <c r="B346" s="661" t="s">
        <v>553</v>
      </c>
      <c r="C346" s="662" t="s">
        <v>569</v>
      </c>
      <c r="D346" s="663" t="s">
        <v>1753</v>
      </c>
      <c r="E346" s="662" t="s">
        <v>3376</v>
      </c>
      <c r="F346" s="663" t="s">
        <v>3377</v>
      </c>
      <c r="G346" s="662" t="s">
        <v>3096</v>
      </c>
      <c r="H346" s="662" t="s">
        <v>3097</v>
      </c>
      <c r="I346" s="664">
        <v>156.19999999999999</v>
      </c>
      <c r="J346" s="664">
        <v>100</v>
      </c>
      <c r="K346" s="665">
        <v>15619.79</v>
      </c>
    </row>
    <row r="347" spans="1:11" ht="14.4" customHeight="1" x14ac:dyDescent="0.3">
      <c r="A347" s="660" t="s">
        <v>552</v>
      </c>
      <c r="B347" s="661" t="s">
        <v>553</v>
      </c>
      <c r="C347" s="662" t="s">
        <v>569</v>
      </c>
      <c r="D347" s="663" t="s">
        <v>1753</v>
      </c>
      <c r="E347" s="662" t="s">
        <v>3376</v>
      </c>
      <c r="F347" s="663" t="s">
        <v>3377</v>
      </c>
      <c r="G347" s="662" t="s">
        <v>3098</v>
      </c>
      <c r="H347" s="662" t="s">
        <v>3099</v>
      </c>
      <c r="I347" s="664">
        <v>105.27</v>
      </c>
      <c r="J347" s="664">
        <v>75</v>
      </c>
      <c r="K347" s="665">
        <v>7895.25</v>
      </c>
    </row>
    <row r="348" spans="1:11" ht="14.4" customHeight="1" x14ac:dyDescent="0.3">
      <c r="A348" s="660" t="s">
        <v>552</v>
      </c>
      <c r="B348" s="661" t="s">
        <v>553</v>
      </c>
      <c r="C348" s="662" t="s">
        <v>569</v>
      </c>
      <c r="D348" s="663" t="s">
        <v>1753</v>
      </c>
      <c r="E348" s="662" t="s">
        <v>3376</v>
      </c>
      <c r="F348" s="663" t="s">
        <v>3377</v>
      </c>
      <c r="G348" s="662" t="s">
        <v>3100</v>
      </c>
      <c r="H348" s="662" t="s">
        <v>3101</v>
      </c>
      <c r="I348" s="664">
        <v>34</v>
      </c>
      <c r="J348" s="664">
        <v>150</v>
      </c>
      <c r="K348" s="665">
        <v>5100</v>
      </c>
    </row>
    <row r="349" spans="1:11" ht="14.4" customHeight="1" x14ac:dyDescent="0.3">
      <c r="A349" s="660" t="s">
        <v>552</v>
      </c>
      <c r="B349" s="661" t="s">
        <v>553</v>
      </c>
      <c r="C349" s="662" t="s">
        <v>569</v>
      </c>
      <c r="D349" s="663" t="s">
        <v>1753</v>
      </c>
      <c r="E349" s="662" t="s">
        <v>3376</v>
      </c>
      <c r="F349" s="663" t="s">
        <v>3377</v>
      </c>
      <c r="G349" s="662" t="s">
        <v>2898</v>
      </c>
      <c r="H349" s="662" t="s">
        <v>2899</v>
      </c>
      <c r="I349" s="664">
        <v>9.68</v>
      </c>
      <c r="J349" s="664">
        <v>120</v>
      </c>
      <c r="K349" s="665">
        <v>1161.5999999999999</v>
      </c>
    </row>
    <row r="350" spans="1:11" ht="14.4" customHeight="1" x14ac:dyDescent="0.3">
      <c r="A350" s="660" t="s">
        <v>552</v>
      </c>
      <c r="B350" s="661" t="s">
        <v>553</v>
      </c>
      <c r="C350" s="662" t="s">
        <v>569</v>
      </c>
      <c r="D350" s="663" t="s">
        <v>1753</v>
      </c>
      <c r="E350" s="662" t="s">
        <v>3376</v>
      </c>
      <c r="F350" s="663" t="s">
        <v>3377</v>
      </c>
      <c r="G350" s="662" t="s">
        <v>2726</v>
      </c>
      <c r="H350" s="662" t="s">
        <v>2727</v>
      </c>
      <c r="I350" s="664">
        <v>26.01</v>
      </c>
      <c r="J350" s="664">
        <v>160</v>
      </c>
      <c r="K350" s="665">
        <v>4162.2</v>
      </c>
    </row>
    <row r="351" spans="1:11" ht="14.4" customHeight="1" x14ac:dyDescent="0.3">
      <c r="A351" s="660" t="s">
        <v>552</v>
      </c>
      <c r="B351" s="661" t="s">
        <v>553</v>
      </c>
      <c r="C351" s="662" t="s">
        <v>569</v>
      </c>
      <c r="D351" s="663" t="s">
        <v>1753</v>
      </c>
      <c r="E351" s="662" t="s">
        <v>3376</v>
      </c>
      <c r="F351" s="663" t="s">
        <v>3377</v>
      </c>
      <c r="G351" s="662" t="s">
        <v>3102</v>
      </c>
      <c r="H351" s="662" t="s">
        <v>3103</v>
      </c>
      <c r="I351" s="664">
        <v>26.015000000000001</v>
      </c>
      <c r="J351" s="664">
        <v>125</v>
      </c>
      <c r="K351" s="665">
        <v>3251.8999999999996</v>
      </c>
    </row>
    <row r="352" spans="1:11" ht="14.4" customHeight="1" x14ac:dyDescent="0.3">
      <c r="A352" s="660" t="s">
        <v>552</v>
      </c>
      <c r="B352" s="661" t="s">
        <v>553</v>
      </c>
      <c r="C352" s="662" t="s">
        <v>569</v>
      </c>
      <c r="D352" s="663" t="s">
        <v>1753</v>
      </c>
      <c r="E352" s="662" t="s">
        <v>3376</v>
      </c>
      <c r="F352" s="663" t="s">
        <v>3377</v>
      </c>
      <c r="G352" s="662" t="s">
        <v>3104</v>
      </c>
      <c r="H352" s="662" t="s">
        <v>3105</v>
      </c>
      <c r="I352" s="664">
        <v>4.2300000000000004</v>
      </c>
      <c r="J352" s="664">
        <v>50</v>
      </c>
      <c r="K352" s="665">
        <v>211.5</v>
      </c>
    </row>
    <row r="353" spans="1:11" ht="14.4" customHeight="1" x14ac:dyDescent="0.3">
      <c r="A353" s="660" t="s">
        <v>552</v>
      </c>
      <c r="B353" s="661" t="s">
        <v>553</v>
      </c>
      <c r="C353" s="662" t="s">
        <v>569</v>
      </c>
      <c r="D353" s="663" t="s">
        <v>1753</v>
      </c>
      <c r="E353" s="662" t="s">
        <v>3376</v>
      </c>
      <c r="F353" s="663" t="s">
        <v>3377</v>
      </c>
      <c r="G353" s="662" t="s">
        <v>2904</v>
      </c>
      <c r="H353" s="662" t="s">
        <v>2905</v>
      </c>
      <c r="I353" s="664">
        <v>7.16</v>
      </c>
      <c r="J353" s="664">
        <v>200</v>
      </c>
      <c r="K353" s="665">
        <v>1432</v>
      </c>
    </row>
    <row r="354" spans="1:11" ht="14.4" customHeight="1" x14ac:dyDescent="0.3">
      <c r="A354" s="660" t="s">
        <v>552</v>
      </c>
      <c r="B354" s="661" t="s">
        <v>553</v>
      </c>
      <c r="C354" s="662" t="s">
        <v>569</v>
      </c>
      <c r="D354" s="663" t="s">
        <v>1753</v>
      </c>
      <c r="E354" s="662" t="s">
        <v>3376</v>
      </c>
      <c r="F354" s="663" t="s">
        <v>3377</v>
      </c>
      <c r="G354" s="662" t="s">
        <v>3106</v>
      </c>
      <c r="H354" s="662" t="s">
        <v>3107</v>
      </c>
      <c r="I354" s="664">
        <v>878.46</v>
      </c>
      <c r="J354" s="664">
        <v>21</v>
      </c>
      <c r="K354" s="665">
        <v>18447.660000000003</v>
      </c>
    </row>
    <row r="355" spans="1:11" ht="14.4" customHeight="1" x14ac:dyDescent="0.3">
      <c r="A355" s="660" t="s">
        <v>552</v>
      </c>
      <c r="B355" s="661" t="s">
        <v>553</v>
      </c>
      <c r="C355" s="662" t="s">
        <v>569</v>
      </c>
      <c r="D355" s="663" t="s">
        <v>1753</v>
      </c>
      <c r="E355" s="662" t="s">
        <v>3376</v>
      </c>
      <c r="F355" s="663" t="s">
        <v>3377</v>
      </c>
      <c r="G355" s="662" t="s">
        <v>3108</v>
      </c>
      <c r="H355" s="662" t="s">
        <v>3109</v>
      </c>
      <c r="I355" s="664">
        <v>587.72</v>
      </c>
      <c r="J355" s="664">
        <v>72</v>
      </c>
      <c r="K355" s="665">
        <v>42315.98</v>
      </c>
    </row>
    <row r="356" spans="1:11" ht="14.4" customHeight="1" x14ac:dyDescent="0.3">
      <c r="A356" s="660" t="s">
        <v>552</v>
      </c>
      <c r="B356" s="661" t="s">
        <v>553</v>
      </c>
      <c r="C356" s="662" t="s">
        <v>569</v>
      </c>
      <c r="D356" s="663" t="s">
        <v>1753</v>
      </c>
      <c r="E356" s="662" t="s">
        <v>3376</v>
      </c>
      <c r="F356" s="663" t="s">
        <v>3377</v>
      </c>
      <c r="G356" s="662" t="s">
        <v>3110</v>
      </c>
      <c r="H356" s="662" t="s">
        <v>3111</v>
      </c>
      <c r="I356" s="664">
        <v>653.4</v>
      </c>
      <c r="J356" s="664">
        <v>10</v>
      </c>
      <c r="K356" s="665">
        <v>6534</v>
      </c>
    </row>
    <row r="357" spans="1:11" ht="14.4" customHeight="1" x14ac:dyDescent="0.3">
      <c r="A357" s="660" t="s">
        <v>552</v>
      </c>
      <c r="B357" s="661" t="s">
        <v>553</v>
      </c>
      <c r="C357" s="662" t="s">
        <v>569</v>
      </c>
      <c r="D357" s="663" t="s">
        <v>1753</v>
      </c>
      <c r="E357" s="662" t="s">
        <v>3376</v>
      </c>
      <c r="F357" s="663" t="s">
        <v>3377</v>
      </c>
      <c r="G357" s="662" t="s">
        <v>2906</v>
      </c>
      <c r="H357" s="662" t="s">
        <v>2907</v>
      </c>
      <c r="I357" s="664">
        <v>1249.67</v>
      </c>
      <c r="J357" s="664">
        <v>6</v>
      </c>
      <c r="K357" s="665">
        <v>7498.01</v>
      </c>
    </row>
    <row r="358" spans="1:11" ht="14.4" customHeight="1" x14ac:dyDescent="0.3">
      <c r="A358" s="660" t="s">
        <v>552</v>
      </c>
      <c r="B358" s="661" t="s">
        <v>553</v>
      </c>
      <c r="C358" s="662" t="s">
        <v>569</v>
      </c>
      <c r="D358" s="663" t="s">
        <v>1753</v>
      </c>
      <c r="E358" s="662" t="s">
        <v>3376</v>
      </c>
      <c r="F358" s="663" t="s">
        <v>3377</v>
      </c>
      <c r="G358" s="662" t="s">
        <v>2910</v>
      </c>
      <c r="H358" s="662" t="s">
        <v>2911</v>
      </c>
      <c r="I358" s="664">
        <v>21.22</v>
      </c>
      <c r="J358" s="664">
        <v>125</v>
      </c>
      <c r="K358" s="665">
        <v>2652.76</v>
      </c>
    </row>
    <row r="359" spans="1:11" ht="14.4" customHeight="1" x14ac:dyDescent="0.3">
      <c r="A359" s="660" t="s">
        <v>552</v>
      </c>
      <c r="B359" s="661" t="s">
        <v>553</v>
      </c>
      <c r="C359" s="662" t="s">
        <v>569</v>
      </c>
      <c r="D359" s="663" t="s">
        <v>1753</v>
      </c>
      <c r="E359" s="662" t="s">
        <v>3376</v>
      </c>
      <c r="F359" s="663" t="s">
        <v>3377</v>
      </c>
      <c r="G359" s="662" t="s">
        <v>3112</v>
      </c>
      <c r="H359" s="662" t="s">
        <v>3113</v>
      </c>
      <c r="I359" s="664">
        <v>2.91</v>
      </c>
      <c r="J359" s="664">
        <v>100</v>
      </c>
      <c r="K359" s="665">
        <v>291</v>
      </c>
    </row>
    <row r="360" spans="1:11" ht="14.4" customHeight="1" x14ac:dyDescent="0.3">
      <c r="A360" s="660" t="s">
        <v>552</v>
      </c>
      <c r="B360" s="661" t="s">
        <v>553</v>
      </c>
      <c r="C360" s="662" t="s">
        <v>569</v>
      </c>
      <c r="D360" s="663" t="s">
        <v>1753</v>
      </c>
      <c r="E360" s="662" t="s">
        <v>3376</v>
      </c>
      <c r="F360" s="663" t="s">
        <v>3377</v>
      </c>
      <c r="G360" s="662" t="s">
        <v>3114</v>
      </c>
      <c r="H360" s="662" t="s">
        <v>3115</v>
      </c>
      <c r="I360" s="664">
        <v>115</v>
      </c>
      <c r="J360" s="664">
        <v>48</v>
      </c>
      <c r="K360" s="665">
        <v>5520</v>
      </c>
    </row>
    <row r="361" spans="1:11" ht="14.4" customHeight="1" x14ac:dyDescent="0.3">
      <c r="A361" s="660" t="s">
        <v>552</v>
      </c>
      <c r="B361" s="661" t="s">
        <v>553</v>
      </c>
      <c r="C361" s="662" t="s">
        <v>569</v>
      </c>
      <c r="D361" s="663" t="s">
        <v>1753</v>
      </c>
      <c r="E361" s="662" t="s">
        <v>3376</v>
      </c>
      <c r="F361" s="663" t="s">
        <v>3377</v>
      </c>
      <c r="G361" s="662" t="s">
        <v>2756</v>
      </c>
      <c r="H361" s="662" t="s">
        <v>2757</v>
      </c>
      <c r="I361" s="664">
        <v>15</v>
      </c>
      <c r="J361" s="664">
        <v>40</v>
      </c>
      <c r="K361" s="665">
        <v>600</v>
      </c>
    </row>
    <row r="362" spans="1:11" ht="14.4" customHeight="1" x14ac:dyDescent="0.3">
      <c r="A362" s="660" t="s">
        <v>552</v>
      </c>
      <c r="B362" s="661" t="s">
        <v>553</v>
      </c>
      <c r="C362" s="662" t="s">
        <v>569</v>
      </c>
      <c r="D362" s="663" t="s">
        <v>1753</v>
      </c>
      <c r="E362" s="662" t="s">
        <v>3376</v>
      </c>
      <c r="F362" s="663" t="s">
        <v>3377</v>
      </c>
      <c r="G362" s="662" t="s">
        <v>3116</v>
      </c>
      <c r="H362" s="662" t="s">
        <v>3117</v>
      </c>
      <c r="I362" s="664">
        <v>214.80000000000004</v>
      </c>
      <c r="J362" s="664">
        <v>54</v>
      </c>
      <c r="K362" s="665">
        <v>11599.16</v>
      </c>
    </row>
    <row r="363" spans="1:11" ht="14.4" customHeight="1" x14ac:dyDescent="0.3">
      <c r="A363" s="660" t="s">
        <v>552</v>
      </c>
      <c r="B363" s="661" t="s">
        <v>553</v>
      </c>
      <c r="C363" s="662" t="s">
        <v>569</v>
      </c>
      <c r="D363" s="663" t="s">
        <v>1753</v>
      </c>
      <c r="E363" s="662" t="s">
        <v>3376</v>
      </c>
      <c r="F363" s="663" t="s">
        <v>3377</v>
      </c>
      <c r="G363" s="662" t="s">
        <v>2758</v>
      </c>
      <c r="H363" s="662" t="s">
        <v>2759</v>
      </c>
      <c r="I363" s="664">
        <v>12.1</v>
      </c>
      <c r="J363" s="664">
        <v>50</v>
      </c>
      <c r="K363" s="665">
        <v>605</v>
      </c>
    </row>
    <row r="364" spans="1:11" ht="14.4" customHeight="1" x14ac:dyDescent="0.3">
      <c r="A364" s="660" t="s">
        <v>552</v>
      </c>
      <c r="B364" s="661" t="s">
        <v>553</v>
      </c>
      <c r="C364" s="662" t="s">
        <v>569</v>
      </c>
      <c r="D364" s="663" t="s">
        <v>1753</v>
      </c>
      <c r="E364" s="662" t="s">
        <v>3376</v>
      </c>
      <c r="F364" s="663" t="s">
        <v>3377</v>
      </c>
      <c r="G364" s="662" t="s">
        <v>2930</v>
      </c>
      <c r="H364" s="662" t="s">
        <v>2931</v>
      </c>
      <c r="I364" s="664">
        <v>32.9</v>
      </c>
      <c r="J364" s="664">
        <v>120</v>
      </c>
      <c r="K364" s="665">
        <v>3947.99</v>
      </c>
    </row>
    <row r="365" spans="1:11" ht="14.4" customHeight="1" x14ac:dyDescent="0.3">
      <c r="A365" s="660" t="s">
        <v>552</v>
      </c>
      <c r="B365" s="661" t="s">
        <v>553</v>
      </c>
      <c r="C365" s="662" t="s">
        <v>569</v>
      </c>
      <c r="D365" s="663" t="s">
        <v>1753</v>
      </c>
      <c r="E365" s="662" t="s">
        <v>3376</v>
      </c>
      <c r="F365" s="663" t="s">
        <v>3377</v>
      </c>
      <c r="G365" s="662" t="s">
        <v>2762</v>
      </c>
      <c r="H365" s="662" t="s">
        <v>2763</v>
      </c>
      <c r="I365" s="664">
        <v>5.2</v>
      </c>
      <c r="J365" s="664">
        <v>200</v>
      </c>
      <c r="K365" s="665">
        <v>1040</v>
      </c>
    </row>
    <row r="366" spans="1:11" ht="14.4" customHeight="1" x14ac:dyDescent="0.3">
      <c r="A366" s="660" t="s">
        <v>552</v>
      </c>
      <c r="B366" s="661" t="s">
        <v>553</v>
      </c>
      <c r="C366" s="662" t="s">
        <v>569</v>
      </c>
      <c r="D366" s="663" t="s">
        <v>1753</v>
      </c>
      <c r="E366" s="662" t="s">
        <v>3376</v>
      </c>
      <c r="F366" s="663" t="s">
        <v>3377</v>
      </c>
      <c r="G366" s="662" t="s">
        <v>2766</v>
      </c>
      <c r="H366" s="662" t="s">
        <v>2767</v>
      </c>
      <c r="I366" s="664">
        <v>13.2</v>
      </c>
      <c r="J366" s="664">
        <v>110</v>
      </c>
      <c r="K366" s="665">
        <v>1452</v>
      </c>
    </row>
    <row r="367" spans="1:11" ht="14.4" customHeight="1" x14ac:dyDescent="0.3">
      <c r="A367" s="660" t="s">
        <v>552</v>
      </c>
      <c r="B367" s="661" t="s">
        <v>553</v>
      </c>
      <c r="C367" s="662" t="s">
        <v>569</v>
      </c>
      <c r="D367" s="663" t="s">
        <v>1753</v>
      </c>
      <c r="E367" s="662" t="s">
        <v>3376</v>
      </c>
      <c r="F367" s="663" t="s">
        <v>3377</v>
      </c>
      <c r="G367" s="662" t="s">
        <v>2768</v>
      </c>
      <c r="H367" s="662" t="s">
        <v>2769</v>
      </c>
      <c r="I367" s="664">
        <v>21.24</v>
      </c>
      <c r="J367" s="664">
        <v>40</v>
      </c>
      <c r="K367" s="665">
        <v>849.6</v>
      </c>
    </row>
    <row r="368" spans="1:11" ht="14.4" customHeight="1" x14ac:dyDescent="0.3">
      <c r="A368" s="660" t="s">
        <v>552</v>
      </c>
      <c r="B368" s="661" t="s">
        <v>553</v>
      </c>
      <c r="C368" s="662" t="s">
        <v>569</v>
      </c>
      <c r="D368" s="663" t="s">
        <v>1753</v>
      </c>
      <c r="E368" s="662" t="s">
        <v>3376</v>
      </c>
      <c r="F368" s="663" t="s">
        <v>3377</v>
      </c>
      <c r="G368" s="662" t="s">
        <v>3118</v>
      </c>
      <c r="H368" s="662" t="s">
        <v>3119</v>
      </c>
      <c r="I368" s="664">
        <v>1221</v>
      </c>
      <c r="J368" s="664">
        <v>20</v>
      </c>
      <c r="K368" s="665">
        <v>24420</v>
      </c>
    </row>
    <row r="369" spans="1:11" ht="14.4" customHeight="1" x14ac:dyDescent="0.3">
      <c r="A369" s="660" t="s">
        <v>552</v>
      </c>
      <c r="B369" s="661" t="s">
        <v>553</v>
      </c>
      <c r="C369" s="662" t="s">
        <v>569</v>
      </c>
      <c r="D369" s="663" t="s">
        <v>1753</v>
      </c>
      <c r="E369" s="662" t="s">
        <v>3376</v>
      </c>
      <c r="F369" s="663" t="s">
        <v>3377</v>
      </c>
      <c r="G369" s="662" t="s">
        <v>2772</v>
      </c>
      <c r="H369" s="662" t="s">
        <v>2773</v>
      </c>
      <c r="I369" s="664">
        <v>0.47</v>
      </c>
      <c r="J369" s="664">
        <v>800</v>
      </c>
      <c r="K369" s="665">
        <v>376</v>
      </c>
    </row>
    <row r="370" spans="1:11" ht="14.4" customHeight="1" x14ac:dyDescent="0.3">
      <c r="A370" s="660" t="s">
        <v>552</v>
      </c>
      <c r="B370" s="661" t="s">
        <v>553</v>
      </c>
      <c r="C370" s="662" t="s">
        <v>569</v>
      </c>
      <c r="D370" s="663" t="s">
        <v>1753</v>
      </c>
      <c r="E370" s="662" t="s">
        <v>3376</v>
      </c>
      <c r="F370" s="663" t="s">
        <v>3377</v>
      </c>
      <c r="G370" s="662" t="s">
        <v>2942</v>
      </c>
      <c r="H370" s="662" t="s">
        <v>2943</v>
      </c>
      <c r="I370" s="664">
        <v>4.03</v>
      </c>
      <c r="J370" s="664">
        <v>200</v>
      </c>
      <c r="K370" s="665">
        <v>806</v>
      </c>
    </row>
    <row r="371" spans="1:11" ht="14.4" customHeight="1" x14ac:dyDescent="0.3">
      <c r="A371" s="660" t="s">
        <v>552</v>
      </c>
      <c r="B371" s="661" t="s">
        <v>553</v>
      </c>
      <c r="C371" s="662" t="s">
        <v>569</v>
      </c>
      <c r="D371" s="663" t="s">
        <v>1753</v>
      </c>
      <c r="E371" s="662" t="s">
        <v>3376</v>
      </c>
      <c r="F371" s="663" t="s">
        <v>3377</v>
      </c>
      <c r="G371" s="662" t="s">
        <v>3120</v>
      </c>
      <c r="H371" s="662" t="s">
        <v>3121</v>
      </c>
      <c r="I371" s="664">
        <v>1945.8924999999999</v>
      </c>
      <c r="J371" s="664">
        <v>80</v>
      </c>
      <c r="K371" s="665">
        <v>155671.46</v>
      </c>
    </row>
    <row r="372" spans="1:11" ht="14.4" customHeight="1" x14ac:dyDescent="0.3">
      <c r="A372" s="660" t="s">
        <v>552</v>
      </c>
      <c r="B372" s="661" t="s">
        <v>553</v>
      </c>
      <c r="C372" s="662" t="s">
        <v>569</v>
      </c>
      <c r="D372" s="663" t="s">
        <v>1753</v>
      </c>
      <c r="E372" s="662" t="s">
        <v>3376</v>
      </c>
      <c r="F372" s="663" t="s">
        <v>3377</v>
      </c>
      <c r="G372" s="662" t="s">
        <v>3122</v>
      </c>
      <c r="H372" s="662" t="s">
        <v>3123</v>
      </c>
      <c r="I372" s="664">
        <v>678.04</v>
      </c>
      <c r="J372" s="664">
        <v>20</v>
      </c>
      <c r="K372" s="665">
        <v>13560.9</v>
      </c>
    </row>
    <row r="373" spans="1:11" ht="14.4" customHeight="1" x14ac:dyDescent="0.3">
      <c r="A373" s="660" t="s">
        <v>552</v>
      </c>
      <c r="B373" s="661" t="s">
        <v>553</v>
      </c>
      <c r="C373" s="662" t="s">
        <v>569</v>
      </c>
      <c r="D373" s="663" t="s">
        <v>1753</v>
      </c>
      <c r="E373" s="662" t="s">
        <v>3376</v>
      </c>
      <c r="F373" s="663" t="s">
        <v>3377</v>
      </c>
      <c r="G373" s="662" t="s">
        <v>3124</v>
      </c>
      <c r="H373" s="662" t="s">
        <v>3125</v>
      </c>
      <c r="I373" s="664">
        <v>251.43</v>
      </c>
      <c r="J373" s="664">
        <v>20</v>
      </c>
      <c r="K373" s="665">
        <v>5028.5200000000004</v>
      </c>
    </row>
    <row r="374" spans="1:11" ht="14.4" customHeight="1" x14ac:dyDescent="0.3">
      <c r="A374" s="660" t="s">
        <v>552</v>
      </c>
      <c r="B374" s="661" t="s">
        <v>553</v>
      </c>
      <c r="C374" s="662" t="s">
        <v>569</v>
      </c>
      <c r="D374" s="663" t="s">
        <v>1753</v>
      </c>
      <c r="E374" s="662" t="s">
        <v>3376</v>
      </c>
      <c r="F374" s="663" t="s">
        <v>3377</v>
      </c>
      <c r="G374" s="662" t="s">
        <v>3126</v>
      </c>
      <c r="H374" s="662" t="s">
        <v>3127</v>
      </c>
      <c r="I374" s="664">
        <v>265.45</v>
      </c>
      <c r="J374" s="664">
        <v>20</v>
      </c>
      <c r="K374" s="665">
        <v>5309</v>
      </c>
    </row>
    <row r="375" spans="1:11" ht="14.4" customHeight="1" x14ac:dyDescent="0.3">
      <c r="A375" s="660" t="s">
        <v>552</v>
      </c>
      <c r="B375" s="661" t="s">
        <v>553</v>
      </c>
      <c r="C375" s="662" t="s">
        <v>569</v>
      </c>
      <c r="D375" s="663" t="s">
        <v>1753</v>
      </c>
      <c r="E375" s="662" t="s">
        <v>3376</v>
      </c>
      <c r="F375" s="663" t="s">
        <v>3377</v>
      </c>
      <c r="G375" s="662" t="s">
        <v>3128</v>
      </c>
      <c r="H375" s="662" t="s">
        <v>3129</v>
      </c>
      <c r="I375" s="664">
        <v>1875.5</v>
      </c>
      <c r="J375" s="664">
        <v>5</v>
      </c>
      <c r="K375" s="665">
        <v>9377.5</v>
      </c>
    </row>
    <row r="376" spans="1:11" ht="14.4" customHeight="1" x14ac:dyDescent="0.3">
      <c r="A376" s="660" t="s">
        <v>552</v>
      </c>
      <c r="B376" s="661" t="s">
        <v>553</v>
      </c>
      <c r="C376" s="662" t="s">
        <v>569</v>
      </c>
      <c r="D376" s="663" t="s">
        <v>1753</v>
      </c>
      <c r="E376" s="662" t="s">
        <v>3376</v>
      </c>
      <c r="F376" s="663" t="s">
        <v>3377</v>
      </c>
      <c r="G376" s="662" t="s">
        <v>3130</v>
      </c>
      <c r="H376" s="662" t="s">
        <v>3131</v>
      </c>
      <c r="I376" s="664">
        <v>284.16000000000003</v>
      </c>
      <c r="J376" s="664">
        <v>20</v>
      </c>
      <c r="K376" s="665">
        <v>5683.13</v>
      </c>
    </row>
    <row r="377" spans="1:11" ht="14.4" customHeight="1" x14ac:dyDescent="0.3">
      <c r="A377" s="660" t="s">
        <v>552</v>
      </c>
      <c r="B377" s="661" t="s">
        <v>553</v>
      </c>
      <c r="C377" s="662" t="s">
        <v>569</v>
      </c>
      <c r="D377" s="663" t="s">
        <v>1753</v>
      </c>
      <c r="E377" s="662" t="s">
        <v>3376</v>
      </c>
      <c r="F377" s="663" t="s">
        <v>3377</v>
      </c>
      <c r="G377" s="662" t="s">
        <v>3132</v>
      </c>
      <c r="H377" s="662" t="s">
        <v>3133</v>
      </c>
      <c r="I377" s="664">
        <v>5395.5</v>
      </c>
      <c r="J377" s="664">
        <v>4</v>
      </c>
      <c r="K377" s="665">
        <v>21582</v>
      </c>
    </row>
    <row r="378" spans="1:11" ht="14.4" customHeight="1" x14ac:dyDescent="0.3">
      <c r="A378" s="660" t="s">
        <v>552</v>
      </c>
      <c r="B378" s="661" t="s">
        <v>553</v>
      </c>
      <c r="C378" s="662" t="s">
        <v>569</v>
      </c>
      <c r="D378" s="663" t="s">
        <v>1753</v>
      </c>
      <c r="E378" s="662" t="s">
        <v>3376</v>
      </c>
      <c r="F378" s="663" t="s">
        <v>3377</v>
      </c>
      <c r="G378" s="662" t="s">
        <v>3134</v>
      </c>
      <c r="H378" s="662" t="s">
        <v>3135</v>
      </c>
      <c r="I378" s="664">
        <v>139.26</v>
      </c>
      <c r="J378" s="664">
        <v>720</v>
      </c>
      <c r="K378" s="665">
        <v>100267.6</v>
      </c>
    </row>
    <row r="379" spans="1:11" ht="14.4" customHeight="1" x14ac:dyDescent="0.3">
      <c r="A379" s="660" t="s">
        <v>552</v>
      </c>
      <c r="B379" s="661" t="s">
        <v>553</v>
      </c>
      <c r="C379" s="662" t="s">
        <v>569</v>
      </c>
      <c r="D379" s="663" t="s">
        <v>1753</v>
      </c>
      <c r="E379" s="662" t="s">
        <v>3376</v>
      </c>
      <c r="F379" s="663" t="s">
        <v>3377</v>
      </c>
      <c r="G379" s="662" t="s">
        <v>3136</v>
      </c>
      <c r="H379" s="662" t="s">
        <v>3137</v>
      </c>
      <c r="I379" s="664">
        <v>687.39</v>
      </c>
      <c r="J379" s="664">
        <v>10</v>
      </c>
      <c r="K379" s="665">
        <v>6873.94</v>
      </c>
    </row>
    <row r="380" spans="1:11" ht="14.4" customHeight="1" x14ac:dyDescent="0.3">
      <c r="A380" s="660" t="s">
        <v>552</v>
      </c>
      <c r="B380" s="661" t="s">
        <v>553</v>
      </c>
      <c r="C380" s="662" t="s">
        <v>569</v>
      </c>
      <c r="D380" s="663" t="s">
        <v>1753</v>
      </c>
      <c r="E380" s="662" t="s">
        <v>3376</v>
      </c>
      <c r="F380" s="663" t="s">
        <v>3377</v>
      </c>
      <c r="G380" s="662" t="s">
        <v>3138</v>
      </c>
      <c r="H380" s="662" t="s">
        <v>3139</v>
      </c>
      <c r="I380" s="664">
        <v>548.13</v>
      </c>
      <c r="J380" s="664">
        <v>40</v>
      </c>
      <c r="K380" s="665">
        <v>21925.200000000001</v>
      </c>
    </row>
    <row r="381" spans="1:11" ht="14.4" customHeight="1" x14ac:dyDescent="0.3">
      <c r="A381" s="660" t="s">
        <v>552</v>
      </c>
      <c r="B381" s="661" t="s">
        <v>553</v>
      </c>
      <c r="C381" s="662" t="s">
        <v>569</v>
      </c>
      <c r="D381" s="663" t="s">
        <v>1753</v>
      </c>
      <c r="E381" s="662" t="s">
        <v>3376</v>
      </c>
      <c r="F381" s="663" t="s">
        <v>3377</v>
      </c>
      <c r="G381" s="662" t="s">
        <v>3140</v>
      </c>
      <c r="H381" s="662" t="s">
        <v>3141</v>
      </c>
      <c r="I381" s="664">
        <v>1324.95</v>
      </c>
      <c r="J381" s="664">
        <v>5</v>
      </c>
      <c r="K381" s="665">
        <v>6624.75</v>
      </c>
    </row>
    <row r="382" spans="1:11" ht="14.4" customHeight="1" x14ac:dyDescent="0.3">
      <c r="A382" s="660" t="s">
        <v>552</v>
      </c>
      <c r="B382" s="661" t="s">
        <v>553</v>
      </c>
      <c r="C382" s="662" t="s">
        <v>569</v>
      </c>
      <c r="D382" s="663" t="s">
        <v>1753</v>
      </c>
      <c r="E382" s="662" t="s">
        <v>3376</v>
      </c>
      <c r="F382" s="663" t="s">
        <v>3377</v>
      </c>
      <c r="G382" s="662" t="s">
        <v>3142</v>
      </c>
      <c r="H382" s="662" t="s">
        <v>3143</v>
      </c>
      <c r="I382" s="664">
        <v>58685</v>
      </c>
      <c r="J382" s="664">
        <v>5</v>
      </c>
      <c r="K382" s="665">
        <v>293425</v>
      </c>
    </row>
    <row r="383" spans="1:11" ht="14.4" customHeight="1" x14ac:dyDescent="0.3">
      <c r="A383" s="660" t="s">
        <v>552</v>
      </c>
      <c r="B383" s="661" t="s">
        <v>553</v>
      </c>
      <c r="C383" s="662" t="s">
        <v>569</v>
      </c>
      <c r="D383" s="663" t="s">
        <v>1753</v>
      </c>
      <c r="E383" s="662" t="s">
        <v>3376</v>
      </c>
      <c r="F383" s="663" t="s">
        <v>3377</v>
      </c>
      <c r="G383" s="662" t="s">
        <v>3144</v>
      </c>
      <c r="H383" s="662" t="s">
        <v>3145</v>
      </c>
      <c r="I383" s="664">
        <v>1649.96</v>
      </c>
      <c r="J383" s="664">
        <v>26</v>
      </c>
      <c r="K383" s="665">
        <v>42898.850000000006</v>
      </c>
    </row>
    <row r="384" spans="1:11" ht="14.4" customHeight="1" x14ac:dyDescent="0.3">
      <c r="A384" s="660" t="s">
        <v>552</v>
      </c>
      <c r="B384" s="661" t="s">
        <v>553</v>
      </c>
      <c r="C384" s="662" t="s">
        <v>569</v>
      </c>
      <c r="D384" s="663" t="s">
        <v>1753</v>
      </c>
      <c r="E384" s="662" t="s">
        <v>3376</v>
      </c>
      <c r="F384" s="663" t="s">
        <v>3377</v>
      </c>
      <c r="G384" s="662" t="s">
        <v>3146</v>
      </c>
      <c r="H384" s="662" t="s">
        <v>3147</v>
      </c>
      <c r="I384" s="664">
        <v>824.01</v>
      </c>
      <c r="J384" s="664">
        <v>20</v>
      </c>
      <c r="K384" s="665">
        <v>16480.2</v>
      </c>
    </row>
    <row r="385" spans="1:11" ht="14.4" customHeight="1" x14ac:dyDescent="0.3">
      <c r="A385" s="660" t="s">
        <v>552</v>
      </c>
      <c r="B385" s="661" t="s">
        <v>553</v>
      </c>
      <c r="C385" s="662" t="s">
        <v>569</v>
      </c>
      <c r="D385" s="663" t="s">
        <v>1753</v>
      </c>
      <c r="E385" s="662" t="s">
        <v>3376</v>
      </c>
      <c r="F385" s="663" t="s">
        <v>3377</v>
      </c>
      <c r="G385" s="662" t="s">
        <v>3148</v>
      </c>
      <c r="H385" s="662" t="s">
        <v>3149</v>
      </c>
      <c r="I385" s="664">
        <v>12500</v>
      </c>
      <c r="J385" s="664">
        <v>2</v>
      </c>
      <c r="K385" s="665">
        <v>25000</v>
      </c>
    </row>
    <row r="386" spans="1:11" ht="14.4" customHeight="1" x14ac:dyDescent="0.3">
      <c r="A386" s="660" t="s">
        <v>552</v>
      </c>
      <c r="B386" s="661" t="s">
        <v>553</v>
      </c>
      <c r="C386" s="662" t="s">
        <v>569</v>
      </c>
      <c r="D386" s="663" t="s">
        <v>1753</v>
      </c>
      <c r="E386" s="662" t="s">
        <v>3376</v>
      </c>
      <c r="F386" s="663" t="s">
        <v>3377</v>
      </c>
      <c r="G386" s="662" t="s">
        <v>3150</v>
      </c>
      <c r="H386" s="662" t="s">
        <v>3151</v>
      </c>
      <c r="I386" s="664">
        <v>78.650000000000006</v>
      </c>
      <c r="J386" s="664">
        <v>25</v>
      </c>
      <c r="K386" s="665">
        <v>1966.25</v>
      </c>
    </row>
    <row r="387" spans="1:11" ht="14.4" customHeight="1" x14ac:dyDescent="0.3">
      <c r="A387" s="660" t="s">
        <v>552</v>
      </c>
      <c r="B387" s="661" t="s">
        <v>553</v>
      </c>
      <c r="C387" s="662" t="s">
        <v>569</v>
      </c>
      <c r="D387" s="663" t="s">
        <v>1753</v>
      </c>
      <c r="E387" s="662" t="s">
        <v>3376</v>
      </c>
      <c r="F387" s="663" t="s">
        <v>3377</v>
      </c>
      <c r="G387" s="662" t="s">
        <v>3152</v>
      </c>
      <c r="H387" s="662" t="s">
        <v>3153</v>
      </c>
      <c r="I387" s="664">
        <v>16700.419999999998</v>
      </c>
      <c r="J387" s="664">
        <v>12</v>
      </c>
      <c r="K387" s="665">
        <v>200405.04</v>
      </c>
    </row>
    <row r="388" spans="1:11" ht="14.4" customHeight="1" x14ac:dyDescent="0.3">
      <c r="A388" s="660" t="s">
        <v>552</v>
      </c>
      <c r="B388" s="661" t="s">
        <v>553</v>
      </c>
      <c r="C388" s="662" t="s">
        <v>569</v>
      </c>
      <c r="D388" s="663" t="s">
        <v>1753</v>
      </c>
      <c r="E388" s="662" t="s">
        <v>3376</v>
      </c>
      <c r="F388" s="663" t="s">
        <v>3377</v>
      </c>
      <c r="G388" s="662" t="s">
        <v>3154</v>
      </c>
      <c r="H388" s="662" t="s">
        <v>3155</v>
      </c>
      <c r="I388" s="664">
        <v>2.86</v>
      </c>
      <c r="J388" s="664">
        <v>100</v>
      </c>
      <c r="K388" s="665">
        <v>286</v>
      </c>
    </row>
    <row r="389" spans="1:11" ht="14.4" customHeight="1" x14ac:dyDescent="0.3">
      <c r="A389" s="660" t="s">
        <v>552</v>
      </c>
      <c r="B389" s="661" t="s">
        <v>553</v>
      </c>
      <c r="C389" s="662" t="s">
        <v>569</v>
      </c>
      <c r="D389" s="663" t="s">
        <v>1753</v>
      </c>
      <c r="E389" s="662" t="s">
        <v>3376</v>
      </c>
      <c r="F389" s="663" t="s">
        <v>3377</v>
      </c>
      <c r="G389" s="662" t="s">
        <v>3156</v>
      </c>
      <c r="H389" s="662" t="s">
        <v>3157</v>
      </c>
      <c r="I389" s="664">
        <v>9.68</v>
      </c>
      <c r="J389" s="664">
        <v>100</v>
      </c>
      <c r="K389" s="665">
        <v>968</v>
      </c>
    </row>
    <row r="390" spans="1:11" ht="14.4" customHeight="1" x14ac:dyDescent="0.3">
      <c r="A390" s="660" t="s">
        <v>552</v>
      </c>
      <c r="B390" s="661" t="s">
        <v>553</v>
      </c>
      <c r="C390" s="662" t="s">
        <v>569</v>
      </c>
      <c r="D390" s="663" t="s">
        <v>1753</v>
      </c>
      <c r="E390" s="662" t="s">
        <v>3376</v>
      </c>
      <c r="F390" s="663" t="s">
        <v>3377</v>
      </c>
      <c r="G390" s="662" t="s">
        <v>3158</v>
      </c>
      <c r="H390" s="662" t="s">
        <v>3159</v>
      </c>
      <c r="I390" s="664">
        <v>3539.25</v>
      </c>
      <c r="J390" s="664">
        <v>4</v>
      </c>
      <c r="K390" s="665">
        <v>14157</v>
      </c>
    </row>
    <row r="391" spans="1:11" ht="14.4" customHeight="1" x14ac:dyDescent="0.3">
      <c r="A391" s="660" t="s">
        <v>552</v>
      </c>
      <c r="B391" s="661" t="s">
        <v>553</v>
      </c>
      <c r="C391" s="662" t="s">
        <v>569</v>
      </c>
      <c r="D391" s="663" t="s">
        <v>1753</v>
      </c>
      <c r="E391" s="662" t="s">
        <v>3376</v>
      </c>
      <c r="F391" s="663" t="s">
        <v>3377</v>
      </c>
      <c r="G391" s="662" t="s">
        <v>3160</v>
      </c>
      <c r="H391" s="662" t="s">
        <v>3161</v>
      </c>
      <c r="I391" s="664">
        <v>3539.25</v>
      </c>
      <c r="J391" s="664">
        <v>1</v>
      </c>
      <c r="K391" s="665">
        <v>3539.25</v>
      </c>
    </row>
    <row r="392" spans="1:11" ht="14.4" customHeight="1" x14ac:dyDescent="0.3">
      <c r="A392" s="660" t="s">
        <v>552</v>
      </c>
      <c r="B392" s="661" t="s">
        <v>553</v>
      </c>
      <c r="C392" s="662" t="s">
        <v>569</v>
      </c>
      <c r="D392" s="663" t="s">
        <v>1753</v>
      </c>
      <c r="E392" s="662" t="s">
        <v>3376</v>
      </c>
      <c r="F392" s="663" t="s">
        <v>3377</v>
      </c>
      <c r="G392" s="662" t="s">
        <v>3162</v>
      </c>
      <c r="H392" s="662" t="s">
        <v>3163</v>
      </c>
      <c r="I392" s="664">
        <v>824.01</v>
      </c>
      <c r="J392" s="664">
        <v>10</v>
      </c>
      <c r="K392" s="665">
        <v>8240.1</v>
      </c>
    </row>
    <row r="393" spans="1:11" ht="14.4" customHeight="1" x14ac:dyDescent="0.3">
      <c r="A393" s="660" t="s">
        <v>552</v>
      </c>
      <c r="B393" s="661" t="s">
        <v>553</v>
      </c>
      <c r="C393" s="662" t="s">
        <v>569</v>
      </c>
      <c r="D393" s="663" t="s">
        <v>1753</v>
      </c>
      <c r="E393" s="662" t="s">
        <v>3376</v>
      </c>
      <c r="F393" s="663" t="s">
        <v>3377</v>
      </c>
      <c r="G393" s="662" t="s">
        <v>3164</v>
      </c>
      <c r="H393" s="662" t="s">
        <v>3165</v>
      </c>
      <c r="I393" s="664">
        <v>3539.25</v>
      </c>
      <c r="J393" s="664">
        <v>2</v>
      </c>
      <c r="K393" s="665">
        <v>7078.5</v>
      </c>
    </row>
    <row r="394" spans="1:11" ht="14.4" customHeight="1" x14ac:dyDescent="0.3">
      <c r="A394" s="660" t="s">
        <v>552</v>
      </c>
      <c r="B394" s="661" t="s">
        <v>553</v>
      </c>
      <c r="C394" s="662" t="s">
        <v>569</v>
      </c>
      <c r="D394" s="663" t="s">
        <v>1753</v>
      </c>
      <c r="E394" s="662" t="s">
        <v>3376</v>
      </c>
      <c r="F394" s="663" t="s">
        <v>3377</v>
      </c>
      <c r="G394" s="662" t="s">
        <v>3166</v>
      </c>
      <c r="H394" s="662" t="s">
        <v>3167</v>
      </c>
      <c r="I394" s="664">
        <v>5166.72</v>
      </c>
      <c r="J394" s="664">
        <v>3</v>
      </c>
      <c r="K394" s="665">
        <v>15500.16</v>
      </c>
    </row>
    <row r="395" spans="1:11" ht="14.4" customHeight="1" x14ac:dyDescent="0.3">
      <c r="A395" s="660" t="s">
        <v>552</v>
      </c>
      <c r="B395" s="661" t="s">
        <v>553</v>
      </c>
      <c r="C395" s="662" t="s">
        <v>569</v>
      </c>
      <c r="D395" s="663" t="s">
        <v>1753</v>
      </c>
      <c r="E395" s="662" t="s">
        <v>3376</v>
      </c>
      <c r="F395" s="663" t="s">
        <v>3377</v>
      </c>
      <c r="G395" s="662" t="s">
        <v>3168</v>
      </c>
      <c r="H395" s="662" t="s">
        <v>3169</v>
      </c>
      <c r="I395" s="664">
        <v>3162.94</v>
      </c>
      <c r="J395" s="664">
        <v>1</v>
      </c>
      <c r="K395" s="665">
        <v>3162.94</v>
      </c>
    </row>
    <row r="396" spans="1:11" ht="14.4" customHeight="1" x14ac:dyDescent="0.3">
      <c r="A396" s="660" t="s">
        <v>552</v>
      </c>
      <c r="B396" s="661" t="s">
        <v>553</v>
      </c>
      <c r="C396" s="662" t="s">
        <v>569</v>
      </c>
      <c r="D396" s="663" t="s">
        <v>1753</v>
      </c>
      <c r="E396" s="662" t="s">
        <v>3376</v>
      </c>
      <c r="F396" s="663" t="s">
        <v>3377</v>
      </c>
      <c r="G396" s="662" t="s">
        <v>3170</v>
      </c>
      <c r="H396" s="662" t="s">
        <v>3171</v>
      </c>
      <c r="I396" s="664">
        <v>1500.4000000000003</v>
      </c>
      <c r="J396" s="664">
        <v>15</v>
      </c>
      <c r="K396" s="665">
        <v>22506</v>
      </c>
    </row>
    <row r="397" spans="1:11" ht="14.4" customHeight="1" x14ac:dyDescent="0.3">
      <c r="A397" s="660" t="s">
        <v>552</v>
      </c>
      <c r="B397" s="661" t="s">
        <v>553</v>
      </c>
      <c r="C397" s="662" t="s">
        <v>569</v>
      </c>
      <c r="D397" s="663" t="s">
        <v>1753</v>
      </c>
      <c r="E397" s="662" t="s">
        <v>3376</v>
      </c>
      <c r="F397" s="663" t="s">
        <v>3377</v>
      </c>
      <c r="G397" s="662" t="s">
        <v>3172</v>
      </c>
      <c r="H397" s="662" t="s">
        <v>3173</v>
      </c>
      <c r="I397" s="664">
        <v>761.09</v>
      </c>
      <c r="J397" s="664">
        <v>10</v>
      </c>
      <c r="K397" s="665">
        <v>7610.9</v>
      </c>
    </row>
    <row r="398" spans="1:11" ht="14.4" customHeight="1" x14ac:dyDescent="0.3">
      <c r="A398" s="660" t="s">
        <v>552</v>
      </c>
      <c r="B398" s="661" t="s">
        <v>553</v>
      </c>
      <c r="C398" s="662" t="s">
        <v>569</v>
      </c>
      <c r="D398" s="663" t="s">
        <v>1753</v>
      </c>
      <c r="E398" s="662" t="s">
        <v>3376</v>
      </c>
      <c r="F398" s="663" t="s">
        <v>3377</v>
      </c>
      <c r="G398" s="662" t="s">
        <v>3174</v>
      </c>
      <c r="H398" s="662" t="s">
        <v>3175</v>
      </c>
      <c r="I398" s="664">
        <v>5596.76</v>
      </c>
      <c r="J398" s="664">
        <v>1</v>
      </c>
      <c r="K398" s="665">
        <v>5596.76</v>
      </c>
    </row>
    <row r="399" spans="1:11" ht="14.4" customHeight="1" x14ac:dyDescent="0.3">
      <c r="A399" s="660" t="s">
        <v>552</v>
      </c>
      <c r="B399" s="661" t="s">
        <v>553</v>
      </c>
      <c r="C399" s="662" t="s">
        <v>569</v>
      </c>
      <c r="D399" s="663" t="s">
        <v>1753</v>
      </c>
      <c r="E399" s="662" t="s">
        <v>3376</v>
      </c>
      <c r="F399" s="663" t="s">
        <v>3377</v>
      </c>
      <c r="G399" s="662" t="s">
        <v>3176</v>
      </c>
      <c r="H399" s="662" t="s">
        <v>3177</v>
      </c>
      <c r="I399" s="664">
        <v>2196.5</v>
      </c>
      <c r="J399" s="664">
        <v>25</v>
      </c>
      <c r="K399" s="665">
        <v>54912.5</v>
      </c>
    </row>
    <row r="400" spans="1:11" ht="14.4" customHeight="1" x14ac:dyDescent="0.3">
      <c r="A400" s="660" t="s">
        <v>552</v>
      </c>
      <c r="B400" s="661" t="s">
        <v>553</v>
      </c>
      <c r="C400" s="662" t="s">
        <v>569</v>
      </c>
      <c r="D400" s="663" t="s">
        <v>1753</v>
      </c>
      <c r="E400" s="662" t="s">
        <v>3376</v>
      </c>
      <c r="F400" s="663" t="s">
        <v>3377</v>
      </c>
      <c r="G400" s="662" t="s">
        <v>3178</v>
      </c>
      <c r="H400" s="662" t="s">
        <v>3179</v>
      </c>
      <c r="I400" s="664">
        <v>4751.67</v>
      </c>
      <c r="J400" s="664">
        <v>1</v>
      </c>
      <c r="K400" s="665">
        <v>4751.67</v>
      </c>
    </row>
    <row r="401" spans="1:11" ht="14.4" customHeight="1" x14ac:dyDescent="0.3">
      <c r="A401" s="660" t="s">
        <v>552</v>
      </c>
      <c r="B401" s="661" t="s">
        <v>553</v>
      </c>
      <c r="C401" s="662" t="s">
        <v>569</v>
      </c>
      <c r="D401" s="663" t="s">
        <v>1753</v>
      </c>
      <c r="E401" s="662" t="s">
        <v>3376</v>
      </c>
      <c r="F401" s="663" t="s">
        <v>3377</v>
      </c>
      <c r="G401" s="662" t="s">
        <v>3180</v>
      </c>
      <c r="H401" s="662" t="s">
        <v>3181</v>
      </c>
      <c r="I401" s="664">
        <v>295.24</v>
      </c>
      <c r="J401" s="664">
        <v>60</v>
      </c>
      <c r="K401" s="665">
        <v>17714.400000000001</v>
      </c>
    </row>
    <row r="402" spans="1:11" ht="14.4" customHeight="1" x14ac:dyDescent="0.3">
      <c r="A402" s="660" t="s">
        <v>552</v>
      </c>
      <c r="B402" s="661" t="s">
        <v>553</v>
      </c>
      <c r="C402" s="662" t="s">
        <v>569</v>
      </c>
      <c r="D402" s="663" t="s">
        <v>1753</v>
      </c>
      <c r="E402" s="662" t="s">
        <v>3376</v>
      </c>
      <c r="F402" s="663" t="s">
        <v>3377</v>
      </c>
      <c r="G402" s="662" t="s">
        <v>3182</v>
      </c>
      <c r="H402" s="662" t="s">
        <v>3183</v>
      </c>
      <c r="I402" s="664">
        <v>415.03</v>
      </c>
      <c r="J402" s="664">
        <v>40</v>
      </c>
      <c r="K402" s="665">
        <v>16601.2</v>
      </c>
    </row>
    <row r="403" spans="1:11" ht="14.4" customHeight="1" x14ac:dyDescent="0.3">
      <c r="A403" s="660" t="s">
        <v>552</v>
      </c>
      <c r="B403" s="661" t="s">
        <v>553</v>
      </c>
      <c r="C403" s="662" t="s">
        <v>569</v>
      </c>
      <c r="D403" s="663" t="s">
        <v>1753</v>
      </c>
      <c r="E403" s="662" t="s">
        <v>3376</v>
      </c>
      <c r="F403" s="663" t="s">
        <v>3377</v>
      </c>
      <c r="G403" s="662" t="s">
        <v>3184</v>
      </c>
      <c r="H403" s="662" t="s">
        <v>3185</v>
      </c>
      <c r="I403" s="664">
        <v>11147.994999999999</v>
      </c>
      <c r="J403" s="664">
        <v>4</v>
      </c>
      <c r="K403" s="665">
        <v>44591.979999999996</v>
      </c>
    </row>
    <row r="404" spans="1:11" ht="14.4" customHeight="1" x14ac:dyDescent="0.3">
      <c r="A404" s="660" t="s">
        <v>552</v>
      </c>
      <c r="B404" s="661" t="s">
        <v>553</v>
      </c>
      <c r="C404" s="662" t="s">
        <v>569</v>
      </c>
      <c r="D404" s="663" t="s">
        <v>1753</v>
      </c>
      <c r="E404" s="662" t="s">
        <v>3376</v>
      </c>
      <c r="F404" s="663" t="s">
        <v>3377</v>
      </c>
      <c r="G404" s="662" t="s">
        <v>3186</v>
      </c>
      <c r="H404" s="662" t="s">
        <v>3187</v>
      </c>
      <c r="I404" s="664">
        <v>136.94999999999999</v>
      </c>
      <c r="J404" s="664">
        <v>10</v>
      </c>
      <c r="K404" s="665">
        <v>1369.48</v>
      </c>
    </row>
    <row r="405" spans="1:11" ht="14.4" customHeight="1" x14ac:dyDescent="0.3">
      <c r="A405" s="660" t="s">
        <v>552</v>
      </c>
      <c r="B405" s="661" t="s">
        <v>553</v>
      </c>
      <c r="C405" s="662" t="s">
        <v>569</v>
      </c>
      <c r="D405" s="663" t="s">
        <v>1753</v>
      </c>
      <c r="E405" s="662" t="s">
        <v>3376</v>
      </c>
      <c r="F405" s="663" t="s">
        <v>3377</v>
      </c>
      <c r="G405" s="662" t="s">
        <v>3188</v>
      </c>
      <c r="H405" s="662" t="s">
        <v>3189</v>
      </c>
      <c r="I405" s="664">
        <v>551.09666666666669</v>
      </c>
      <c r="J405" s="664">
        <v>32</v>
      </c>
      <c r="K405" s="665">
        <v>17635</v>
      </c>
    </row>
    <row r="406" spans="1:11" ht="14.4" customHeight="1" x14ac:dyDescent="0.3">
      <c r="A406" s="660" t="s">
        <v>552</v>
      </c>
      <c r="B406" s="661" t="s">
        <v>553</v>
      </c>
      <c r="C406" s="662" t="s">
        <v>569</v>
      </c>
      <c r="D406" s="663" t="s">
        <v>1753</v>
      </c>
      <c r="E406" s="662" t="s">
        <v>3376</v>
      </c>
      <c r="F406" s="663" t="s">
        <v>3377</v>
      </c>
      <c r="G406" s="662" t="s">
        <v>3190</v>
      </c>
      <c r="H406" s="662" t="s">
        <v>3191</v>
      </c>
      <c r="I406" s="664">
        <v>64.13</v>
      </c>
      <c r="J406" s="664">
        <v>160</v>
      </c>
      <c r="K406" s="665">
        <v>10406</v>
      </c>
    </row>
    <row r="407" spans="1:11" ht="14.4" customHeight="1" x14ac:dyDescent="0.3">
      <c r="A407" s="660" t="s">
        <v>552</v>
      </c>
      <c r="B407" s="661" t="s">
        <v>553</v>
      </c>
      <c r="C407" s="662" t="s">
        <v>569</v>
      </c>
      <c r="D407" s="663" t="s">
        <v>1753</v>
      </c>
      <c r="E407" s="662" t="s">
        <v>3376</v>
      </c>
      <c r="F407" s="663" t="s">
        <v>3377</v>
      </c>
      <c r="G407" s="662" t="s">
        <v>3192</v>
      </c>
      <c r="H407" s="662" t="s">
        <v>3193</v>
      </c>
      <c r="I407" s="664">
        <v>1324.95</v>
      </c>
      <c r="J407" s="664">
        <v>5</v>
      </c>
      <c r="K407" s="665">
        <v>6624.75</v>
      </c>
    </row>
    <row r="408" spans="1:11" ht="14.4" customHeight="1" x14ac:dyDescent="0.3">
      <c r="A408" s="660" t="s">
        <v>552</v>
      </c>
      <c r="B408" s="661" t="s">
        <v>553</v>
      </c>
      <c r="C408" s="662" t="s">
        <v>569</v>
      </c>
      <c r="D408" s="663" t="s">
        <v>1753</v>
      </c>
      <c r="E408" s="662" t="s">
        <v>3376</v>
      </c>
      <c r="F408" s="663" t="s">
        <v>3377</v>
      </c>
      <c r="G408" s="662" t="s">
        <v>3194</v>
      </c>
      <c r="H408" s="662" t="s">
        <v>3195</v>
      </c>
      <c r="I408" s="664">
        <v>2860.37</v>
      </c>
      <c r="J408" s="664">
        <v>1</v>
      </c>
      <c r="K408" s="665">
        <v>2860.37</v>
      </c>
    </row>
    <row r="409" spans="1:11" ht="14.4" customHeight="1" x14ac:dyDescent="0.3">
      <c r="A409" s="660" t="s">
        <v>552</v>
      </c>
      <c r="B409" s="661" t="s">
        <v>553</v>
      </c>
      <c r="C409" s="662" t="s">
        <v>569</v>
      </c>
      <c r="D409" s="663" t="s">
        <v>1753</v>
      </c>
      <c r="E409" s="662" t="s">
        <v>3390</v>
      </c>
      <c r="F409" s="663" t="s">
        <v>3391</v>
      </c>
      <c r="G409" s="662" t="s">
        <v>3196</v>
      </c>
      <c r="H409" s="662" t="s">
        <v>3197</v>
      </c>
      <c r="I409" s="664">
        <v>38630</v>
      </c>
      <c r="J409" s="664">
        <v>1</v>
      </c>
      <c r="K409" s="665">
        <v>38630</v>
      </c>
    </row>
    <row r="410" spans="1:11" ht="14.4" customHeight="1" x14ac:dyDescent="0.3">
      <c r="A410" s="660" t="s">
        <v>552</v>
      </c>
      <c r="B410" s="661" t="s">
        <v>553</v>
      </c>
      <c r="C410" s="662" t="s">
        <v>569</v>
      </c>
      <c r="D410" s="663" t="s">
        <v>1753</v>
      </c>
      <c r="E410" s="662" t="s">
        <v>3390</v>
      </c>
      <c r="F410" s="663" t="s">
        <v>3391</v>
      </c>
      <c r="G410" s="662" t="s">
        <v>3198</v>
      </c>
      <c r="H410" s="662" t="s">
        <v>3199</v>
      </c>
      <c r="I410" s="664">
        <v>9158.7000000000007</v>
      </c>
      <c r="J410" s="664">
        <v>1</v>
      </c>
      <c r="K410" s="665">
        <v>9158.7000000000007</v>
      </c>
    </row>
    <row r="411" spans="1:11" ht="14.4" customHeight="1" x14ac:dyDescent="0.3">
      <c r="A411" s="660" t="s">
        <v>552</v>
      </c>
      <c r="B411" s="661" t="s">
        <v>553</v>
      </c>
      <c r="C411" s="662" t="s">
        <v>569</v>
      </c>
      <c r="D411" s="663" t="s">
        <v>1753</v>
      </c>
      <c r="E411" s="662" t="s">
        <v>3390</v>
      </c>
      <c r="F411" s="663" t="s">
        <v>3391</v>
      </c>
      <c r="G411" s="662" t="s">
        <v>3200</v>
      </c>
      <c r="H411" s="662" t="s">
        <v>3201</v>
      </c>
      <c r="I411" s="664">
        <v>1121.79</v>
      </c>
      <c r="J411" s="664">
        <v>4</v>
      </c>
      <c r="K411" s="665">
        <v>4487.1499999999996</v>
      </c>
    </row>
    <row r="412" spans="1:11" ht="14.4" customHeight="1" x14ac:dyDescent="0.3">
      <c r="A412" s="660" t="s">
        <v>552</v>
      </c>
      <c r="B412" s="661" t="s">
        <v>553</v>
      </c>
      <c r="C412" s="662" t="s">
        <v>569</v>
      </c>
      <c r="D412" s="663" t="s">
        <v>1753</v>
      </c>
      <c r="E412" s="662" t="s">
        <v>3390</v>
      </c>
      <c r="F412" s="663" t="s">
        <v>3391</v>
      </c>
      <c r="G412" s="662" t="s">
        <v>3202</v>
      </c>
      <c r="H412" s="662" t="s">
        <v>3203</v>
      </c>
      <c r="I412" s="664">
        <v>1121.76</v>
      </c>
      <c r="J412" s="664">
        <v>12</v>
      </c>
      <c r="K412" s="665">
        <v>13461.1</v>
      </c>
    </row>
    <row r="413" spans="1:11" ht="14.4" customHeight="1" x14ac:dyDescent="0.3">
      <c r="A413" s="660" t="s">
        <v>552</v>
      </c>
      <c r="B413" s="661" t="s">
        <v>553</v>
      </c>
      <c r="C413" s="662" t="s">
        <v>569</v>
      </c>
      <c r="D413" s="663" t="s">
        <v>1753</v>
      </c>
      <c r="E413" s="662" t="s">
        <v>3390</v>
      </c>
      <c r="F413" s="663" t="s">
        <v>3391</v>
      </c>
      <c r="G413" s="662" t="s">
        <v>3204</v>
      </c>
      <c r="H413" s="662" t="s">
        <v>3205</v>
      </c>
      <c r="I413" s="664">
        <v>8448.52</v>
      </c>
      <c r="J413" s="664">
        <v>2</v>
      </c>
      <c r="K413" s="665">
        <v>16897.04</v>
      </c>
    </row>
    <row r="414" spans="1:11" ht="14.4" customHeight="1" x14ac:dyDescent="0.3">
      <c r="A414" s="660" t="s">
        <v>552</v>
      </c>
      <c r="B414" s="661" t="s">
        <v>553</v>
      </c>
      <c r="C414" s="662" t="s">
        <v>569</v>
      </c>
      <c r="D414" s="663" t="s">
        <v>1753</v>
      </c>
      <c r="E414" s="662" t="s">
        <v>3390</v>
      </c>
      <c r="F414" s="663" t="s">
        <v>3391</v>
      </c>
      <c r="G414" s="662" t="s">
        <v>3206</v>
      </c>
      <c r="H414" s="662" t="s">
        <v>3207</v>
      </c>
      <c r="I414" s="664">
        <v>1121.76</v>
      </c>
      <c r="J414" s="664">
        <v>6</v>
      </c>
      <c r="K414" s="665">
        <v>6730.55</v>
      </c>
    </row>
    <row r="415" spans="1:11" ht="14.4" customHeight="1" x14ac:dyDescent="0.3">
      <c r="A415" s="660" t="s">
        <v>552</v>
      </c>
      <c r="B415" s="661" t="s">
        <v>553</v>
      </c>
      <c r="C415" s="662" t="s">
        <v>569</v>
      </c>
      <c r="D415" s="663" t="s">
        <v>1753</v>
      </c>
      <c r="E415" s="662" t="s">
        <v>3390</v>
      </c>
      <c r="F415" s="663" t="s">
        <v>3391</v>
      </c>
      <c r="G415" s="662" t="s">
        <v>3208</v>
      </c>
      <c r="H415" s="662" t="s">
        <v>3209</v>
      </c>
      <c r="I415" s="664">
        <v>9158.7000000000007</v>
      </c>
      <c r="J415" s="664">
        <v>1</v>
      </c>
      <c r="K415" s="665">
        <v>9158.7000000000007</v>
      </c>
    </row>
    <row r="416" spans="1:11" ht="14.4" customHeight="1" x14ac:dyDescent="0.3">
      <c r="A416" s="660" t="s">
        <v>552</v>
      </c>
      <c r="B416" s="661" t="s">
        <v>553</v>
      </c>
      <c r="C416" s="662" t="s">
        <v>569</v>
      </c>
      <c r="D416" s="663" t="s">
        <v>1753</v>
      </c>
      <c r="E416" s="662" t="s">
        <v>3390</v>
      </c>
      <c r="F416" s="663" t="s">
        <v>3391</v>
      </c>
      <c r="G416" s="662" t="s">
        <v>3210</v>
      </c>
      <c r="H416" s="662" t="s">
        <v>3211</v>
      </c>
      <c r="I416" s="664">
        <v>40900</v>
      </c>
      <c r="J416" s="664">
        <v>1</v>
      </c>
      <c r="K416" s="665">
        <v>40900</v>
      </c>
    </row>
    <row r="417" spans="1:11" ht="14.4" customHeight="1" x14ac:dyDescent="0.3">
      <c r="A417" s="660" t="s">
        <v>552</v>
      </c>
      <c r="B417" s="661" t="s">
        <v>553</v>
      </c>
      <c r="C417" s="662" t="s">
        <v>569</v>
      </c>
      <c r="D417" s="663" t="s">
        <v>1753</v>
      </c>
      <c r="E417" s="662" t="s">
        <v>3390</v>
      </c>
      <c r="F417" s="663" t="s">
        <v>3391</v>
      </c>
      <c r="G417" s="662" t="s">
        <v>3212</v>
      </c>
      <c r="H417" s="662" t="s">
        <v>3213</v>
      </c>
      <c r="I417" s="664">
        <v>20895.5</v>
      </c>
      <c r="J417" s="664">
        <v>1</v>
      </c>
      <c r="K417" s="665">
        <v>20895.5</v>
      </c>
    </row>
    <row r="418" spans="1:11" ht="14.4" customHeight="1" x14ac:dyDescent="0.3">
      <c r="A418" s="660" t="s">
        <v>552</v>
      </c>
      <c r="B418" s="661" t="s">
        <v>553</v>
      </c>
      <c r="C418" s="662" t="s">
        <v>569</v>
      </c>
      <c r="D418" s="663" t="s">
        <v>1753</v>
      </c>
      <c r="E418" s="662" t="s">
        <v>3390</v>
      </c>
      <c r="F418" s="663" t="s">
        <v>3391</v>
      </c>
      <c r="G418" s="662" t="s">
        <v>3214</v>
      </c>
      <c r="H418" s="662" t="s">
        <v>3215</v>
      </c>
      <c r="I418" s="664">
        <v>20895.5</v>
      </c>
      <c r="J418" s="664">
        <v>1</v>
      </c>
      <c r="K418" s="665">
        <v>20895.5</v>
      </c>
    </row>
    <row r="419" spans="1:11" ht="14.4" customHeight="1" x14ac:dyDescent="0.3">
      <c r="A419" s="660" t="s">
        <v>552</v>
      </c>
      <c r="B419" s="661" t="s">
        <v>553</v>
      </c>
      <c r="C419" s="662" t="s">
        <v>569</v>
      </c>
      <c r="D419" s="663" t="s">
        <v>1753</v>
      </c>
      <c r="E419" s="662" t="s">
        <v>3390</v>
      </c>
      <c r="F419" s="663" t="s">
        <v>3391</v>
      </c>
      <c r="G419" s="662" t="s">
        <v>3216</v>
      </c>
      <c r="H419" s="662" t="s">
        <v>3217</v>
      </c>
      <c r="I419" s="664">
        <v>40900</v>
      </c>
      <c r="J419" s="664">
        <v>1</v>
      </c>
      <c r="K419" s="665">
        <v>40900</v>
      </c>
    </row>
    <row r="420" spans="1:11" ht="14.4" customHeight="1" x14ac:dyDescent="0.3">
      <c r="A420" s="660" t="s">
        <v>552</v>
      </c>
      <c r="B420" s="661" t="s">
        <v>553</v>
      </c>
      <c r="C420" s="662" t="s">
        <v>569</v>
      </c>
      <c r="D420" s="663" t="s">
        <v>1753</v>
      </c>
      <c r="E420" s="662" t="s">
        <v>3390</v>
      </c>
      <c r="F420" s="663" t="s">
        <v>3391</v>
      </c>
      <c r="G420" s="662" t="s">
        <v>3218</v>
      </c>
      <c r="H420" s="662" t="s">
        <v>3219</v>
      </c>
      <c r="I420" s="664">
        <v>1437.5</v>
      </c>
      <c r="J420" s="664">
        <v>160</v>
      </c>
      <c r="K420" s="665">
        <v>230000</v>
      </c>
    </row>
    <row r="421" spans="1:11" ht="14.4" customHeight="1" x14ac:dyDescent="0.3">
      <c r="A421" s="660" t="s">
        <v>552</v>
      </c>
      <c r="B421" s="661" t="s">
        <v>553</v>
      </c>
      <c r="C421" s="662" t="s">
        <v>569</v>
      </c>
      <c r="D421" s="663" t="s">
        <v>1753</v>
      </c>
      <c r="E421" s="662" t="s">
        <v>3390</v>
      </c>
      <c r="F421" s="663" t="s">
        <v>3391</v>
      </c>
      <c r="G421" s="662" t="s">
        <v>3220</v>
      </c>
      <c r="H421" s="662" t="s">
        <v>3221</v>
      </c>
      <c r="I421" s="664">
        <v>40900</v>
      </c>
      <c r="J421" s="664">
        <v>1</v>
      </c>
      <c r="K421" s="665">
        <v>40900</v>
      </c>
    </row>
    <row r="422" spans="1:11" ht="14.4" customHeight="1" x14ac:dyDescent="0.3">
      <c r="A422" s="660" t="s">
        <v>552</v>
      </c>
      <c r="B422" s="661" t="s">
        <v>553</v>
      </c>
      <c r="C422" s="662" t="s">
        <v>569</v>
      </c>
      <c r="D422" s="663" t="s">
        <v>1753</v>
      </c>
      <c r="E422" s="662" t="s">
        <v>3390</v>
      </c>
      <c r="F422" s="663" t="s">
        <v>3391</v>
      </c>
      <c r="G422" s="662" t="s">
        <v>3222</v>
      </c>
      <c r="H422" s="662" t="s">
        <v>3223</v>
      </c>
      <c r="I422" s="664">
        <v>15801</v>
      </c>
      <c r="J422" s="664">
        <v>1</v>
      </c>
      <c r="K422" s="665">
        <v>15801</v>
      </c>
    </row>
    <row r="423" spans="1:11" ht="14.4" customHeight="1" x14ac:dyDescent="0.3">
      <c r="A423" s="660" t="s">
        <v>552</v>
      </c>
      <c r="B423" s="661" t="s">
        <v>553</v>
      </c>
      <c r="C423" s="662" t="s">
        <v>569</v>
      </c>
      <c r="D423" s="663" t="s">
        <v>1753</v>
      </c>
      <c r="E423" s="662" t="s">
        <v>3390</v>
      </c>
      <c r="F423" s="663" t="s">
        <v>3391</v>
      </c>
      <c r="G423" s="662" t="s">
        <v>3224</v>
      </c>
      <c r="H423" s="662" t="s">
        <v>3225</v>
      </c>
      <c r="I423" s="664">
        <v>20895.5</v>
      </c>
      <c r="J423" s="664">
        <v>2</v>
      </c>
      <c r="K423" s="665">
        <v>41791</v>
      </c>
    </row>
    <row r="424" spans="1:11" ht="14.4" customHeight="1" x14ac:dyDescent="0.3">
      <c r="A424" s="660" t="s">
        <v>552</v>
      </c>
      <c r="B424" s="661" t="s">
        <v>553</v>
      </c>
      <c r="C424" s="662" t="s">
        <v>569</v>
      </c>
      <c r="D424" s="663" t="s">
        <v>1753</v>
      </c>
      <c r="E424" s="662" t="s">
        <v>3390</v>
      </c>
      <c r="F424" s="663" t="s">
        <v>3391</v>
      </c>
      <c r="G424" s="662" t="s">
        <v>3226</v>
      </c>
      <c r="H424" s="662" t="s">
        <v>3227</v>
      </c>
      <c r="I424" s="664">
        <v>52300</v>
      </c>
      <c r="J424" s="664">
        <v>2</v>
      </c>
      <c r="K424" s="665">
        <v>104600</v>
      </c>
    </row>
    <row r="425" spans="1:11" ht="14.4" customHeight="1" x14ac:dyDescent="0.3">
      <c r="A425" s="660" t="s">
        <v>552</v>
      </c>
      <c r="B425" s="661" t="s">
        <v>553</v>
      </c>
      <c r="C425" s="662" t="s">
        <v>569</v>
      </c>
      <c r="D425" s="663" t="s">
        <v>1753</v>
      </c>
      <c r="E425" s="662" t="s">
        <v>3390</v>
      </c>
      <c r="F425" s="663" t="s">
        <v>3391</v>
      </c>
      <c r="G425" s="662" t="s">
        <v>3228</v>
      </c>
      <c r="H425" s="662" t="s">
        <v>3229</v>
      </c>
      <c r="I425" s="664">
        <v>15801</v>
      </c>
      <c r="J425" s="664">
        <v>1</v>
      </c>
      <c r="K425" s="665">
        <v>15801</v>
      </c>
    </row>
    <row r="426" spans="1:11" ht="14.4" customHeight="1" x14ac:dyDescent="0.3">
      <c r="A426" s="660" t="s">
        <v>552</v>
      </c>
      <c r="B426" s="661" t="s">
        <v>553</v>
      </c>
      <c r="C426" s="662" t="s">
        <v>569</v>
      </c>
      <c r="D426" s="663" t="s">
        <v>1753</v>
      </c>
      <c r="E426" s="662" t="s">
        <v>3390</v>
      </c>
      <c r="F426" s="663" t="s">
        <v>3391</v>
      </c>
      <c r="G426" s="662" t="s">
        <v>3230</v>
      </c>
      <c r="H426" s="662" t="s">
        <v>3231</v>
      </c>
      <c r="I426" s="664">
        <v>1427.2</v>
      </c>
      <c r="J426" s="664">
        <v>1</v>
      </c>
      <c r="K426" s="665">
        <v>1427.2</v>
      </c>
    </row>
    <row r="427" spans="1:11" ht="14.4" customHeight="1" x14ac:dyDescent="0.3">
      <c r="A427" s="660" t="s">
        <v>552</v>
      </c>
      <c r="B427" s="661" t="s">
        <v>553</v>
      </c>
      <c r="C427" s="662" t="s">
        <v>569</v>
      </c>
      <c r="D427" s="663" t="s">
        <v>1753</v>
      </c>
      <c r="E427" s="662" t="s">
        <v>3390</v>
      </c>
      <c r="F427" s="663" t="s">
        <v>3391</v>
      </c>
      <c r="G427" s="662" t="s">
        <v>3232</v>
      </c>
      <c r="H427" s="662" t="s">
        <v>3233</v>
      </c>
      <c r="I427" s="664">
        <v>1427.28</v>
      </c>
      <c r="J427" s="664">
        <v>6</v>
      </c>
      <c r="K427" s="665">
        <v>8563.68</v>
      </c>
    </row>
    <row r="428" spans="1:11" ht="14.4" customHeight="1" x14ac:dyDescent="0.3">
      <c r="A428" s="660" t="s">
        <v>552</v>
      </c>
      <c r="B428" s="661" t="s">
        <v>553</v>
      </c>
      <c r="C428" s="662" t="s">
        <v>569</v>
      </c>
      <c r="D428" s="663" t="s">
        <v>1753</v>
      </c>
      <c r="E428" s="662" t="s">
        <v>3388</v>
      </c>
      <c r="F428" s="663" t="s">
        <v>3389</v>
      </c>
      <c r="G428" s="662" t="s">
        <v>3234</v>
      </c>
      <c r="H428" s="662" t="s">
        <v>3235</v>
      </c>
      <c r="I428" s="664">
        <v>1169.3</v>
      </c>
      <c r="J428" s="664">
        <v>35</v>
      </c>
      <c r="K428" s="665">
        <v>40925.339999999997</v>
      </c>
    </row>
    <row r="429" spans="1:11" ht="14.4" customHeight="1" x14ac:dyDescent="0.3">
      <c r="A429" s="660" t="s">
        <v>552</v>
      </c>
      <c r="B429" s="661" t="s">
        <v>553</v>
      </c>
      <c r="C429" s="662" t="s">
        <v>569</v>
      </c>
      <c r="D429" s="663" t="s">
        <v>1753</v>
      </c>
      <c r="E429" s="662" t="s">
        <v>3388</v>
      </c>
      <c r="F429" s="663" t="s">
        <v>3389</v>
      </c>
      <c r="G429" s="662" t="s">
        <v>3236</v>
      </c>
      <c r="H429" s="662" t="s">
        <v>3237</v>
      </c>
      <c r="I429" s="664">
        <v>1186.6500000000001</v>
      </c>
      <c r="J429" s="664">
        <v>10</v>
      </c>
      <c r="K429" s="665">
        <v>11866.47</v>
      </c>
    </row>
    <row r="430" spans="1:11" ht="14.4" customHeight="1" x14ac:dyDescent="0.3">
      <c r="A430" s="660" t="s">
        <v>552</v>
      </c>
      <c r="B430" s="661" t="s">
        <v>553</v>
      </c>
      <c r="C430" s="662" t="s">
        <v>569</v>
      </c>
      <c r="D430" s="663" t="s">
        <v>1753</v>
      </c>
      <c r="E430" s="662" t="s">
        <v>3388</v>
      </c>
      <c r="F430" s="663" t="s">
        <v>3389</v>
      </c>
      <c r="G430" s="662" t="s">
        <v>3238</v>
      </c>
      <c r="H430" s="662" t="s">
        <v>3239</v>
      </c>
      <c r="I430" s="664">
        <v>25300</v>
      </c>
      <c r="J430" s="664">
        <v>1</v>
      </c>
      <c r="K430" s="665">
        <v>25300</v>
      </c>
    </row>
    <row r="431" spans="1:11" ht="14.4" customHeight="1" x14ac:dyDescent="0.3">
      <c r="A431" s="660" t="s">
        <v>552</v>
      </c>
      <c r="B431" s="661" t="s">
        <v>553</v>
      </c>
      <c r="C431" s="662" t="s">
        <v>569</v>
      </c>
      <c r="D431" s="663" t="s">
        <v>1753</v>
      </c>
      <c r="E431" s="662" t="s">
        <v>3388</v>
      </c>
      <c r="F431" s="663" t="s">
        <v>3389</v>
      </c>
      <c r="G431" s="662" t="s">
        <v>3240</v>
      </c>
      <c r="H431" s="662" t="s">
        <v>3241</v>
      </c>
      <c r="I431" s="664">
        <v>1188</v>
      </c>
      <c r="J431" s="664">
        <v>115</v>
      </c>
      <c r="K431" s="665">
        <v>136620.25</v>
      </c>
    </row>
    <row r="432" spans="1:11" ht="14.4" customHeight="1" x14ac:dyDescent="0.3">
      <c r="A432" s="660" t="s">
        <v>552</v>
      </c>
      <c r="B432" s="661" t="s">
        <v>553</v>
      </c>
      <c r="C432" s="662" t="s">
        <v>569</v>
      </c>
      <c r="D432" s="663" t="s">
        <v>1753</v>
      </c>
      <c r="E432" s="662" t="s">
        <v>3388</v>
      </c>
      <c r="F432" s="663" t="s">
        <v>3389</v>
      </c>
      <c r="G432" s="662" t="s">
        <v>3242</v>
      </c>
      <c r="H432" s="662" t="s">
        <v>3243</v>
      </c>
      <c r="I432" s="664">
        <v>18952.773999999998</v>
      </c>
      <c r="J432" s="664">
        <v>6</v>
      </c>
      <c r="K432" s="665">
        <v>113716.52</v>
      </c>
    </row>
    <row r="433" spans="1:11" ht="14.4" customHeight="1" x14ac:dyDescent="0.3">
      <c r="A433" s="660" t="s">
        <v>552</v>
      </c>
      <c r="B433" s="661" t="s">
        <v>553</v>
      </c>
      <c r="C433" s="662" t="s">
        <v>569</v>
      </c>
      <c r="D433" s="663" t="s">
        <v>1753</v>
      </c>
      <c r="E433" s="662" t="s">
        <v>3388</v>
      </c>
      <c r="F433" s="663" t="s">
        <v>3389</v>
      </c>
      <c r="G433" s="662" t="s">
        <v>3244</v>
      </c>
      <c r="H433" s="662" t="s">
        <v>3245</v>
      </c>
      <c r="I433" s="664">
        <v>4600</v>
      </c>
      <c r="J433" s="664">
        <v>20</v>
      </c>
      <c r="K433" s="665">
        <v>92000</v>
      </c>
    </row>
    <row r="434" spans="1:11" ht="14.4" customHeight="1" x14ac:dyDescent="0.3">
      <c r="A434" s="660" t="s">
        <v>552</v>
      </c>
      <c r="B434" s="661" t="s">
        <v>553</v>
      </c>
      <c r="C434" s="662" t="s">
        <v>569</v>
      </c>
      <c r="D434" s="663" t="s">
        <v>1753</v>
      </c>
      <c r="E434" s="662" t="s">
        <v>3388</v>
      </c>
      <c r="F434" s="663" t="s">
        <v>3389</v>
      </c>
      <c r="G434" s="662" t="s">
        <v>3246</v>
      </c>
      <c r="H434" s="662" t="s">
        <v>3247</v>
      </c>
      <c r="I434" s="664">
        <v>1169.3</v>
      </c>
      <c r="J434" s="664">
        <v>5</v>
      </c>
      <c r="K434" s="665">
        <v>5846.48</v>
      </c>
    </row>
    <row r="435" spans="1:11" ht="14.4" customHeight="1" x14ac:dyDescent="0.3">
      <c r="A435" s="660" t="s">
        <v>552</v>
      </c>
      <c r="B435" s="661" t="s">
        <v>553</v>
      </c>
      <c r="C435" s="662" t="s">
        <v>569</v>
      </c>
      <c r="D435" s="663" t="s">
        <v>1753</v>
      </c>
      <c r="E435" s="662" t="s">
        <v>3388</v>
      </c>
      <c r="F435" s="663" t="s">
        <v>3389</v>
      </c>
      <c r="G435" s="662" t="s">
        <v>3248</v>
      </c>
      <c r="H435" s="662" t="s">
        <v>3249</v>
      </c>
      <c r="I435" s="664">
        <v>1169.2974999999999</v>
      </c>
      <c r="J435" s="664">
        <v>25</v>
      </c>
      <c r="K435" s="665">
        <v>29232.39</v>
      </c>
    </row>
    <row r="436" spans="1:11" ht="14.4" customHeight="1" x14ac:dyDescent="0.3">
      <c r="A436" s="660" t="s">
        <v>552</v>
      </c>
      <c r="B436" s="661" t="s">
        <v>553</v>
      </c>
      <c r="C436" s="662" t="s">
        <v>569</v>
      </c>
      <c r="D436" s="663" t="s">
        <v>1753</v>
      </c>
      <c r="E436" s="662" t="s">
        <v>3388</v>
      </c>
      <c r="F436" s="663" t="s">
        <v>3389</v>
      </c>
      <c r="G436" s="662" t="s">
        <v>3250</v>
      </c>
      <c r="H436" s="662" t="s">
        <v>3251</v>
      </c>
      <c r="I436" s="664">
        <v>1285.02</v>
      </c>
      <c r="J436" s="664">
        <v>5</v>
      </c>
      <c r="K436" s="665">
        <v>6425.1</v>
      </c>
    </row>
    <row r="437" spans="1:11" ht="14.4" customHeight="1" x14ac:dyDescent="0.3">
      <c r="A437" s="660" t="s">
        <v>552</v>
      </c>
      <c r="B437" s="661" t="s">
        <v>553</v>
      </c>
      <c r="C437" s="662" t="s">
        <v>569</v>
      </c>
      <c r="D437" s="663" t="s">
        <v>1753</v>
      </c>
      <c r="E437" s="662" t="s">
        <v>3388</v>
      </c>
      <c r="F437" s="663" t="s">
        <v>3389</v>
      </c>
      <c r="G437" s="662" t="s">
        <v>3252</v>
      </c>
      <c r="H437" s="662" t="s">
        <v>3253</v>
      </c>
      <c r="I437" s="664">
        <v>39697.910000000003</v>
      </c>
      <c r="J437" s="664">
        <v>3</v>
      </c>
      <c r="K437" s="665">
        <v>119093.73000000001</v>
      </c>
    </row>
    <row r="438" spans="1:11" ht="14.4" customHeight="1" x14ac:dyDescent="0.3">
      <c r="A438" s="660" t="s">
        <v>552</v>
      </c>
      <c r="B438" s="661" t="s">
        <v>553</v>
      </c>
      <c r="C438" s="662" t="s">
        <v>569</v>
      </c>
      <c r="D438" s="663" t="s">
        <v>1753</v>
      </c>
      <c r="E438" s="662" t="s">
        <v>3392</v>
      </c>
      <c r="F438" s="663" t="s">
        <v>3393</v>
      </c>
      <c r="G438" s="662" t="s">
        <v>3254</v>
      </c>
      <c r="H438" s="662" t="s">
        <v>3255</v>
      </c>
      <c r="I438" s="664">
        <v>3006.31</v>
      </c>
      <c r="J438" s="664">
        <v>6</v>
      </c>
      <c r="K438" s="665">
        <v>18037.830000000002</v>
      </c>
    </row>
    <row r="439" spans="1:11" ht="14.4" customHeight="1" x14ac:dyDescent="0.3">
      <c r="A439" s="660" t="s">
        <v>552</v>
      </c>
      <c r="B439" s="661" t="s">
        <v>553</v>
      </c>
      <c r="C439" s="662" t="s">
        <v>569</v>
      </c>
      <c r="D439" s="663" t="s">
        <v>1753</v>
      </c>
      <c r="E439" s="662" t="s">
        <v>3392</v>
      </c>
      <c r="F439" s="663" t="s">
        <v>3393</v>
      </c>
      <c r="G439" s="662" t="s">
        <v>3256</v>
      </c>
      <c r="H439" s="662" t="s">
        <v>3257</v>
      </c>
      <c r="I439" s="664">
        <v>2543.9899999999998</v>
      </c>
      <c r="J439" s="664">
        <v>6</v>
      </c>
      <c r="K439" s="665">
        <v>15263.97</v>
      </c>
    </row>
    <row r="440" spans="1:11" ht="14.4" customHeight="1" x14ac:dyDescent="0.3">
      <c r="A440" s="660" t="s">
        <v>552</v>
      </c>
      <c r="B440" s="661" t="s">
        <v>553</v>
      </c>
      <c r="C440" s="662" t="s">
        <v>569</v>
      </c>
      <c r="D440" s="663" t="s">
        <v>1753</v>
      </c>
      <c r="E440" s="662" t="s">
        <v>3378</v>
      </c>
      <c r="F440" s="663" t="s">
        <v>3379</v>
      </c>
      <c r="G440" s="662" t="s">
        <v>2800</v>
      </c>
      <c r="H440" s="662" t="s">
        <v>2801</v>
      </c>
      <c r="I440" s="664">
        <v>8.17</v>
      </c>
      <c r="J440" s="664">
        <v>300</v>
      </c>
      <c r="K440" s="665">
        <v>2451</v>
      </c>
    </row>
    <row r="441" spans="1:11" ht="14.4" customHeight="1" x14ac:dyDescent="0.3">
      <c r="A441" s="660" t="s">
        <v>552</v>
      </c>
      <c r="B441" s="661" t="s">
        <v>553</v>
      </c>
      <c r="C441" s="662" t="s">
        <v>569</v>
      </c>
      <c r="D441" s="663" t="s">
        <v>1753</v>
      </c>
      <c r="E441" s="662" t="s">
        <v>3378</v>
      </c>
      <c r="F441" s="663" t="s">
        <v>3379</v>
      </c>
      <c r="G441" s="662" t="s">
        <v>2802</v>
      </c>
      <c r="H441" s="662" t="s">
        <v>2803</v>
      </c>
      <c r="I441" s="664">
        <v>150</v>
      </c>
      <c r="J441" s="664">
        <v>100</v>
      </c>
      <c r="K441" s="665">
        <v>15000.18</v>
      </c>
    </row>
    <row r="442" spans="1:11" ht="14.4" customHeight="1" x14ac:dyDescent="0.3">
      <c r="A442" s="660" t="s">
        <v>552</v>
      </c>
      <c r="B442" s="661" t="s">
        <v>553</v>
      </c>
      <c r="C442" s="662" t="s">
        <v>569</v>
      </c>
      <c r="D442" s="663" t="s">
        <v>1753</v>
      </c>
      <c r="E442" s="662" t="s">
        <v>3378</v>
      </c>
      <c r="F442" s="663" t="s">
        <v>3379</v>
      </c>
      <c r="G442" s="662" t="s">
        <v>3258</v>
      </c>
      <c r="H442" s="662" t="s">
        <v>3259</v>
      </c>
      <c r="I442" s="664">
        <v>12.78</v>
      </c>
      <c r="J442" s="664">
        <v>100</v>
      </c>
      <c r="K442" s="665">
        <v>1278</v>
      </c>
    </row>
    <row r="443" spans="1:11" ht="14.4" customHeight="1" x14ac:dyDescent="0.3">
      <c r="A443" s="660" t="s">
        <v>552</v>
      </c>
      <c r="B443" s="661" t="s">
        <v>553</v>
      </c>
      <c r="C443" s="662" t="s">
        <v>569</v>
      </c>
      <c r="D443" s="663" t="s">
        <v>1753</v>
      </c>
      <c r="E443" s="662" t="s">
        <v>3378</v>
      </c>
      <c r="F443" s="663" t="s">
        <v>3379</v>
      </c>
      <c r="G443" s="662" t="s">
        <v>3260</v>
      </c>
      <c r="H443" s="662" t="s">
        <v>3261</v>
      </c>
      <c r="I443" s="664">
        <v>793.93</v>
      </c>
      <c r="J443" s="664">
        <v>70</v>
      </c>
      <c r="K443" s="665">
        <v>55575.05</v>
      </c>
    </row>
    <row r="444" spans="1:11" ht="14.4" customHeight="1" x14ac:dyDescent="0.3">
      <c r="A444" s="660" t="s">
        <v>552</v>
      </c>
      <c r="B444" s="661" t="s">
        <v>553</v>
      </c>
      <c r="C444" s="662" t="s">
        <v>569</v>
      </c>
      <c r="D444" s="663" t="s">
        <v>1753</v>
      </c>
      <c r="E444" s="662" t="s">
        <v>3378</v>
      </c>
      <c r="F444" s="663" t="s">
        <v>3379</v>
      </c>
      <c r="G444" s="662" t="s">
        <v>3262</v>
      </c>
      <c r="H444" s="662" t="s">
        <v>3263</v>
      </c>
      <c r="I444" s="664">
        <v>60.5</v>
      </c>
      <c r="J444" s="664">
        <v>100</v>
      </c>
      <c r="K444" s="665">
        <v>6050</v>
      </c>
    </row>
    <row r="445" spans="1:11" ht="14.4" customHeight="1" x14ac:dyDescent="0.3">
      <c r="A445" s="660" t="s">
        <v>552</v>
      </c>
      <c r="B445" s="661" t="s">
        <v>553</v>
      </c>
      <c r="C445" s="662" t="s">
        <v>569</v>
      </c>
      <c r="D445" s="663" t="s">
        <v>1753</v>
      </c>
      <c r="E445" s="662" t="s">
        <v>3378</v>
      </c>
      <c r="F445" s="663" t="s">
        <v>3379</v>
      </c>
      <c r="G445" s="662" t="s">
        <v>3264</v>
      </c>
      <c r="H445" s="662" t="s">
        <v>3265</v>
      </c>
      <c r="I445" s="664">
        <v>1010.35</v>
      </c>
      <c r="J445" s="664">
        <v>5</v>
      </c>
      <c r="K445" s="665">
        <v>5051.75</v>
      </c>
    </row>
    <row r="446" spans="1:11" ht="14.4" customHeight="1" x14ac:dyDescent="0.3">
      <c r="A446" s="660" t="s">
        <v>552</v>
      </c>
      <c r="B446" s="661" t="s">
        <v>553</v>
      </c>
      <c r="C446" s="662" t="s">
        <v>569</v>
      </c>
      <c r="D446" s="663" t="s">
        <v>1753</v>
      </c>
      <c r="E446" s="662" t="s">
        <v>3378</v>
      </c>
      <c r="F446" s="663" t="s">
        <v>3379</v>
      </c>
      <c r="G446" s="662" t="s">
        <v>3266</v>
      </c>
      <c r="H446" s="662" t="s">
        <v>3267</v>
      </c>
      <c r="I446" s="664">
        <v>5770.46</v>
      </c>
      <c r="J446" s="664">
        <v>3</v>
      </c>
      <c r="K446" s="665">
        <v>17311.37</v>
      </c>
    </row>
    <row r="447" spans="1:11" ht="14.4" customHeight="1" x14ac:dyDescent="0.3">
      <c r="A447" s="660" t="s">
        <v>552</v>
      </c>
      <c r="B447" s="661" t="s">
        <v>553</v>
      </c>
      <c r="C447" s="662" t="s">
        <v>569</v>
      </c>
      <c r="D447" s="663" t="s">
        <v>1753</v>
      </c>
      <c r="E447" s="662" t="s">
        <v>3378</v>
      </c>
      <c r="F447" s="663" t="s">
        <v>3379</v>
      </c>
      <c r="G447" s="662" t="s">
        <v>3268</v>
      </c>
      <c r="H447" s="662" t="s">
        <v>3269</v>
      </c>
      <c r="I447" s="664">
        <v>1652.86</v>
      </c>
      <c r="J447" s="664">
        <v>2</v>
      </c>
      <c r="K447" s="665">
        <v>3305.72</v>
      </c>
    </row>
    <row r="448" spans="1:11" ht="14.4" customHeight="1" x14ac:dyDescent="0.3">
      <c r="A448" s="660" t="s">
        <v>552</v>
      </c>
      <c r="B448" s="661" t="s">
        <v>553</v>
      </c>
      <c r="C448" s="662" t="s">
        <v>569</v>
      </c>
      <c r="D448" s="663" t="s">
        <v>1753</v>
      </c>
      <c r="E448" s="662" t="s">
        <v>3378</v>
      </c>
      <c r="F448" s="663" t="s">
        <v>3379</v>
      </c>
      <c r="G448" s="662" t="s">
        <v>3270</v>
      </c>
      <c r="H448" s="662" t="s">
        <v>3271</v>
      </c>
      <c r="I448" s="664">
        <v>2407.9</v>
      </c>
      <c r="J448" s="664">
        <v>1</v>
      </c>
      <c r="K448" s="665">
        <v>2407.9</v>
      </c>
    </row>
    <row r="449" spans="1:11" ht="14.4" customHeight="1" x14ac:dyDescent="0.3">
      <c r="A449" s="660" t="s">
        <v>552</v>
      </c>
      <c r="B449" s="661" t="s">
        <v>553</v>
      </c>
      <c r="C449" s="662" t="s">
        <v>569</v>
      </c>
      <c r="D449" s="663" t="s">
        <v>1753</v>
      </c>
      <c r="E449" s="662" t="s">
        <v>3394</v>
      </c>
      <c r="F449" s="663" t="s">
        <v>3395</v>
      </c>
      <c r="G449" s="662" t="s">
        <v>3272</v>
      </c>
      <c r="H449" s="662" t="s">
        <v>3273</v>
      </c>
      <c r="I449" s="664">
        <v>58.24</v>
      </c>
      <c r="J449" s="664">
        <v>144</v>
      </c>
      <c r="K449" s="665">
        <v>8385.98</v>
      </c>
    </row>
    <row r="450" spans="1:11" ht="14.4" customHeight="1" x14ac:dyDescent="0.3">
      <c r="A450" s="660" t="s">
        <v>552</v>
      </c>
      <c r="B450" s="661" t="s">
        <v>553</v>
      </c>
      <c r="C450" s="662" t="s">
        <v>569</v>
      </c>
      <c r="D450" s="663" t="s">
        <v>1753</v>
      </c>
      <c r="E450" s="662" t="s">
        <v>3394</v>
      </c>
      <c r="F450" s="663" t="s">
        <v>3395</v>
      </c>
      <c r="G450" s="662" t="s">
        <v>3274</v>
      </c>
      <c r="H450" s="662" t="s">
        <v>3275</v>
      </c>
      <c r="I450" s="664">
        <v>180.92</v>
      </c>
      <c r="J450" s="664">
        <v>132</v>
      </c>
      <c r="K450" s="665">
        <v>23881.309999999998</v>
      </c>
    </row>
    <row r="451" spans="1:11" ht="14.4" customHeight="1" x14ac:dyDescent="0.3">
      <c r="A451" s="660" t="s">
        <v>552</v>
      </c>
      <c r="B451" s="661" t="s">
        <v>553</v>
      </c>
      <c r="C451" s="662" t="s">
        <v>569</v>
      </c>
      <c r="D451" s="663" t="s">
        <v>1753</v>
      </c>
      <c r="E451" s="662" t="s">
        <v>3394</v>
      </c>
      <c r="F451" s="663" t="s">
        <v>3395</v>
      </c>
      <c r="G451" s="662" t="s">
        <v>3276</v>
      </c>
      <c r="H451" s="662" t="s">
        <v>3277</v>
      </c>
      <c r="I451" s="664">
        <v>360.29</v>
      </c>
      <c r="J451" s="664">
        <v>288</v>
      </c>
      <c r="K451" s="665">
        <v>103763.58</v>
      </c>
    </row>
    <row r="452" spans="1:11" ht="14.4" customHeight="1" x14ac:dyDescent="0.3">
      <c r="A452" s="660" t="s">
        <v>552</v>
      </c>
      <c r="B452" s="661" t="s">
        <v>553</v>
      </c>
      <c r="C452" s="662" t="s">
        <v>569</v>
      </c>
      <c r="D452" s="663" t="s">
        <v>1753</v>
      </c>
      <c r="E452" s="662" t="s">
        <v>3394</v>
      </c>
      <c r="F452" s="663" t="s">
        <v>3395</v>
      </c>
      <c r="G452" s="662" t="s">
        <v>3278</v>
      </c>
      <c r="H452" s="662" t="s">
        <v>3279</v>
      </c>
      <c r="I452" s="664">
        <v>195.88</v>
      </c>
      <c r="J452" s="664">
        <v>144</v>
      </c>
      <c r="K452" s="665">
        <v>28206.74</v>
      </c>
    </row>
    <row r="453" spans="1:11" ht="14.4" customHeight="1" x14ac:dyDescent="0.3">
      <c r="A453" s="660" t="s">
        <v>552</v>
      </c>
      <c r="B453" s="661" t="s">
        <v>553</v>
      </c>
      <c r="C453" s="662" t="s">
        <v>569</v>
      </c>
      <c r="D453" s="663" t="s">
        <v>1753</v>
      </c>
      <c r="E453" s="662" t="s">
        <v>3394</v>
      </c>
      <c r="F453" s="663" t="s">
        <v>3395</v>
      </c>
      <c r="G453" s="662" t="s">
        <v>3280</v>
      </c>
      <c r="H453" s="662" t="s">
        <v>3281</v>
      </c>
      <c r="I453" s="664">
        <v>45.61</v>
      </c>
      <c r="J453" s="664">
        <v>108</v>
      </c>
      <c r="K453" s="665">
        <v>4925.57</v>
      </c>
    </row>
    <row r="454" spans="1:11" ht="14.4" customHeight="1" x14ac:dyDescent="0.3">
      <c r="A454" s="660" t="s">
        <v>552</v>
      </c>
      <c r="B454" s="661" t="s">
        <v>553</v>
      </c>
      <c r="C454" s="662" t="s">
        <v>569</v>
      </c>
      <c r="D454" s="663" t="s">
        <v>1753</v>
      </c>
      <c r="E454" s="662" t="s">
        <v>3394</v>
      </c>
      <c r="F454" s="663" t="s">
        <v>3395</v>
      </c>
      <c r="G454" s="662" t="s">
        <v>3282</v>
      </c>
      <c r="H454" s="662" t="s">
        <v>3283</v>
      </c>
      <c r="I454" s="664">
        <v>33.35</v>
      </c>
      <c r="J454" s="664">
        <v>240</v>
      </c>
      <c r="K454" s="665">
        <v>8004</v>
      </c>
    </row>
    <row r="455" spans="1:11" ht="14.4" customHeight="1" x14ac:dyDescent="0.3">
      <c r="A455" s="660" t="s">
        <v>552</v>
      </c>
      <c r="B455" s="661" t="s">
        <v>553</v>
      </c>
      <c r="C455" s="662" t="s">
        <v>569</v>
      </c>
      <c r="D455" s="663" t="s">
        <v>1753</v>
      </c>
      <c r="E455" s="662" t="s">
        <v>3394</v>
      </c>
      <c r="F455" s="663" t="s">
        <v>3395</v>
      </c>
      <c r="G455" s="662" t="s">
        <v>3284</v>
      </c>
      <c r="H455" s="662" t="s">
        <v>3285</v>
      </c>
      <c r="I455" s="664">
        <v>67.849999999999994</v>
      </c>
      <c r="J455" s="664">
        <v>216</v>
      </c>
      <c r="K455" s="665">
        <v>14655.6</v>
      </c>
    </row>
    <row r="456" spans="1:11" ht="14.4" customHeight="1" x14ac:dyDescent="0.3">
      <c r="A456" s="660" t="s">
        <v>552</v>
      </c>
      <c r="B456" s="661" t="s">
        <v>553</v>
      </c>
      <c r="C456" s="662" t="s">
        <v>569</v>
      </c>
      <c r="D456" s="663" t="s">
        <v>1753</v>
      </c>
      <c r="E456" s="662" t="s">
        <v>3394</v>
      </c>
      <c r="F456" s="663" t="s">
        <v>3395</v>
      </c>
      <c r="G456" s="662" t="s">
        <v>3286</v>
      </c>
      <c r="H456" s="662" t="s">
        <v>3287</v>
      </c>
      <c r="I456" s="664">
        <v>69</v>
      </c>
      <c r="J456" s="664">
        <v>144</v>
      </c>
      <c r="K456" s="665">
        <v>9936</v>
      </c>
    </row>
    <row r="457" spans="1:11" ht="14.4" customHeight="1" x14ac:dyDescent="0.3">
      <c r="A457" s="660" t="s">
        <v>552</v>
      </c>
      <c r="B457" s="661" t="s">
        <v>553</v>
      </c>
      <c r="C457" s="662" t="s">
        <v>569</v>
      </c>
      <c r="D457" s="663" t="s">
        <v>1753</v>
      </c>
      <c r="E457" s="662" t="s">
        <v>3394</v>
      </c>
      <c r="F457" s="663" t="s">
        <v>3395</v>
      </c>
      <c r="G457" s="662" t="s">
        <v>3288</v>
      </c>
      <c r="H457" s="662" t="s">
        <v>3289</v>
      </c>
      <c r="I457" s="664">
        <v>168.78</v>
      </c>
      <c r="J457" s="664">
        <v>36</v>
      </c>
      <c r="K457" s="665">
        <v>6076.14</v>
      </c>
    </row>
    <row r="458" spans="1:11" ht="14.4" customHeight="1" x14ac:dyDescent="0.3">
      <c r="A458" s="660" t="s">
        <v>552</v>
      </c>
      <c r="B458" s="661" t="s">
        <v>553</v>
      </c>
      <c r="C458" s="662" t="s">
        <v>569</v>
      </c>
      <c r="D458" s="663" t="s">
        <v>1753</v>
      </c>
      <c r="E458" s="662" t="s">
        <v>3394</v>
      </c>
      <c r="F458" s="663" t="s">
        <v>3395</v>
      </c>
      <c r="G458" s="662" t="s">
        <v>3290</v>
      </c>
      <c r="H458" s="662" t="s">
        <v>3291</v>
      </c>
      <c r="I458" s="664">
        <v>315.33</v>
      </c>
      <c r="J458" s="664">
        <v>24</v>
      </c>
      <c r="K458" s="665">
        <v>7567.81</v>
      </c>
    </row>
    <row r="459" spans="1:11" ht="14.4" customHeight="1" x14ac:dyDescent="0.3">
      <c r="A459" s="660" t="s">
        <v>552</v>
      </c>
      <c r="B459" s="661" t="s">
        <v>553</v>
      </c>
      <c r="C459" s="662" t="s">
        <v>569</v>
      </c>
      <c r="D459" s="663" t="s">
        <v>1753</v>
      </c>
      <c r="E459" s="662" t="s">
        <v>3394</v>
      </c>
      <c r="F459" s="663" t="s">
        <v>3395</v>
      </c>
      <c r="G459" s="662" t="s">
        <v>3292</v>
      </c>
      <c r="H459" s="662" t="s">
        <v>3293</v>
      </c>
      <c r="I459" s="664">
        <v>479.92</v>
      </c>
      <c r="J459" s="664">
        <v>24</v>
      </c>
      <c r="K459" s="665">
        <v>11518.19</v>
      </c>
    </row>
    <row r="460" spans="1:11" ht="14.4" customHeight="1" x14ac:dyDescent="0.3">
      <c r="A460" s="660" t="s">
        <v>552</v>
      </c>
      <c r="B460" s="661" t="s">
        <v>553</v>
      </c>
      <c r="C460" s="662" t="s">
        <v>569</v>
      </c>
      <c r="D460" s="663" t="s">
        <v>1753</v>
      </c>
      <c r="E460" s="662" t="s">
        <v>3394</v>
      </c>
      <c r="F460" s="663" t="s">
        <v>3395</v>
      </c>
      <c r="G460" s="662" t="s">
        <v>3294</v>
      </c>
      <c r="H460" s="662" t="s">
        <v>3295</v>
      </c>
      <c r="I460" s="664">
        <v>154.28</v>
      </c>
      <c r="J460" s="664">
        <v>72</v>
      </c>
      <c r="K460" s="665">
        <v>11108.31</v>
      </c>
    </row>
    <row r="461" spans="1:11" ht="14.4" customHeight="1" x14ac:dyDescent="0.3">
      <c r="A461" s="660" t="s">
        <v>552</v>
      </c>
      <c r="B461" s="661" t="s">
        <v>553</v>
      </c>
      <c r="C461" s="662" t="s">
        <v>569</v>
      </c>
      <c r="D461" s="663" t="s">
        <v>1753</v>
      </c>
      <c r="E461" s="662" t="s">
        <v>3394</v>
      </c>
      <c r="F461" s="663" t="s">
        <v>3395</v>
      </c>
      <c r="G461" s="662" t="s">
        <v>3296</v>
      </c>
      <c r="H461" s="662" t="s">
        <v>3297</v>
      </c>
      <c r="I461" s="664">
        <v>52.9</v>
      </c>
      <c r="J461" s="664">
        <v>240</v>
      </c>
      <c r="K461" s="665">
        <v>12696</v>
      </c>
    </row>
    <row r="462" spans="1:11" ht="14.4" customHeight="1" x14ac:dyDescent="0.3">
      <c r="A462" s="660" t="s">
        <v>552</v>
      </c>
      <c r="B462" s="661" t="s">
        <v>553</v>
      </c>
      <c r="C462" s="662" t="s">
        <v>569</v>
      </c>
      <c r="D462" s="663" t="s">
        <v>1753</v>
      </c>
      <c r="E462" s="662" t="s">
        <v>3394</v>
      </c>
      <c r="F462" s="663" t="s">
        <v>3395</v>
      </c>
      <c r="G462" s="662" t="s">
        <v>3298</v>
      </c>
      <c r="H462" s="662" t="s">
        <v>3299</v>
      </c>
      <c r="I462" s="664">
        <v>65.55</v>
      </c>
      <c r="J462" s="664">
        <v>108</v>
      </c>
      <c r="K462" s="665">
        <v>7079.4000000000005</v>
      </c>
    </row>
    <row r="463" spans="1:11" ht="14.4" customHeight="1" x14ac:dyDescent="0.3">
      <c r="A463" s="660" t="s">
        <v>552</v>
      </c>
      <c r="B463" s="661" t="s">
        <v>553</v>
      </c>
      <c r="C463" s="662" t="s">
        <v>569</v>
      </c>
      <c r="D463" s="663" t="s">
        <v>1753</v>
      </c>
      <c r="E463" s="662" t="s">
        <v>3394</v>
      </c>
      <c r="F463" s="663" t="s">
        <v>3395</v>
      </c>
      <c r="G463" s="662" t="s">
        <v>3300</v>
      </c>
      <c r="H463" s="662" t="s">
        <v>3301</v>
      </c>
      <c r="I463" s="664">
        <v>75.03</v>
      </c>
      <c r="J463" s="664">
        <v>36</v>
      </c>
      <c r="K463" s="665">
        <v>2701.08</v>
      </c>
    </row>
    <row r="464" spans="1:11" ht="14.4" customHeight="1" x14ac:dyDescent="0.3">
      <c r="A464" s="660" t="s">
        <v>552</v>
      </c>
      <c r="B464" s="661" t="s">
        <v>553</v>
      </c>
      <c r="C464" s="662" t="s">
        <v>569</v>
      </c>
      <c r="D464" s="663" t="s">
        <v>1753</v>
      </c>
      <c r="E464" s="662" t="s">
        <v>3394</v>
      </c>
      <c r="F464" s="663" t="s">
        <v>3395</v>
      </c>
      <c r="G464" s="662" t="s">
        <v>3302</v>
      </c>
      <c r="H464" s="662" t="s">
        <v>3303</v>
      </c>
      <c r="I464" s="664">
        <v>52.9</v>
      </c>
      <c r="J464" s="664">
        <v>120</v>
      </c>
      <c r="K464" s="665">
        <v>6348</v>
      </c>
    </row>
    <row r="465" spans="1:11" ht="14.4" customHeight="1" x14ac:dyDescent="0.3">
      <c r="A465" s="660" t="s">
        <v>552</v>
      </c>
      <c r="B465" s="661" t="s">
        <v>553</v>
      </c>
      <c r="C465" s="662" t="s">
        <v>569</v>
      </c>
      <c r="D465" s="663" t="s">
        <v>1753</v>
      </c>
      <c r="E465" s="662" t="s">
        <v>3394</v>
      </c>
      <c r="F465" s="663" t="s">
        <v>3395</v>
      </c>
      <c r="G465" s="662" t="s">
        <v>3304</v>
      </c>
      <c r="H465" s="662" t="s">
        <v>3305</v>
      </c>
      <c r="I465" s="664">
        <v>171.23</v>
      </c>
      <c r="J465" s="664">
        <v>12</v>
      </c>
      <c r="K465" s="665">
        <v>2054.71</v>
      </c>
    </row>
    <row r="466" spans="1:11" ht="14.4" customHeight="1" x14ac:dyDescent="0.3">
      <c r="A466" s="660" t="s">
        <v>552</v>
      </c>
      <c r="B466" s="661" t="s">
        <v>553</v>
      </c>
      <c r="C466" s="662" t="s">
        <v>569</v>
      </c>
      <c r="D466" s="663" t="s">
        <v>1753</v>
      </c>
      <c r="E466" s="662" t="s">
        <v>3394</v>
      </c>
      <c r="F466" s="663" t="s">
        <v>3395</v>
      </c>
      <c r="G466" s="662" t="s">
        <v>3306</v>
      </c>
      <c r="H466" s="662" t="s">
        <v>3307</v>
      </c>
      <c r="I466" s="664">
        <v>47.99</v>
      </c>
      <c r="J466" s="664">
        <v>36</v>
      </c>
      <c r="K466" s="665">
        <v>1727.53</v>
      </c>
    </row>
    <row r="467" spans="1:11" ht="14.4" customHeight="1" x14ac:dyDescent="0.3">
      <c r="A467" s="660" t="s">
        <v>552</v>
      </c>
      <c r="B467" s="661" t="s">
        <v>553</v>
      </c>
      <c r="C467" s="662" t="s">
        <v>569</v>
      </c>
      <c r="D467" s="663" t="s">
        <v>1753</v>
      </c>
      <c r="E467" s="662" t="s">
        <v>3394</v>
      </c>
      <c r="F467" s="663" t="s">
        <v>3395</v>
      </c>
      <c r="G467" s="662" t="s">
        <v>3308</v>
      </c>
      <c r="H467" s="662" t="s">
        <v>3309</v>
      </c>
      <c r="I467" s="664">
        <v>570.86</v>
      </c>
      <c r="J467" s="664">
        <v>12</v>
      </c>
      <c r="K467" s="665">
        <v>6850.32</v>
      </c>
    </row>
    <row r="468" spans="1:11" ht="14.4" customHeight="1" x14ac:dyDescent="0.3">
      <c r="A468" s="660" t="s">
        <v>552</v>
      </c>
      <c r="B468" s="661" t="s">
        <v>553</v>
      </c>
      <c r="C468" s="662" t="s">
        <v>569</v>
      </c>
      <c r="D468" s="663" t="s">
        <v>1753</v>
      </c>
      <c r="E468" s="662" t="s">
        <v>3394</v>
      </c>
      <c r="F468" s="663" t="s">
        <v>3395</v>
      </c>
      <c r="G468" s="662" t="s">
        <v>3310</v>
      </c>
      <c r="H468" s="662" t="s">
        <v>3311</v>
      </c>
      <c r="I468" s="664">
        <v>421.26</v>
      </c>
      <c r="J468" s="664">
        <v>24</v>
      </c>
      <c r="K468" s="665">
        <v>10110.34</v>
      </c>
    </row>
    <row r="469" spans="1:11" ht="14.4" customHeight="1" x14ac:dyDescent="0.3">
      <c r="A469" s="660" t="s">
        <v>552</v>
      </c>
      <c r="B469" s="661" t="s">
        <v>553</v>
      </c>
      <c r="C469" s="662" t="s">
        <v>569</v>
      </c>
      <c r="D469" s="663" t="s">
        <v>1753</v>
      </c>
      <c r="E469" s="662" t="s">
        <v>3394</v>
      </c>
      <c r="F469" s="663" t="s">
        <v>3395</v>
      </c>
      <c r="G469" s="662" t="s">
        <v>3312</v>
      </c>
      <c r="H469" s="662" t="s">
        <v>3313</v>
      </c>
      <c r="I469" s="664">
        <v>162.51</v>
      </c>
      <c r="J469" s="664">
        <v>60</v>
      </c>
      <c r="K469" s="665">
        <v>9750.56</v>
      </c>
    </row>
    <row r="470" spans="1:11" ht="14.4" customHeight="1" x14ac:dyDescent="0.3">
      <c r="A470" s="660" t="s">
        <v>552</v>
      </c>
      <c r="B470" s="661" t="s">
        <v>553</v>
      </c>
      <c r="C470" s="662" t="s">
        <v>569</v>
      </c>
      <c r="D470" s="663" t="s">
        <v>1753</v>
      </c>
      <c r="E470" s="662" t="s">
        <v>3394</v>
      </c>
      <c r="F470" s="663" t="s">
        <v>3395</v>
      </c>
      <c r="G470" s="662" t="s">
        <v>3314</v>
      </c>
      <c r="H470" s="662" t="s">
        <v>3315</v>
      </c>
      <c r="I470" s="664">
        <v>162.51</v>
      </c>
      <c r="J470" s="664">
        <v>72</v>
      </c>
      <c r="K470" s="665">
        <v>11700.68</v>
      </c>
    </row>
    <row r="471" spans="1:11" ht="14.4" customHeight="1" x14ac:dyDescent="0.3">
      <c r="A471" s="660" t="s">
        <v>552</v>
      </c>
      <c r="B471" s="661" t="s">
        <v>553</v>
      </c>
      <c r="C471" s="662" t="s">
        <v>569</v>
      </c>
      <c r="D471" s="663" t="s">
        <v>1753</v>
      </c>
      <c r="E471" s="662" t="s">
        <v>3380</v>
      </c>
      <c r="F471" s="663" t="s">
        <v>3381</v>
      </c>
      <c r="G471" s="662" t="s">
        <v>3316</v>
      </c>
      <c r="H471" s="662" t="s">
        <v>3317</v>
      </c>
      <c r="I471" s="664">
        <v>10.45</v>
      </c>
      <c r="J471" s="664">
        <v>50</v>
      </c>
      <c r="K471" s="665">
        <v>522.72</v>
      </c>
    </row>
    <row r="472" spans="1:11" ht="14.4" customHeight="1" x14ac:dyDescent="0.3">
      <c r="A472" s="660" t="s">
        <v>552</v>
      </c>
      <c r="B472" s="661" t="s">
        <v>553</v>
      </c>
      <c r="C472" s="662" t="s">
        <v>569</v>
      </c>
      <c r="D472" s="663" t="s">
        <v>1753</v>
      </c>
      <c r="E472" s="662" t="s">
        <v>3380</v>
      </c>
      <c r="F472" s="663" t="s">
        <v>3381</v>
      </c>
      <c r="G472" s="662" t="s">
        <v>3318</v>
      </c>
      <c r="H472" s="662" t="s">
        <v>3319</v>
      </c>
      <c r="I472" s="664">
        <v>10.98</v>
      </c>
      <c r="J472" s="664">
        <v>50</v>
      </c>
      <c r="K472" s="665">
        <v>548.86</v>
      </c>
    </row>
    <row r="473" spans="1:11" ht="14.4" customHeight="1" x14ac:dyDescent="0.3">
      <c r="A473" s="660" t="s">
        <v>552</v>
      </c>
      <c r="B473" s="661" t="s">
        <v>553</v>
      </c>
      <c r="C473" s="662" t="s">
        <v>569</v>
      </c>
      <c r="D473" s="663" t="s">
        <v>1753</v>
      </c>
      <c r="E473" s="662" t="s">
        <v>3380</v>
      </c>
      <c r="F473" s="663" t="s">
        <v>3381</v>
      </c>
      <c r="G473" s="662" t="s">
        <v>2810</v>
      </c>
      <c r="H473" s="662" t="s">
        <v>2811</v>
      </c>
      <c r="I473" s="664">
        <v>0.48</v>
      </c>
      <c r="J473" s="664">
        <v>2100</v>
      </c>
      <c r="K473" s="665">
        <v>1008</v>
      </c>
    </row>
    <row r="474" spans="1:11" ht="14.4" customHeight="1" x14ac:dyDescent="0.3">
      <c r="A474" s="660" t="s">
        <v>552</v>
      </c>
      <c r="B474" s="661" t="s">
        <v>553</v>
      </c>
      <c r="C474" s="662" t="s">
        <v>569</v>
      </c>
      <c r="D474" s="663" t="s">
        <v>1753</v>
      </c>
      <c r="E474" s="662" t="s">
        <v>3380</v>
      </c>
      <c r="F474" s="663" t="s">
        <v>3381</v>
      </c>
      <c r="G474" s="662" t="s">
        <v>3320</v>
      </c>
      <c r="H474" s="662" t="s">
        <v>3321</v>
      </c>
      <c r="I474" s="664">
        <v>10.99</v>
      </c>
      <c r="J474" s="664">
        <v>50</v>
      </c>
      <c r="K474" s="665">
        <v>549.34</v>
      </c>
    </row>
    <row r="475" spans="1:11" ht="14.4" customHeight="1" x14ac:dyDescent="0.3">
      <c r="A475" s="660" t="s">
        <v>552</v>
      </c>
      <c r="B475" s="661" t="s">
        <v>553</v>
      </c>
      <c r="C475" s="662" t="s">
        <v>569</v>
      </c>
      <c r="D475" s="663" t="s">
        <v>1753</v>
      </c>
      <c r="E475" s="662" t="s">
        <v>3380</v>
      </c>
      <c r="F475" s="663" t="s">
        <v>3381</v>
      </c>
      <c r="G475" s="662" t="s">
        <v>3322</v>
      </c>
      <c r="H475" s="662" t="s">
        <v>3323</v>
      </c>
      <c r="I475" s="664">
        <v>3291.2</v>
      </c>
      <c r="J475" s="664">
        <v>1</v>
      </c>
      <c r="K475" s="665">
        <v>3291.2</v>
      </c>
    </row>
    <row r="476" spans="1:11" ht="14.4" customHeight="1" x14ac:dyDescent="0.3">
      <c r="A476" s="660" t="s">
        <v>552</v>
      </c>
      <c r="B476" s="661" t="s">
        <v>553</v>
      </c>
      <c r="C476" s="662" t="s">
        <v>569</v>
      </c>
      <c r="D476" s="663" t="s">
        <v>1753</v>
      </c>
      <c r="E476" s="662" t="s">
        <v>3380</v>
      </c>
      <c r="F476" s="663" t="s">
        <v>3381</v>
      </c>
      <c r="G476" s="662" t="s">
        <v>3324</v>
      </c>
      <c r="H476" s="662" t="s">
        <v>3325</v>
      </c>
      <c r="I476" s="664">
        <v>7.34</v>
      </c>
      <c r="J476" s="664">
        <v>50</v>
      </c>
      <c r="K476" s="665">
        <v>367.24</v>
      </c>
    </row>
    <row r="477" spans="1:11" ht="14.4" customHeight="1" x14ac:dyDescent="0.3">
      <c r="A477" s="660" t="s">
        <v>552</v>
      </c>
      <c r="B477" s="661" t="s">
        <v>553</v>
      </c>
      <c r="C477" s="662" t="s">
        <v>569</v>
      </c>
      <c r="D477" s="663" t="s">
        <v>1753</v>
      </c>
      <c r="E477" s="662" t="s">
        <v>3380</v>
      </c>
      <c r="F477" s="663" t="s">
        <v>3381</v>
      </c>
      <c r="G477" s="662" t="s">
        <v>3326</v>
      </c>
      <c r="H477" s="662" t="s">
        <v>3327</v>
      </c>
      <c r="I477" s="664">
        <v>7.34</v>
      </c>
      <c r="J477" s="664">
        <v>50</v>
      </c>
      <c r="K477" s="665">
        <v>367.24</v>
      </c>
    </row>
    <row r="478" spans="1:11" ht="14.4" customHeight="1" x14ac:dyDescent="0.3">
      <c r="A478" s="660" t="s">
        <v>552</v>
      </c>
      <c r="B478" s="661" t="s">
        <v>553</v>
      </c>
      <c r="C478" s="662" t="s">
        <v>569</v>
      </c>
      <c r="D478" s="663" t="s">
        <v>1753</v>
      </c>
      <c r="E478" s="662" t="s">
        <v>3380</v>
      </c>
      <c r="F478" s="663" t="s">
        <v>3381</v>
      </c>
      <c r="G478" s="662" t="s">
        <v>3328</v>
      </c>
      <c r="H478" s="662" t="s">
        <v>3329</v>
      </c>
      <c r="I478" s="664">
        <v>6.55</v>
      </c>
      <c r="J478" s="664">
        <v>50</v>
      </c>
      <c r="K478" s="665">
        <v>327.3</v>
      </c>
    </row>
    <row r="479" spans="1:11" ht="14.4" customHeight="1" x14ac:dyDescent="0.3">
      <c r="A479" s="660" t="s">
        <v>552</v>
      </c>
      <c r="B479" s="661" t="s">
        <v>553</v>
      </c>
      <c r="C479" s="662" t="s">
        <v>569</v>
      </c>
      <c r="D479" s="663" t="s">
        <v>1753</v>
      </c>
      <c r="E479" s="662" t="s">
        <v>3380</v>
      </c>
      <c r="F479" s="663" t="s">
        <v>3381</v>
      </c>
      <c r="G479" s="662" t="s">
        <v>3330</v>
      </c>
      <c r="H479" s="662" t="s">
        <v>3331</v>
      </c>
      <c r="I479" s="664">
        <v>6.55</v>
      </c>
      <c r="J479" s="664">
        <v>50</v>
      </c>
      <c r="K479" s="665">
        <v>327.3</v>
      </c>
    </row>
    <row r="480" spans="1:11" ht="14.4" customHeight="1" x14ac:dyDescent="0.3">
      <c r="A480" s="660" t="s">
        <v>552</v>
      </c>
      <c r="B480" s="661" t="s">
        <v>553</v>
      </c>
      <c r="C480" s="662" t="s">
        <v>569</v>
      </c>
      <c r="D480" s="663" t="s">
        <v>1753</v>
      </c>
      <c r="E480" s="662" t="s">
        <v>3382</v>
      </c>
      <c r="F480" s="663" t="s">
        <v>3383</v>
      </c>
      <c r="G480" s="662" t="s">
        <v>3332</v>
      </c>
      <c r="H480" s="662" t="s">
        <v>3333</v>
      </c>
      <c r="I480" s="664">
        <v>10.55</v>
      </c>
      <c r="J480" s="664">
        <v>80</v>
      </c>
      <c r="K480" s="665">
        <v>844.15000000000009</v>
      </c>
    </row>
    <row r="481" spans="1:11" ht="14.4" customHeight="1" x14ac:dyDescent="0.3">
      <c r="A481" s="660" t="s">
        <v>552</v>
      </c>
      <c r="B481" s="661" t="s">
        <v>553</v>
      </c>
      <c r="C481" s="662" t="s">
        <v>569</v>
      </c>
      <c r="D481" s="663" t="s">
        <v>1753</v>
      </c>
      <c r="E481" s="662" t="s">
        <v>3382</v>
      </c>
      <c r="F481" s="663" t="s">
        <v>3383</v>
      </c>
      <c r="G481" s="662" t="s">
        <v>3334</v>
      </c>
      <c r="H481" s="662" t="s">
        <v>3335</v>
      </c>
      <c r="I481" s="664">
        <v>10.55</v>
      </c>
      <c r="J481" s="664">
        <v>160</v>
      </c>
      <c r="K481" s="665">
        <v>1688.48</v>
      </c>
    </row>
    <row r="482" spans="1:11" ht="14.4" customHeight="1" x14ac:dyDescent="0.3">
      <c r="A482" s="660" t="s">
        <v>552</v>
      </c>
      <c r="B482" s="661" t="s">
        <v>553</v>
      </c>
      <c r="C482" s="662" t="s">
        <v>569</v>
      </c>
      <c r="D482" s="663" t="s">
        <v>1753</v>
      </c>
      <c r="E482" s="662" t="s">
        <v>3382</v>
      </c>
      <c r="F482" s="663" t="s">
        <v>3383</v>
      </c>
      <c r="G482" s="662" t="s">
        <v>3336</v>
      </c>
      <c r="H482" s="662" t="s">
        <v>3337</v>
      </c>
      <c r="I482" s="664">
        <v>16.21</v>
      </c>
      <c r="J482" s="664">
        <v>50</v>
      </c>
      <c r="K482" s="665">
        <v>810.7</v>
      </c>
    </row>
    <row r="483" spans="1:11" ht="14.4" customHeight="1" x14ac:dyDescent="0.3">
      <c r="A483" s="660" t="s">
        <v>552</v>
      </c>
      <c r="B483" s="661" t="s">
        <v>553</v>
      </c>
      <c r="C483" s="662" t="s">
        <v>569</v>
      </c>
      <c r="D483" s="663" t="s">
        <v>1753</v>
      </c>
      <c r="E483" s="662" t="s">
        <v>3382</v>
      </c>
      <c r="F483" s="663" t="s">
        <v>3383</v>
      </c>
      <c r="G483" s="662" t="s">
        <v>3338</v>
      </c>
      <c r="H483" s="662" t="s">
        <v>3339</v>
      </c>
      <c r="I483" s="664">
        <v>10.55</v>
      </c>
      <c r="J483" s="664">
        <v>160</v>
      </c>
      <c r="K483" s="665">
        <v>1688.2</v>
      </c>
    </row>
    <row r="484" spans="1:11" ht="14.4" customHeight="1" x14ac:dyDescent="0.3">
      <c r="A484" s="660" t="s">
        <v>552</v>
      </c>
      <c r="B484" s="661" t="s">
        <v>553</v>
      </c>
      <c r="C484" s="662" t="s">
        <v>569</v>
      </c>
      <c r="D484" s="663" t="s">
        <v>1753</v>
      </c>
      <c r="E484" s="662" t="s">
        <v>3382</v>
      </c>
      <c r="F484" s="663" t="s">
        <v>3383</v>
      </c>
      <c r="G484" s="662" t="s">
        <v>3340</v>
      </c>
      <c r="H484" s="662" t="s">
        <v>3341</v>
      </c>
      <c r="I484" s="664">
        <v>10.55</v>
      </c>
      <c r="J484" s="664">
        <v>160</v>
      </c>
      <c r="K484" s="665">
        <v>1688.29</v>
      </c>
    </row>
    <row r="485" spans="1:11" ht="14.4" customHeight="1" x14ac:dyDescent="0.3">
      <c r="A485" s="660" t="s">
        <v>552</v>
      </c>
      <c r="B485" s="661" t="s">
        <v>553</v>
      </c>
      <c r="C485" s="662" t="s">
        <v>569</v>
      </c>
      <c r="D485" s="663" t="s">
        <v>1753</v>
      </c>
      <c r="E485" s="662" t="s">
        <v>3382</v>
      </c>
      <c r="F485" s="663" t="s">
        <v>3383</v>
      </c>
      <c r="G485" s="662" t="s">
        <v>3342</v>
      </c>
      <c r="H485" s="662" t="s">
        <v>3343</v>
      </c>
      <c r="I485" s="664">
        <v>10.555</v>
      </c>
      <c r="J485" s="664">
        <v>120</v>
      </c>
      <c r="K485" s="665">
        <v>1266.58</v>
      </c>
    </row>
    <row r="486" spans="1:11" ht="14.4" customHeight="1" x14ac:dyDescent="0.3">
      <c r="A486" s="660" t="s">
        <v>552</v>
      </c>
      <c r="B486" s="661" t="s">
        <v>553</v>
      </c>
      <c r="C486" s="662" t="s">
        <v>569</v>
      </c>
      <c r="D486" s="663" t="s">
        <v>1753</v>
      </c>
      <c r="E486" s="662" t="s">
        <v>3382</v>
      </c>
      <c r="F486" s="663" t="s">
        <v>3383</v>
      </c>
      <c r="G486" s="662" t="s">
        <v>3344</v>
      </c>
      <c r="H486" s="662" t="s">
        <v>3345</v>
      </c>
      <c r="I486" s="664">
        <v>16.21</v>
      </c>
      <c r="J486" s="664">
        <v>50</v>
      </c>
      <c r="K486" s="665">
        <v>810.7</v>
      </c>
    </row>
    <row r="487" spans="1:11" ht="14.4" customHeight="1" x14ac:dyDescent="0.3">
      <c r="A487" s="660" t="s">
        <v>552</v>
      </c>
      <c r="B487" s="661" t="s">
        <v>553</v>
      </c>
      <c r="C487" s="662" t="s">
        <v>569</v>
      </c>
      <c r="D487" s="663" t="s">
        <v>1753</v>
      </c>
      <c r="E487" s="662" t="s">
        <v>3382</v>
      </c>
      <c r="F487" s="663" t="s">
        <v>3383</v>
      </c>
      <c r="G487" s="662" t="s">
        <v>3346</v>
      </c>
      <c r="H487" s="662" t="s">
        <v>3347</v>
      </c>
      <c r="I487" s="664">
        <v>16.21</v>
      </c>
      <c r="J487" s="664">
        <v>25</v>
      </c>
      <c r="K487" s="665">
        <v>405.35</v>
      </c>
    </row>
    <row r="488" spans="1:11" ht="14.4" customHeight="1" x14ac:dyDescent="0.3">
      <c r="A488" s="660" t="s">
        <v>552</v>
      </c>
      <c r="B488" s="661" t="s">
        <v>553</v>
      </c>
      <c r="C488" s="662" t="s">
        <v>569</v>
      </c>
      <c r="D488" s="663" t="s">
        <v>1753</v>
      </c>
      <c r="E488" s="662" t="s">
        <v>3382</v>
      </c>
      <c r="F488" s="663" t="s">
        <v>3383</v>
      </c>
      <c r="G488" s="662" t="s">
        <v>2818</v>
      </c>
      <c r="H488" s="662" t="s">
        <v>2819</v>
      </c>
      <c r="I488" s="664">
        <v>0.71</v>
      </c>
      <c r="J488" s="664">
        <v>2400</v>
      </c>
      <c r="K488" s="665">
        <v>1704</v>
      </c>
    </row>
    <row r="489" spans="1:11" ht="14.4" customHeight="1" x14ac:dyDescent="0.3">
      <c r="A489" s="660" t="s">
        <v>552</v>
      </c>
      <c r="B489" s="661" t="s">
        <v>553</v>
      </c>
      <c r="C489" s="662" t="s">
        <v>569</v>
      </c>
      <c r="D489" s="663" t="s">
        <v>1753</v>
      </c>
      <c r="E489" s="662" t="s">
        <v>3382</v>
      </c>
      <c r="F489" s="663" t="s">
        <v>3383</v>
      </c>
      <c r="G489" s="662" t="s">
        <v>2820</v>
      </c>
      <c r="H489" s="662" t="s">
        <v>2821</v>
      </c>
      <c r="I489" s="664">
        <v>0.71</v>
      </c>
      <c r="J489" s="664">
        <v>800</v>
      </c>
      <c r="K489" s="665">
        <v>568</v>
      </c>
    </row>
    <row r="490" spans="1:11" ht="14.4" customHeight="1" x14ac:dyDescent="0.3">
      <c r="A490" s="660" t="s">
        <v>552</v>
      </c>
      <c r="B490" s="661" t="s">
        <v>553</v>
      </c>
      <c r="C490" s="662" t="s">
        <v>569</v>
      </c>
      <c r="D490" s="663" t="s">
        <v>1753</v>
      </c>
      <c r="E490" s="662" t="s">
        <v>3382</v>
      </c>
      <c r="F490" s="663" t="s">
        <v>3383</v>
      </c>
      <c r="G490" s="662" t="s">
        <v>2822</v>
      </c>
      <c r="H490" s="662" t="s">
        <v>2823</v>
      </c>
      <c r="I490" s="664">
        <v>0.71</v>
      </c>
      <c r="J490" s="664">
        <v>1200</v>
      </c>
      <c r="K490" s="665">
        <v>852</v>
      </c>
    </row>
    <row r="491" spans="1:11" ht="14.4" customHeight="1" x14ac:dyDescent="0.3">
      <c r="A491" s="660" t="s">
        <v>552</v>
      </c>
      <c r="B491" s="661" t="s">
        <v>553</v>
      </c>
      <c r="C491" s="662" t="s">
        <v>569</v>
      </c>
      <c r="D491" s="663" t="s">
        <v>1753</v>
      </c>
      <c r="E491" s="662" t="s">
        <v>3384</v>
      </c>
      <c r="F491" s="663" t="s">
        <v>3385</v>
      </c>
      <c r="G491" s="662" t="s">
        <v>3348</v>
      </c>
      <c r="H491" s="662" t="s">
        <v>3349</v>
      </c>
      <c r="I491" s="664">
        <v>4076.13</v>
      </c>
      <c r="J491" s="664">
        <v>2</v>
      </c>
      <c r="K491" s="665">
        <v>8152.25</v>
      </c>
    </row>
    <row r="492" spans="1:11" ht="14.4" customHeight="1" x14ac:dyDescent="0.3">
      <c r="A492" s="660" t="s">
        <v>552</v>
      </c>
      <c r="B492" s="661" t="s">
        <v>553</v>
      </c>
      <c r="C492" s="662" t="s">
        <v>569</v>
      </c>
      <c r="D492" s="663" t="s">
        <v>1753</v>
      </c>
      <c r="E492" s="662" t="s">
        <v>3384</v>
      </c>
      <c r="F492" s="663" t="s">
        <v>3385</v>
      </c>
      <c r="G492" s="662" t="s">
        <v>3350</v>
      </c>
      <c r="H492" s="662" t="s">
        <v>3351</v>
      </c>
      <c r="I492" s="664">
        <v>4433.08</v>
      </c>
      <c r="J492" s="664">
        <v>1</v>
      </c>
      <c r="K492" s="665">
        <v>4433.08</v>
      </c>
    </row>
    <row r="493" spans="1:11" ht="14.4" customHeight="1" x14ac:dyDescent="0.3">
      <c r="A493" s="660" t="s">
        <v>552</v>
      </c>
      <c r="B493" s="661" t="s">
        <v>553</v>
      </c>
      <c r="C493" s="662" t="s">
        <v>569</v>
      </c>
      <c r="D493" s="663" t="s">
        <v>1753</v>
      </c>
      <c r="E493" s="662" t="s">
        <v>3384</v>
      </c>
      <c r="F493" s="663" t="s">
        <v>3385</v>
      </c>
      <c r="G493" s="662" t="s">
        <v>3352</v>
      </c>
      <c r="H493" s="662" t="s">
        <v>3353</v>
      </c>
      <c r="I493" s="664">
        <v>3153.08</v>
      </c>
      <c r="J493" s="664">
        <v>5</v>
      </c>
      <c r="K493" s="665">
        <v>15765.39</v>
      </c>
    </row>
    <row r="494" spans="1:11" ht="14.4" customHeight="1" x14ac:dyDescent="0.3">
      <c r="A494" s="660" t="s">
        <v>552</v>
      </c>
      <c r="B494" s="661" t="s">
        <v>553</v>
      </c>
      <c r="C494" s="662" t="s">
        <v>569</v>
      </c>
      <c r="D494" s="663" t="s">
        <v>1753</v>
      </c>
      <c r="E494" s="662" t="s">
        <v>3396</v>
      </c>
      <c r="F494" s="663" t="s">
        <v>3397</v>
      </c>
      <c r="G494" s="662" t="s">
        <v>3354</v>
      </c>
      <c r="H494" s="662" t="s">
        <v>3355</v>
      </c>
      <c r="I494" s="664">
        <v>64.805000000000007</v>
      </c>
      <c r="J494" s="664">
        <v>96</v>
      </c>
      <c r="K494" s="665">
        <v>6221.2800000000007</v>
      </c>
    </row>
    <row r="495" spans="1:11" ht="14.4" customHeight="1" x14ac:dyDescent="0.3">
      <c r="A495" s="660" t="s">
        <v>552</v>
      </c>
      <c r="B495" s="661" t="s">
        <v>553</v>
      </c>
      <c r="C495" s="662" t="s">
        <v>569</v>
      </c>
      <c r="D495" s="663" t="s">
        <v>1753</v>
      </c>
      <c r="E495" s="662" t="s">
        <v>3396</v>
      </c>
      <c r="F495" s="663" t="s">
        <v>3397</v>
      </c>
      <c r="G495" s="662" t="s">
        <v>3356</v>
      </c>
      <c r="H495" s="662" t="s">
        <v>3357</v>
      </c>
      <c r="I495" s="664">
        <v>27014.5</v>
      </c>
      <c r="J495" s="664">
        <v>1</v>
      </c>
      <c r="K495" s="665">
        <v>27014.5</v>
      </c>
    </row>
    <row r="496" spans="1:11" ht="14.4" customHeight="1" x14ac:dyDescent="0.3">
      <c r="A496" s="660" t="s">
        <v>552</v>
      </c>
      <c r="B496" s="661" t="s">
        <v>553</v>
      </c>
      <c r="C496" s="662" t="s">
        <v>569</v>
      </c>
      <c r="D496" s="663" t="s">
        <v>1753</v>
      </c>
      <c r="E496" s="662" t="s">
        <v>3396</v>
      </c>
      <c r="F496" s="663" t="s">
        <v>3397</v>
      </c>
      <c r="G496" s="662" t="s">
        <v>3358</v>
      </c>
      <c r="H496" s="662" t="s">
        <v>3359</v>
      </c>
      <c r="I496" s="664">
        <v>86948.05</v>
      </c>
      <c r="J496" s="664">
        <v>2</v>
      </c>
      <c r="K496" s="665">
        <v>173896.1</v>
      </c>
    </row>
    <row r="497" spans="1:11" ht="14.4" customHeight="1" x14ac:dyDescent="0.3">
      <c r="A497" s="660" t="s">
        <v>552</v>
      </c>
      <c r="B497" s="661" t="s">
        <v>553</v>
      </c>
      <c r="C497" s="662" t="s">
        <v>569</v>
      </c>
      <c r="D497" s="663" t="s">
        <v>1753</v>
      </c>
      <c r="E497" s="662" t="s">
        <v>3396</v>
      </c>
      <c r="F497" s="663" t="s">
        <v>3397</v>
      </c>
      <c r="G497" s="662" t="s">
        <v>3360</v>
      </c>
      <c r="H497" s="662" t="s">
        <v>3361</v>
      </c>
      <c r="I497" s="664">
        <v>4630</v>
      </c>
      <c r="J497" s="664">
        <v>1</v>
      </c>
      <c r="K497" s="665">
        <v>4630</v>
      </c>
    </row>
    <row r="498" spans="1:11" ht="14.4" customHeight="1" x14ac:dyDescent="0.3">
      <c r="A498" s="660" t="s">
        <v>552</v>
      </c>
      <c r="B498" s="661" t="s">
        <v>553</v>
      </c>
      <c r="C498" s="662" t="s">
        <v>569</v>
      </c>
      <c r="D498" s="663" t="s">
        <v>1753</v>
      </c>
      <c r="E498" s="662" t="s">
        <v>3386</v>
      </c>
      <c r="F498" s="663" t="s">
        <v>3387</v>
      </c>
      <c r="G498" s="662" t="s">
        <v>3362</v>
      </c>
      <c r="H498" s="662" t="s">
        <v>3363</v>
      </c>
      <c r="I498" s="664">
        <v>62.555</v>
      </c>
      <c r="J498" s="664">
        <v>100</v>
      </c>
      <c r="K498" s="665">
        <v>6255.5499999999993</v>
      </c>
    </row>
    <row r="499" spans="1:11" ht="14.4" customHeight="1" x14ac:dyDescent="0.3">
      <c r="A499" s="660" t="s">
        <v>552</v>
      </c>
      <c r="B499" s="661" t="s">
        <v>553</v>
      </c>
      <c r="C499" s="662" t="s">
        <v>569</v>
      </c>
      <c r="D499" s="663" t="s">
        <v>1753</v>
      </c>
      <c r="E499" s="662" t="s">
        <v>3386</v>
      </c>
      <c r="F499" s="663" t="s">
        <v>3387</v>
      </c>
      <c r="G499" s="662" t="s">
        <v>3364</v>
      </c>
      <c r="H499" s="662" t="s">
        <v>3365</v>
      </c>
      <c r="I499" s="664">
        <v>149.56</v>
      </c>
      <c r="J499" s="664">
        <v>96</v>
      </c>
      <c r="K499" s="665">
        <v>14357.52</v>
      </c>
    </row>
    <row r="500" spans="1:11" ht="14.4" customHeight="1" x14ac:dyDescent="0.3">
      <c r="A500" s="660" t="s">
        <v>552</v>
      </c>
      <c r="B500" s="661" t="s">
        <v>553</v>
      </c>
      <c r="C500" s="662" t="s">
        <v>569</v>
      </c>
      <c r="D500" s="663" t="s">
        <v>1753</v>
      </c>
      <c r="E500" s="662" t="s">
        <v>3386</v>
      </c>
      <c r="F500" s="663" t="s">
        <v>3387</v>
      </c>
      <c r="G500" s="662" t="s">
        <v>2830</v>
      </c>
      <c r="H500" s="662" t="s">
        <v>2831</v>
      </c>
      <c r="I500" s="664">
        <v>695.75</v>
      </c>
      <c r="J500" s="664">
        <v>104</v>
      </c>
      <c r="K500" s="665">
        <v>72358</v>
      </c>
    </row>
    <row r="501" spans="1:11" ht="14.4" customHeight="1" x14ac:dyDescent="0.3">
      <c r="A501" s="660" t="s">
        <v>552</v>
      </c>
      <c r="B501" s="661" t="s">
        <v>553</v>
      </c>
      <c r="C501" s="662" t="s">
        <v>569</v>
      </c>
      <c r="D501" s="663" t="s">
        <v>1753</v>
      </c>
      <c r="E501" s="662" t="s">
        <v>3386</v>
      </c>
      <c r="F501" s="663" t="s">
        <v>3387</v>
      </c>
      <c r="G501" s="662" t="s">
        <v>3014</v>
      </c>
      <c r="H501" s="662" t="s">
        <v>3015</v>
      </c>
      <c r="I501" s="664">
        <v>14.97</v>
      </c>
      <c r="J501" s="664">
        <v>50</v>
      </c>
      <c r="K501" s="665">
        <v>748.5</v>
      </c>
    </row>
    <row r="502" spans="1:11" ht="14.4" customHeight="1" x14ac:dyDescent="0.3">
      <c r="A502" s="660" t="s">
        <v>552</v>
      </c>
      <c r="B502" s="661" t="s">
        <v>553</v>
      </c>
      <c r="C502" s="662" t="s">
        <v>569</v>
      </c>
      <c r="D502" s="663" t="s">
        <v>1753</v>
      </c>
      <c r="E502" s="662" t="s">
        <v>3386</v>
      </c>
      <c r="F502" s="663" t="s">
        <v>3387</v>
      </c>
      <c r="G502" s="662" t="s">
        <v>3366</v>
      </c>
      <c r="H502" s="662" t="s">
        <v>3367</v>
      </c>
      <c r="I502" s="664">
        <v>801.8900000000001</v>
      </c>
      <c r="J502" s="664">
        <v>3</v>
      </c>
      <c r="K502" s="665">
        <v>2378.4700000000003</v>
      </c>
    </row>
    <row r="503" spans="1:11" ht="14.4" customHeight="1" x14ac:dyDescent="0.3">
      <c r="A503" s="660" t="s">
        <v>552</v>
      </c>
      <c r="B503" s="661" t="s">
        <v>553</v>
      </c>
      <c r="C503" s="662" t="s">
        <v>2595</v>
      </c>
      <c r="D503" s="663" t="s">
        <v>3398</v>
      </c>
      <c r="E503" s="662" t="s">
        <v>3376</v>
      </c>
      <c r="F503" s="663" t="s">
        <v>3377</v>
      </c>
      <c r="G503" s="662" t="s">
        <v>3368</v>
      </c>
      <c r="H503" s="662" t="s">
        <v>3369</v>
      </c>
      <c r="I503" s="664">
        <v>14290.1</v>
      </c>
      <c r="J503" s="664">
        <v>1</v>
      </c>
      <c r="K503" s="665">
        <v>14290.1</v>
      </c>
    </row>
    <row r="504" spans="1:11" ht="14.4" customHeight="1" x14ac:dyDescent="0.3">
      <c r="A504" s="660" t="s">
        <v>552</v>
      </c>
      <c r="B504" s="661" t="s">
        <v>553</v>
      </c>
      <c r="C504" s="662" t="s">
        <v>2595</v>
      </c>
      <c r="D504" s="663" t="s">
        <v>3398</v>
      </c>
      <c r="E504" s="662" t="s">
        <v>3376</v>
      </c>
      <c r="F504" s="663" t="s">
        <v>3377</v>
      </c>
      <c r="G504" s="662" t="s">
        <v>3370</v>
      </c>
      <c r="H504" s="662" t="s">
        <v>3371</v>
      </c>
      <c r="I504" s="664">
        <v>11794.48</v>
      </c>
      <c r="J504" s="664">
        <v>1</v>
      </c>
      <c r="K504" s="665">
        <v>11794.48</v>
      </c>
    </row>
    <row r="505" spans="1:11" ht="14.4" customHeight="1" thickBot="1" x14ac:dyDescent="0.35">
      <c r="A505" s="666" t="s">
        <v>552</v>
      </c>
      <c r="B505" s="667" t="s">
        <v>553</v>
      </c>
      <c r="C505" s="668" t="s">
        <v>2595</v>
      </c>
      <c r="D505" s="669" t="s">
        <v>3398</v>
      </c>
      <c r="E505" s="668" t="s">
        <v>3376</v>
      </c>
      <c r="F505" s="669" t="s">
        <v>3377</v>
      </c>
      <c r="G505" s="668" t="s">
        <v>3372</v>
      </c>
      <c r="H505" s="668" t="s">
        <v>3373</v>
      </c>
      <c r="I505" s="670">
        <v>66799.899999999994</v>
      </c>
      <c r="J505" s="670">
        <v>1</v>
      </c>
      <c r="K505" s="671">
        <v>66799.899999999994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2" width="13.109375" customWidth="1"/>
    <col min="3" max="3" width="13.109375" hidden="1" customWidth="1"/>
    <col min="4" max="4" width="13.109375" customWidth="1"/>
    <col min="5" max="5" width="13.109375" hidden="1" customWidth="1"/>
    <col min="6" max="6" width="13.109375" customWidth="1"/>
    <col min="7" max="23" width="13.109375" hidden="1" customWidth="1"/>
    <col min="24" max="24" width="13.109375" customWidth="1"/>
    <col min="25" max="25" width="13.109375" hidden="1" customWidth="1"/>
    <col min="26" max="26" width="13.109375" customWidth="1"/>
    <col min="27" max="28" width="13.109375" hidden="1" customWidth="1"/>
    <col min="29" max="29" width="13.109375" customWidth="1"/>
    <col min="30" max="31" width="13.109375" hidden="1" customWidth="1"/>
    <col min="32" max="33" width="13.109375" customWidth="1"/>
  </cols>
  <sheetData>
    <row r="1" spans="1:34" ht="18.600000000000001" thickBot="1" x14ac:dyDescent="0.4">
      <c r="A1" s="547" t="s">
        <v>131</v>
      </c>
      <c r="B1" s="509"/>
      <c r="C1" s="509"/>
      <c r="D1" s="509"/>
      <c r="E1" s="509"/>
      <c r="F1" s="509"/>
      <c r="G1" s="509"/>
      <c r="H1" s="509"/>
      <c r="I1" s="509"/>
      <c r="J1" s="509"/>
      <c r="K1" s="509"/>
      <c r="L1" s="509"/>
      <c r="M1" s="509"/>
      <c r="N1" s="509"/>
      <c r="O1" s="509"/>
      <c r="P1" s="509"/>
      <c r="Q1" s="509"/>
      <c r="R1" s="509"/>
      <c r="S1" s="509"/>
      <c r="T1" s="509"/>
      <c r="U1" s="509"/>
      <c r="V1" s="509"/>
      <c r="W1" s="509"/>
      <c r="X1" s="509"/>
      <c r="Y1" s="509"/>
      <c r="Z1" s="509"/>
      <c r="AA1" s="509"/>
      <c r="AB1" s="509"/>
      <c r="AC1" s="509"/>
      <c r="AD1" s="509"/>
      <c r="AE1" s="509"/>
      <c r="AF1" s="509"/>
      <c r="AG1" s="509"/>
    </row>
    <row r="2" spans="1:34" ht="15" thickBot="1" x14ac:dyDescent="0.35">
      <c r="A2" s="383" t="s">
        <v>334</v>
      </c>
      <c r="B2" s="384"/>
      <c r="C2" s="384"/>
      <c r="D2" s="384"/>
      <c r="E2" s="384"/>
      <c r="F2" s="384"/>
      <c r="G2" s="384"/>
      <c r="H2" s="384"/>
      <c r="I2" s="384"/>
      <c r="J2" s="384"/>
      <c r="K2" s="384"/>
      <c r="L2" s="384"/>
      <c r="M2" s="384"/>
      <c r="N2" s="384"/>
      <c r="O2" s="384"/>
      <c r="P2" s="384"/>
      <c r="Q2" s="384"/>
      <c r="R2" s="384"/>
      <c r="S2" s="384"/>
      <c r="T2" s="384"/>
      <c r="U2" s="384"/>
      <c r="V2" s="384"/>
      <c r="W2" s="384"/>
      <c r="X2" s="384"/>
      <c r="Y2" s="384"/>
      <c r="Z2" s="384"/>
      <c r="AA2" s="384"/>
      <c r="AB2" s="384"/>
      <c r="AC2" s="384"/>
      <c r="AD2" s="384"/>
      <c r="AE2" s="384"/>
      <c r="AF2" s="384"/>
      <c r="AG2" s="384"/>
    </row>
    <row r="3" spans="1:34" x14ac:dyDescent="0.3">
      <c r="A3" s="402" t="s">
        <v>252</v>
      </c>
      <c r="B3" s="548" t="s">
        <v>233</v>
      </c>
      <c r="C3" s="385">
        <v>0</v>
      </c>
      <c r="D3" s="386">
        <v>101</v>
      </c>
      <c r="E3" s="386">
        <v>102</v>
      </c>
      <c r="F3" s="405">
        <v>305</v>
      </c>
      <c r="G3" s="405">
        <v>306</v>
      </c>
      <c r="H3" s="405">
        <v>408</v>
      </c>
      <c r="I3" s="405">
        <v>409</v>
      </c>
      <c r="J3" s="405">
        <v>410</v>
      </c>
      <c r="K3" s="405">
        <v>415</v>
      </c>
      <c r="L3" s="405">
        <v>416</v>
      </c>
      <c r="M3" s="405">
        <v>418</v>
      </c>
      <c r="N3" s="405">
        <v>419</v>
      </c>
      <c r="O3" s="405">
        <v>420</v>
      </c>
      <c r="P3" s="405">
        <v>421</v>
      </c>
      <c r="Q3" s="405">
        <v>522</v>
      </c>
      <c r="R3" s="405">
        <v>523</v>
      </c>
      <c r="S3" s="405">
        <v>524</v>
      </c>
      <c r="T3" s="405">
        <v>525</v>
      </c>
      <c r="U3" s="405">
        <v>526</v>
      </c>
      <c r="V3" s="405">
        <v>527</v>
      </c>
      <c r="W3" s="405">
        <v>528</v>
      </c>
      <c r="X3" s="405">
        <v>629</v>
      </c>
      <c r="Y3" s="405">
        <v>630</v>
      </c>
      <c r="Z3" s="405">
        <v>636</v>
      </c>
      <c r="AA3" s="405">
        <v>637</v>
      </c>
      <c r="AB3" s="405">
        <v>640</v>
      </c>
      <c r="AC3" s="405">
        <v>642</v>
      </c>
      <c r="AD3" s="405">
        <v>743</v>
      </c>
      <c r="AE3" s="386">
        <v>745</v>
      </c>
      <c r="AF3" s="386">
        <v>746</v>
      </c>
      <c r="AG3" s="762">
        <v>930</v>
      </c>
      <c r="AH3" s="778"/>
    </row>
    <row r="4" spans="1:34" ht="36.6" outlineLevel="1" thickBot="1" x14ac:dyDescent="0.35">
      <c r="A4" s="403">
        <v>2015</v>
      </c>
      <c r="B4" s="549"/>
      <c r="C4" s="387" t="s">
        <v>234</v>
      </c>
      <c r="D4" s="388" t="s">
        <v>235</v>
      </c>
      <c r="E4" s="388" t="s">
        <v>236</v>
      </c>
      <c r="F4" s="406" t="s">
        <v>264</v>
      </c>
      <c r="G4" s="406" t="s">
        <v>265</v>
      </c>
      <c r="H4" s="406" t="s">
        <v>266</v>
      </c>
      <c r="I4" s="406" t="s">
        <v>267</v>
      </c>
      <c r="J4" s="406" t="s">
        <v>268</v>
      </c>
      <c r="K4" s="406" t="s">
        <v>269</v>
      </c>
      <c r="L4" s="406" t="s">
        <v>270</v>
      </c>
      <c r="M4" s="406" t="s">
        <v>271</v>
      </c>
      <c r="N4" s="406" t="s">
        <v>272</v>
      </c>
      <c r="O4" s="406" t="s">
        <v>273</v>
      </c>
      <c r="P4" s="406" t="s">
        <v>274</v>
      </c>
      <c r="Q4" s="406" t="s">
        <v>275</v>
      </c>
      <c r="R4" s="406" t="s">
        <v>276</v>
      </c>
      <c r="S4" s="406" t="s">
        <v>277</v>
      </c>
      <c r="T4" s="406" t="s">
        <v>278</v>
      </c>
      <c r="U4" s="406" t="s">
        <v>279</v>
      </c>
      <c r="V4" s="406" t="s">
        <v>280</v>
      </c>
      <c r="W4" s="406" t="s">
        <v>289</v>
      </c>
      <c r="X4" s="406" t="s">
        <v>281</v>
      </c>
      <c r="Y4" s="406" t="s">
        <v>290</v>
      </c>
      <c r="Z4" s="406" t="s">
        <v>282</v>
      </c>
      <c r="AA4" s="406" t="s">
        <v>283</v>
      </c>
      <c r="AB4" s="406" t="s">
        <v>284</v>
      </c>
      <c r="AC4" s="406" t="s">
        <v>285</v>
      </c>
      <c r="AD4" s="406" t="s">
        <v>286</v>
      </c>
      <c r="AE4" s="388" t="s">
        <v>287</v>
      </c>
      <c r="AF4" s="388" t="s">
        <v>288</v>
      </c>
      <c r="AG4" s="763" t="s">
        <v>254</v>
      </c>
      <c r="AH4" s="778"/>
    </row>
    <row r="5" spans="1:34" x14ac:dyDescent="0.3">
      <c r="A5" s="389" t="s">
        <v>237</v>
      </c>
      <c r="B5" s="425"/>
      <c r="C5" s="426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764"/>
      <c r="AH5" s="778"/>
    </row>
    <row r="6" spans="1:34" ht="15" collapsed="1" thickBot="1" x14ac:dyDescent="0.35">
      <c r="A6" s="390" t="s">
        <v>94</v>
      </c>
      <c r="B6" s="428">
        <f xml:space="preserve">
TRUNC(IF($A$4&lt;=12,SUMIFS('ON Data'!F:F,'ON Data'!$D:$D,$A$4,'ON Data'!$E:$E,1),SUMIFS('ON Data'!F:F,'ON Data'!$E:$E,1)/'ON Data'!$D$3),1)</f>
        <v>97.1</v>
      </c>
      <c r="C6" s="429">
        <f xml:space="preserve">
TRUNC(IF($A$4&lt;=12,SUMIFS('ON Data'!G:G,'ON Data'!$D:$D,$A$4,'ON Data'!$E:$E,1),SUMIFS('ON Data'!G:G,'ON Data'!$E:$E,1)/'ON Data'!$D$3),1)</f>
        <v>0</v>
      </c>
      <c r="D6" s="430">
        <f xml:space="preserve">
TRUNC(IF($A$4&lt;=12,SUMIFS('ON Data'!H:H,'ON Data'!$D:$D,$A$4,'ON Data'!$E:$E,1),SUMIFS('ON Data'!H:H,'ON Data'!$E:$E,1)/'ON Data'!$D$3),1)</f>
        <v>19</v>
      </c>
      <c r="E6" s="430">
        <f xml:space="preserve">
TRUNC(IF($A$4&lt;=12,SUMIFS('ON Data'!I:I,'ON Data'!$D:$D,$A$4,'ON Data'!$E:$E,1),SUMIFS('ON Data'!I:I,'ON Data'!$E:$E,1)/'ON Data'!$D$3),1)</f>
        <v>0</v>
      </c>
      <c r="F6" s="430">
        <f xml:space="preserve">
TRUNC(IF($A$4&lt;=12,SUMIFS('ON Data'!K:K,'ON Data'!$D:$D,$A$4,'ON Data'!$E:$E,1),SUMIFS('ON Data'!K:K,'ON Data'!$E:$E,1)/'ON Data'!$D$3),1)</f>
        <v>62.7</v>
      </c>
      <c r="G6" s="430">
        <f xml:space="preserve">
TRUNC(IF($A$4&lt;=12,SUMIFS('ON Data'!L:L,'ON Data'!$D:$D,$A$4,'ON Data'!$E:$E,1),SUMIFS('ON Data'!L:L,'ON Data'!$E:$E,1)/'ON Data'!$D$3),1)</f>
        <v>0</v>
      </c>
      <c r="H6" s="430">
        <f xml:space="preserve">
TRUNC(IF($A$4&lt;=12,SUMIFS('ON Data'!M:M,'ON Data'!$D:$D,$A$4,'ON Data'!$E:$E,1),SUMIFS('ON Data'!M:M,'ON Data'!$E:$E,1)/'ON Data'!$D$3),1)</f>
        <v>0</v>
      </c>
      <c r="I6" s="430">
        <f xml:space="preserve">
TRUNC(IF($A$4&lt;=12,SUMIFS('ON Data'!N:N,'ON Data'!$D:$D,$A$4,'ON Data'!$E:$E,1),SUMIFS('ON Data'!N:N,'ON Data'!$E:$E,1)/'ON Data'!$D$3),1)</f>
        <v>0</v>
      </c>
      <c r="J6" s="430">
        <f xml:space="preserve">
TRUNC(IF($A$4&lt;=12,SUMIFS('ON Data'!O:O,'ON Data'!$D:$D,$A$4,'ON Data'!$E:$E,1),SUMIFS('ON Data'!O:O,'ON Data'!$E:$E,1)/'ON Data'!$D$3),1)</f>
        <v>0</v>
      </c>
      <c r="K6" s="430">
        <f xml:space="preserve">
TRUNC(IF($A$4&lt;=12,SUMIFS('ON Data'!P:P,'ON Data'!$D:$D,$A$4,'ON Data'!$E:$E,1),SUMIFS('ON Data'!P:P,'ON Data'!$E:$E,1)/'ON Data'!$D$3),1)</f>
        <v>0</v>
      </c>
      <c r="L6" s="430">
        <f xml:space="preserve">
TRUNC(IF($A$4&lt;=12,SUMIFS('ON Data'!Q:Q,'ON Data'!$D:$D,$A$4,'ON Data'!$E:$E,1),SUMIFS('ON Data'!Q:Q,'ON Data'!$E:$E,1)/'ON Data'!$D$3),1)</f>
        <v>0</v>
      </c>
      <c r="M6" s="430">
        <f xml:space="preserve">
TRUNC(IF($A$4&lt;=12,SUMIFS('ON Data'!R:R,'ON Data'!$D:$D,$A$4,'ON Data'!$E:$E,1),SUMIFS('ON Data'!R:R,'ON Data'!$E:$E,1)/'ON Data'!$D$3),1)</f>
        <v>0</v>
      </c>
      <c r="N6" s="430">
        <f xml:space="preserve">
TRUNC(IF($A$4&lt;=12,SUMIFS('ON Data'!S:S,'ON Data'!$D:$D,$A$4,'ON Data'!$E:$E,1),SUMIFS('ON Data'!S:S,'ON Data'!$E:$E,1)/'ON Data'!$D$3),1)</f>
        <v>0</v>
      </c>
      <c r="O6" s="430">
        <f xml:space="preserve">
TRUNC(IF($A$4&lt;=12,SUMIFS('ON Data'!T:T,'ON Data'!$D:$D,$A$4,'ON Data'!$E:$E,1),SUMIFS('ON Data'!T:T,'ON Data'!$E:$E,1)/'ON Data'!$D$3),1)</f>
        <v>0</v>
      </c>
      <c r="P6" s="430">
        <f xml:space="preserve">
TRUNC(IF($A$4&lt;=12,SUMIFS('ON Data'!U:U,'ON Data'!$D:$D,$A$4,'ON Data'!$E:$E,1),SUMIFS('ON Data'!U:U,'ON Data'!$E:$E,1)/'ON Data'!$D$3),1)</f>
        <v>0</v>
      </c>
      <c r="Q6" s="430">
        <f xml:space="preserve">
TRUNC(IF($A$4&lt;=12,SUMIFS('ON Data'!V:V,'ON Data'!$D:$D,$A$4,'ON Data'!$E:$E,1),SUMIFS('ON Data'!V:V,'ON Data'!$E:$E,1)/'ON Data'!$D$3),1)</f>
        <v>0</v>
      </c>
      <c r="R6" s="430">
        <f xml:space="preserve">
TRUNC(IF($A$4&lt;=12,SUMIFS('ON Data'!W:W,'ON Data'!$D:$D,$A$4,'ON Data'!$E:$E,1),SUMIFS('ON Data'!W:W,'ON Data'!$E:$E,1)/'ON Data'!$D$3),1)</f>
        <v>0</v>
      </c>
      <c r="S6" s="430">
        <f xml:space="preserve">
TRUNC(IF($A$4&lt;=12,SUMIFS('ON Data'!X:X,'ON Data'!$D:$D,$A$4,'ON Data'!$E:$E,1),SUMIFS('ON Data'!X:X,'ON Data'!$E:$E,1)/'ON Data'!$D$3),1)</f>
        <v>0</v>
      </c>
      <c r="T6" s="430">
        <f xml:space="preserve">
TRUNC(IF($A$4&lt;=12,SUMIFS('ON Data'!Y:Y,'ON Data'!$D:$D,$A$4,'ON Data'!$E:$E,1),SUMIFS('ON Data'!Y:Y,'ON Data'!$E:$E,1)/'ON Data'!$D$3),1)</f>
        <v>0</v>
      </c>
      <c r="U6" s="430">
        <f xml:space="preserve">
TRUNC(IF($A$4&lt;=12,SUMIFS('ON Data'!Z:Z,'ON Data'!$D:$D,$A$4,'ON Data'!$E:$E,1),SUMIFS('ON Data'!Z:Z,'ON Data'!$E:$E,1)/'ON Data'!$D$3),1)</f>
        <v>0</v>
      </c>
      <c r="V6" s="430">
        <f xml:space="preserve">
TRUNC(IF($A$4&lt;=12,SUMIFS('ON Data'!AA:AA,'ON Data'!$D:$D,$A$4,'ON Data'!$E:$E,1),SUMIFS('ON Data'!AA:AA,'ON Data'!$E:$E,1)/'ON Data'!$D$3),1)</f>
        <v>0</v>
      </c>
      <c r="W6" s="430">
        <f xml:space="preserve">
TRUNC(IF($A$4&lt;=12,SUMIFS('ON Data'!AB:AB,'ON Data'!$D:$D,$A$4,'ON Data'!$E:$E,1),SUMIFS('ON Data'!AB:AB,'ON Data'!$E:$E,1)/'ON Data'!$D$3),1)</f>
        <v>0</v>
      </c>
      <c r="X6" s="430">
        <f xml:space="preserve">
TRUNC(IF($A$4&lt;=12,SUMIFS('ON Data'!AC:AC,'ON Data'!$D:$D,$A$4,'ON Data'!$E:$E,1),SUMIFS('ON Data'!AC:AC,'ON Data'!$E:$E,1)/'ON Data'!$D$3),1)</f>
        <v>4</v>
      </c>
      <c r="Y6" s="430">
        <f xml:space="preserve">
TRUNC(IF($A$4&lt;=12,SUMIFS('ON Data'!AD:AD,'ON Data'!$D:$D,$A$4,'ON Data'!$E:$E,1),SUMIFS('ON Data'!AD:AD,'ON Data'!$E:$E,1)/'ON Data'!$D$3),1)</f>
        <v>0</v>
      </c>
      <c r="Z6" s="430">
        <f xml:space="preserve">
TRUNC(IF($A$4&lt;=12,SUMIFS('ON Data'!AE:AE,'ON Data'!$D:$D,$A$4,'ON Data'!$E:$E,1),SUMIFS('ON Data'!AE:AE,'ON Data'!$E:$E,1)/'ON Data'!$D$3),1)</f>
        <v>2</v>
      </c>
      <c r="AA6" s="430">
        <f xml:space="preserve">
TRUNC(IF($A$4&lt;=12,SUMIFS('ON Data'!AF:AF,'ON Data'!$D:$D,$A$4,'ON Data'!$E:$E,1),SUMIFS('ON Data'!AF:AF,'ON Data'!$E:$E,1)/'ON Data'!$D$3),1)</f>
        <v>0</v>
      </c>
      <c r="AB6" s="430">
        <f xml:space="preserve">
TRUNC(IF($A$4&lt;=12,SUMIFS('ON Data'!AG:AG,'ON Data'!$D:$D,$A$4,'ON Data'!$E:$E,1),SUMIFS('ON Data'!AG:AG,'ON Data'!$E:$E,1)/'ON Data'!$D$3),1)</f>
        <v>0</v>
      </c>
      <c r="AC6" s="430">
        <f xml:space="preserve">
TRUNC(IF($A$4&lt;=12,SUMIFS('ON Data'!AH:AH,'ON Data'!$D:$D,$A$4,'ON Data'!$E:$E,1),SUMIFS('ON Data'!AH:AH,'ON Data'!$E:$E,1)/'ON Data'!$D$3),1)</f>
        <v>6.3</v>
      </c>
      <c r="AD6" s="430">
        <f xml:space="preserve">
TRUNC(IF($A$4&lt;=12,SUMIFS('ON Data'!AI:AI,'ON Data'!$D:$D,$A$4,'ON Data'!$E:$E,1),SUMIFS('ON Data'!AI:AI,'ON Data'!$E:$E,1)/'ON Data'!$D$3),1)</f>
        <v>0</v>
      </c>
      <c r="AE6" s="430">
        <f xml:space="preserve">
TRUNC(IF($A$4&lt;=12,SUMIFS('ON Data'!AJ:AJ,'ON Data'!$D:$D,$A$4,'ON Data'!$E:$E,1),SUMIFS('ON Data'!AJ:AJ,'ON Data'!$E:$E,1)/'ON Data'!$D$3),1)</f>
        <v>0</v>
      </c>
      <c r="AF6" s="430">
        <f xml:space="preserve">
TRUNC(IF($A$4&lt;=12,SUMIFS('ON Data'!AK:AK,'ON Data'!$D:$D,$A$4,'ON Data'!$E:$E,1),SUMIFS('ON Data'!AK:AK,'ON Data'!$E:$E,1)/'ON Data'!$D$3),1)</f>
        <v>1</v>
      </c>
      <c r="AG6" s="765">
        <f xml:space="preserve">
TRUNC(IF($A$4&lt;=12,SUMIFS('ON Data'!AM:AM,'ON Data'!$D:$D,$A$4,'ON Data'!$E:$E,1),SUMIFS('ON Data'!AM:AM,'ON Data'!$E:$E,1)/'ON Data'!$D$3),1)</f>
        <v>2</v>
      </c>
      <c r="AH6" s="778"/>
    </row>
    <row r="7" spans="1:34" ht="15" hidden="1" outlineLevel="1" thickBot="1" x14ac:dyDescent="0.35">
      <c r="A7" s="390" t="s">
        <v>132</v>
      </c>
      <c r="B7" s="428"/>
      <c r="C7" s="431"/>
      <c r="D7" s="430"/>
      <c r="E7" s="430"/>
      <c r="F7" s="430"/>
      <c r="G7" s="430"/>
      <c r="H7" s="430"/>
      <c r="I7" s="430"/>
      <c r="J7" s="430"/>
      <c r="K7" s="430"/>
      <c r="L7" s="430"/>
      <c r="M7" s="430"/>
      <c r="N7" s="430"/>
      <c r="O7" s="430"/>
      <c r="P7" s="430"/>
      <c r="Q7" s="430"/>
      <c r="R7" s="430"/>
      <c r="S7" s="430"/>
      <c r="T7" s="430"/>
      <c r="U7" s="430"/>
      <c r="V7" s="430"/>
      <c r="W7" s="430"/>
      <c r="X7" s="430"/>
      <c r="Y7" s="430"/>
      <c r="Z7" s="430"/>
      <c r="AA7" s="430"/>
      <c r="AB7" s="430"/>
      <c r="AC7" s="430"/>
      <c r="AD7" s="430"/>
      <c r="AE7" s="430"/>
      <c r="AF7" s="430"/>
      <c r="AG7" s="765"/>
      <c r="AH7" s="778"/>
    </row>
    <row r="8" spans="1:34" ht="15" hidden="1" outlineLevel="1" thickBot="1" x14ac:dyDescent="0.35">
      <c r="A8" s="390" t="s">
        <v>96</v>
      </c>
      <c r="B8" s="428"/>
      <c r="C8" s="431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0"/>
      <c r="Q8" s="430"/>
      <c r="R8" s="430"/>
      <c r="S8" s="430"/>
      <c r="T8" s="430"/>
      <c r="U8" s="430"/>
      <c r="V8" s="430"/>
      <c r="W8" s="430"/>
      <c r="X8" s="430"/>
      <c r="Y8" s="430"/>
      <c r="Z8" s="430"/>
      <c r="AA8" s="430"/>
      <c r="AB8" s="430"/>
      <c r="AC8" s="430"/>
      <c r="AD8" s="430"/>
      <c r="AE8" s="430"/>
      <c r="AF8" s="430"/>
      <c r="AG8" s="765"/>
      <c r="AH8" s="778"/>
    </row>
    <row r="9" spans="1:34" ht="15" hidden="1" outlineLevel="1" thickBot="1" x14ac:dyDescent="0.35">
      <c r="A9" s="391" t="s">
        <v>69</v>
      </c>
      <c r="B9" s="432"/>
      <c r="C9" s="433"/>
      <c r="D9" s="434"/>
      <c r="E9" s="434"/>
      <c r="F9" s="434"/>
      <c r="G9" s="434"/>
      <c r="H9" s="434"/>
      <c r="I9" s="434"/>
      <c r="J9" s="434"/>
      <c r="K9" s="434"/>
      <c r="L9" s="434"/>
      <c r="M9" s="434"/>
      <c r="N9" s="434"/>
      <c r="O9" s="434"/>
      <c r="P9" s="434"/>
      <c r="Q9" s="434"/>
      <c r="R9" s="434"/>
      <c r="S9" s="434"/>
      <c r="T9" s="434"/>
      <c r="U9" s="434"/>
      <c r="V9" s="434"/>
      <c r="W9" s="434"/>
      <c r="X9" s="434"/>
      <c r="Y9" s="434"/>
      <c r="Z9" s="434"/>
      <c r="AA9" s="434"/>
      <c r="AB9" s="434"/>
      <c r="AC9" s="434"/>
      <c r="AD9" s="434"/>
      <c r="AE9" s="434"/>
      <c r="AF9" s="434"/>
      <c r="AG9" s="766"/>
      <c r="AH9" s="778"/>
    </row>
    <row r="10" spans="1:34" x14ac:dyDescent="0.3">
      <c r="A10" s="392" t="s">
        <v>238</v>
      </c>
      <c r="B10" s="407"/>
      <c r="C10" s="408"/>
      <c r="D10" s="409"/>
      <c r="E10" s="409"/>
      <c r="F10" s="409"/>
      <c r="G10" s="409"/>
      <c r="H10" s="409"/>
      <c r="I10" s="409"/>
      <c r="J10" s="409"/>
      <c r="K10" s="409"/>
      <c r="L10" s="409"/>
      <c r="M10" s="409"/>
      <c r="N10" s="409"/>
      <c r="O10" s="409"/>
      <c r="P10" s="409"/>
      <c r="Q10" s="409"/>
      <c r="R10" s="409"/>
      <c r="S10" s="409"/>
      <c r="T10" s="409"/>
      <c r="U10" s="409"/>
      <c r="V10" s="409"/>
      <c r="W10" s="409"/>
      <c r="X10" s="409"/>
      <c r="Y10" s="409"/>
      <c r="Z10" s="409"/>
      <c r="AA10" s="409"/>
      <c r="AB10" s="409"/>
      <c r="AC10" s="409"/>
      <c r="AD10" s="409"/>
      <c r="AE10" s="409"/>
      <c r="AF10" s="409"/>
      <c r="AG10" s="767"/>
      <c r="AH10" s="778"/>
    </row>
    <row r="11" spans="1:34" x14ac:dyDescent="0.3">
      <c r="A11" s="393" t="s">
        <v>239</v>
      </c>
      <c r="B11" s="410">
        <f xml:space="preserve">
IF($A$4&lt;=12,SUMIFS('ON Data'!F:F,'ON Data'!$D:$D,$A$4,'ON Data'!$E:$E,2),SUMIFS('ON Data'!F:F,'ON Data'!$E:$E,2))</f>
        <v>26597.25</v>
      </c>
      <c r="C11" s="411">
        <f xml:space="preserve">
IF($A$4&lt;=12,SUMIFS('ON Data'!G:G,'ON Data'!$D:$D,$A$4,'ON Data'!$E:$E,2),SUMIFS('ON Data'!G:G,'ON Data'!$E:$E,2))</f>
        <v>0</v>
      </c>
      <c r="D11" s="412">
        <f xml:space="preserve">
IF($A$4&lt;=12,SUMIFS('ON Data'!H:H,'ON Data'!$D:$D,$A$4,'ON Data'!$E:$E,2),SUMIFS('ON Data'!H:H,'ON Data'!$E:$E,2))</f>
        <v>5912</v>
      </c>
      <c r="E11" s="412">
        <f xml:space="preserve">
IF($A$4&lt;=12,SUMIFS('ON Data'!I:I,'ON Data'!$D:$D,$A$4,'ON Data'!$E:$E,2),SUMIFS('ON Data'!I:I,'ON Data'!$E:$E,2))</f>
        <v>0</v>
      </c>
      <c r="F11" s="412">
        <f xml:space="preserve">
IF($A$4&lt;=12,SUMIFS('ON Data'!K:K,'ON Data'!$D:$D,$A$4,'ON Data'!$E:$E,2),SUMIFS('ON Data'!K:K,'ON Data'!$E:$E,2))</f>
        <v>16610</v>
      </c>
      <c r="G11" s="412">
        <f xml:space="preserve">
IF($A$4&lt;=12,SUMIFS('ON Data'!L:L,'ON Data'!$D:$D,$A$4,'ON Data'!$E:$E,2),SUMIFS('ON Data'!L:L,'ON Data'!$E:$E,2))</f>
        <v>0</v>
      </c>
      <c r="H11" s="412">
        <f xml:space="preserve">
IF($A$4&lt;=12,SUMIFS('ON Data'!M:M,'ON Data'!$D:$D,$A$4,'ON Data'!$E:$E,2),SUMIFS('ON Data'!M:M,'ON Data'!$E:$E,2))</f>
        <v>0</v>
      </c>
      <c r="I11" s="412">
        <f xml:space="preserve">
IF($A$4&lt;=12,SUMIFS('ON Data'!N:N,'ON Data'!$D:$D,$A$4,'ON Data'!$E:$E,2),SUMIFS('ON Data'!N:N,'ON Data'!$E:$E,2))</f>
        <v>0</v>
      </c>
      <c r="J11" s="412">
        <f xml:space="preserve">
IF($A$4&lt;=12,SUMIFS('ON Data'!O:O,'ON Data'!$D:$D,$A$4,'ON Data'!$E:$E,2),SUMIFS('ON Data'!O:O,'ON Data'!$E:$E,2))</f>
        <v>0</v>
      </c>
      <c r="K11" s="412">
        <f xml:space="preserve">
IF($A$4&lt;=12,SUMIFS('ON Data'!P:P,'ON Data'!$D:$D,$A$4,'ON Data'!$E:$E,2),SUMIFS('ON Data'!P:P,'ON Data'!$E:$E,2))</f>
        <v>0</v>
      </c>
      <c r="L11" s="412">
        <f xml:space="preserve">
IF($A$4&lt;=12,SUMIFS('ON Data'!Q:Q,'ON Data'!$D:$D,$A$4,'ON Data'!$E:$E,2),SUMIFS('ON Data'!Q:Q,'ON Data'!$E:$E,2))</f>
        <v>0</v>
      </c>
      <c r="M11" s="412">
        <f xml:space="preserve">
IF($A$4&lt;=12,SUMIFS('ON Data'!R:R,'ON Data'!$D:$D,$A$4,'ON Data'!$E:$E,2),SUMIFS('ON Data'!R:R,'ON Data'!$E:$E,2))</f>
        <v>0</v>
      </c>
      <c r="N11" s="412">
        <f xml:space="preserve">
IF($A$4&lt;=12,SUMIFS('ON Data'!S:S,'ON Data'!$D:$D,$A$4,'ON Data'!$E:$E,2),SUMIFS('ON Data'!S:S,'ON Data'!$E:$E,2))</f>
        <v>0</v>
      </c>
      <c r="O11" s="412">
        <f xml:space="preserve">
IF($A$4&lt;=12,SUMIFS('ON Data'!T:T,'ON Data'!$D:$D,$A$4,'ON Data'!$E:$E,2),SUMIFS('ON Data'!T:T,'ON Data'!$E:$E,2))</f>
        <v>0</v>
      </c>
      <c r="P11" s="412">
        <f xml:space="preserve">
IF($A$4&lt;=12,SUMIFS('ON Data'!U:U,'ON Data'!$D:$D,$A$4,'ON Data'!$E:$E,2),SUMIFS('ON Data'!U:U,'ON Data'!$E:$E,2))</f>
        <v>0</v>
      </c>
      <c r="Q11" s="412">
        <f xml:space="preserve">
IF($A$4&lt;=12,SUMIFS('ON Data'!V:V,'ON Data'!$D:$D,$A$4,'ON Data'!$E:$E,2),SUMIFS('ON Data'!V:V,'ON Data'!$E:$E,2))</f>
        <v>0</v>
      </c>
      <c r="R11" s="412">
        <f xml:space="preserve">
IF($A$4&lt;=12,SUMIFS('ON Data'!W:W,'ON Data'!$D:$D,$A$4,'ON Data'!$E:$E,2),SUMIFS('ON Data'!W:W,'ON Data'!$E:$E,2))</f>
        <v>0</v>
      </c>
      <c r="S11" s="412">
        <f xml:space="preserve">
IF($A$4&lt;=12,SUMIFS('ON Data'!X:X,'ON Data'!$D:$D,$A$4,'ON Data'!$E:$E,2),SUMIFS('ON Data'!X:X,'ON Data'!$E:$E,2))</f>
        <v>0</v>
      </c>
      <c r="T11" s="412">
        <f xml:space="preserve">
IF($A$4&lt;=12,SUMIFS('ON Data'!Y:Y,'ON Data'!$D:$D,$A$4,'ON Data'!$E:$E,2),SUMIFS('ON Data'!Y:Y,'ON Data'!$E:$E,2))</f>
        <v>0</v>
      </c>
      <c r="U11" s="412">
        <f xml:space="preserve">
IF($A$4&lt;=12,SUMIFS('ON Data'!Z:Z,'ON Data'!$D:$D,$A$4,'ON Data'!$E:$E,2),SUMIFS('ON Data'!Z:Z,'ON Data'!$E:$E,2))</f>
        <v>0</v>
      </c>
      <c r="V11" s="412">
        <f xml:space="preserve">
IF($A$4&lt;=12,SUMIFS('ON Data'!AA:AA,'ON Data'!$D:$D,$A$4,'ON Data'!$E:$E,2),SUMIFS('ON Data'!AA:AA,'ON Data'!$E:$E,2))</f>
        <v>0</v>
      </c>
      <c r="W11" s="412">
        <f xml:space="preserve">
IF($A$4&lt;=12,SUMIFS('ON Data'!AB:AB,'ON Data'!$D:$D,$A$4,'ON Data'!$E:$E,2),SUMIFS('ON Data'!AB:AB,'ON Data'!$E:$E,2))</f>
        <v>0</v>
      </c>
      <c r="X11" s="412">
        <f xml:space="preserve">
IF($A$4&lt;=12,SUMIFS('ON Data'!AC:AC,'ON Data'!$D:$D,$A$4,'ON Data'!$E:$E,2),SUMIFS('ON Data'!AC:AC,'ON Data'!$E:$E,2))</f>
        <v>1107</v>
      </c>
      <c r="Y11" s="412">
        <f xml:space="preserve">
IF($A$4&lt;=12,SUMIFS('ON Data'!AD:AD,'ON Data'!$D:$D,$A$4,'ON Data'!$E:$E,2),SUMIFS('ON Data'!AD:AD,'ON Data'!$E:$E,2))</f>
        <v>0</v>
      </c>
      <c r="Z11" s="412">
        <f xml:space="preserve">
IF($A$4&lt;=12,SUMIFS('ON Data'!AE:AE,'ON Data'!$D:$D,$A$4,'ON Data'!$E:$E,2),SUMIFS('ON Data'!AE:AE,'ON Data'!$E:$E,2))</f>
        <v>664</v>
      </c>
      <c r="AA11" s="412">
        <f xml:space="preserve">
IF($A$4&lt;=12,SUMIFS('ON Data'!AF:AF,'ON Data'!$D:$D,$A$4,'ON Data'!$E:$E,2),SUMIFS('ON Data'!AF:AF,'ON Data'!$E:$E,2))</f>
        <v>0</v>
      </c>
      <c r="AB11" s="412">
        <f xml:space="preserve">
IF($A$4&lt;=12,SUMIFS('ON Data'!AG:AG,'ON Data'!$D:$D,$A$4,'ON Data'!$E:$E,2),SUMIFS('ON Data'!AG:AG,'ON Data'!$E:$E,2))</f>
        <v>0</v>
      </c>
      <c r="AC11" s="412">
        <f xml:space="preserve">
IF($A$4&lt;=12,SUMIFS('ON Data'!AH:AH,'ON Data'!$D:$D,$A$4,'ON Data'!$E:$E,2),SUMIFS('ON Data'!AH:AH,'ON Data'!$E:$E,2))</f>
        <v>1385</v>
      </c>
      <c r="AD11" s="412">
        <f xml:space="preserve">
IF($A$4&lt;=12,SUMIFS('ON Data'!AI:AI,'ON Data'!$D:$D,$A$4,'ON Data'!$E:$E,2),SUMIFS('ON Data'!AI:AI,'ON Data'!$E:$E,2))</f>
        <v>0</v>
      </c>
      <c r="AE11" s="412">
        <f xml:space="preserve">
IF($A$4&lt;=12,SUMIFS('ON Data'!AJ:AJ,'ON Data'!$D:$D,$A$4,'ON Data'!$E:$E,2),SUMIFS('ON Data'!AJ:AJ,'ON Data'!$E:$E,2))</f>
        <v>0</v>
      </c>
      <c r="AF11" s="412">
        <f xml:space="preserve">
IF($A$4&lt;=12,SUMIFS('ON Data'!AK:AK,'ON Data'!$D:$D,$A$4,'ON Data'!$E:$E,2),SUMIFS('ON Data'!AK:AK,'ON Data'!$E:$E,2))</f>
        <v>271.25</v>
      </c>
      <c r="AG11" s="768">
        <f xml:space="preserve">
IF($A$4&lt;=12,SUMIFS('ON Data'!AM:AM,'ON Data'!$D:$D,$A$4,'ON Data'!$E:$E,2),SUMIFS('ON Data'!AM:AM,'ON Data'!$E:$E,2))</f>
        <v>648</v>
      </c>
      <c r="AH11" s="778"/>
    </row>
    <row r="12" spans="1:34" x14ac:dyDescent="0.3">
      <c r="A12" s="393" t="s">
        <v>240</v>
      </c>
      <c r="B12" s="410">
        <f xml:space="preserve">
IF($A$4&lt;=12,SUMIFS('ON Data'!F:F,'ON Data'!$D:$D,$A$4,'ON Data'!$E:$E,3),SUMIFS('ON Data'!F:F,'ON Data'!$E:$E,3))</f>
        <v>42.5</v>
      </c>
      <c r="C12" s="411">
        <f xml:space="preserve">
IF($A$4&lt;=12,SUMIFS('ON Data'!G:G,'ON Data'!$D:$D,$A$4,'ON Data'!$E:$E,3),SUMIFS('ON Data'!G:G,'ON Data'!$E:$E,3))</f>
        <v>0</v>
      </c>
      <c r="D12" s="412">
        <f xml:space="preserve">
IF($A$4&lt;=12,SUMIFS('ON Data'!H:H,'ON Data'!$D:$D,$A$4,'ON Data'!$E:$E,3),SUMIFS('ON Data'!H:H,'ON Data'!$E:$E,3))</f>
        <v>0</v>
      </c>
      <c r="E12" s="412">
        <f xml:space="preserve">
IF($A$4&lt;=12,SUMIFS('ON Data'!I:I,'ON Data'!$D:$D,$A$4,'ON Data'!$E:$E,3),SUMIFS('ON Data'!I:I,'ON Data'!$E:$E,3))</f>
        <v>0</v>
      </c>
      <c r="F12" s="412">
        <f xml:space="preserve">
IF($A$4&lt;=12,SUMIFS('ON Data'!K:K,'ON Data'!$D:$D,$A$4,'ON Data'!$E:$E,3),SUMIFS('ON Data'!K:K,'ON Data'!$E:$E,3))</f>
        <v>42.5</v>
      </c>
      <c r="G12" s="412">
        <f xml:space="preserve">
IF($A$4&lt;=12,SUMIFS('ON Data'!L:L,'ON Data'!$D:$D,$A$4,'ON Data'!$E:$E,3),SUMIFS('ON Data'!L:L,'ON Data'!$E:$E,3))</f>
        <v>0</v>
      </c>
      <c r="H12" s="412">
        <f xml:space="preserve">
IF($A$4&lt;=12,SUMIFS('ON Data'!M:M,'ON Data'!$D:$D,$A$4,'ON Data'!$E:$E,3),SUMIFS('ON Data'!M:M,'ON Data'!$E:$E,3))</f>
        <v>0</v>
      </c>
      <c r="I12" s="412">
        <f xml:space="preserve">
IF($A$4&lt;=12,SUMIFS('ON Data'!N:N,'ON Data'!$D:$D,$A$4,'ON Data'!$E:$E,3),SUMIFS('ON Data'!N:N,'ON Data'!$E:$E,3))</f>
        <v>0</v>
      </c>
      <c r="J12" s="412">
        <f xml:space="preserve">
IF($A$4&lt;=12,SUMIFS('ON Data'!O:O,'ON Data'!$D:$D,$A$4,'ON Data'!$E:$E,3),SUMIFS('ON Data'!O:O,'ON Data'!$E:$E,3))</f>
        <v>0</v>
      </c>
      <c r="K12" s="412">
        <f xml:space="preserve">
IF($A$4&lt;=12,SUMIFS('ON Data'!P:P,'ON Data'!$D:$D,$A$4,'ON Data'!$E:$E,3),SUMIFS('ON Data'!P:P,'ON Data'!$E:$E,3))</f>
        <v>0</v>
      </c>
      <c r="L12" s="412">
        <f xml:space="preserve">
IF($A$4&lt;=12,SUMIFS('ON Data'!Q:Q,'ON Data'!$D:$D,$A$4,'ON Data'!$E:$E,3),SUMIFS('ON Data'!Q:Q,'ON Data'!$E:$E,3))</f>
        <v>0</v>
      </c>
      <c r="M12" s="412">
        <f xml:space="preserve">
IF($A$4&lt;=12,SUMIFS('ON Data'!R:R,'ON Data'!$D:$D,$A$4,'ON Data'!$E:$E,3),SUMIFS('ON Data'!R:R,'ON Data'!$E:$E,3))</f>
        <v>0</v>
      </c>
      <c r="N12" s="412">
        <f xml:space="preserve">
IF($A$4&lt;=12,SUMIFS('ON Data'!S:S,'ON Data'!$D:$D,$A$4,'ON Data'!$E:$E,3),SUMIFS('ON Data'!S:S,'ON Data'!$E:$E,3))</f>
        <v>0</v>
      </c>
      <c r="O12" s="412">
        <f xml:space="preserve">
IF($A$4&lt;=12,SUMIFS('ON Data'!T:T,'ON Data'!$D:$D,$A$4,'ON Data'!$E:$E,3),SUMIFS('ON Data'!T:T,'ON Data'!$E:$E,3))</f>
        <v>0</v>
      </c>
      <c r="P12" s="412">
        <f xml:space="preserve">
IF($A$4&lt;=12,SUMIFS('ON Data'!U:U,'ON Data'!$D:$D,$A$4,'ON Data'!$E:$E,3),SUMIFS('ON Data'!U:U,'ON Data'!$E:$E,3))</f>
        <v>0</v>
      </c>
      <c r="Q12" s="412">
        <f xml:space="preserve">
IF($A$4&lt;=12,SUMIFS('ON Data'!V:V,'ON Data'!$D:$D,$A$4,'ON Data'!$E:$E,3),SUMIFS('ON Data'!V:V,'ON Data'!$E:$E,3))</f>
        <v>0</v>
      </c>
      <c r="R12" s="412">
        <f xml:space="preserve">
IF($A$4&lt;=12,SUMIFS('ON Data'!W:W,'ON Data'!$D:$D,$A$4,'ON Data'!$E:$E,3),SUMIFS('ON Data'!W:W,'ON Data'!$E:$E,3))</f>
        <v>0</v>
      </c>
      <c r="S12" s="412">
        <f xml:space="preserve">
IF($A$4&lt;=12,SUMIFS('ON Data'!X:X,'ON Data'!$D:$D,$A$4,'ON Data'!$E:$E,3),SUMIFS('ON Data'!X:X,'ON Data'!$E:$E,3))</f>
        <v>0</v>
      </c>
      <c r="T12" s="412">
        <f xml:space="preserve">
IF($A$4&lt;=12,SUMIFS('ON Data'!Y:Y,'ON Data'!$D:$D,$A$4,'ON Data'!$E:$E,3),SUMIFS('ON Data'!Y:Y,'ON Data'!$E:$E,3))</f>
        <v>0</v>
      </c>
      <c r="U12" s="412">
        <f xml:space="preserve">
IF($A$4&lt;=12,SUMIFS('ON Data'!Z:Z,'ON Data'!$D:$D,$A$4,'ON Data'!$E:$E,3),SUMIFS('ON Data'!Z:Z,'ON Data'!$E:$E,3))</f>
        <v>0</v>
      </c>
      <c r="V12" s="412">
        <f xml:space="preserve">
IF($A$4&lt;=12,SUMIFS('ON Data'!AA:AA,'ON Data'!$D:$D,$A$4,'ON Data'!$E:$E,3),SUMIFS('ON Data'!AA:AA,'ON Data'!$E:$E,3))</f>
        <v>0</v>
      </c>
      <c r="W12" s="412">
        <f xml:space="preserve">
IF($A$4&lt;=12,SUMIFS('ON Data'!AB:AB,'ON Data'!$D:$D,$A$4,'ON Data'!$E:$E,3),SUMIFS('ON Data'!AB:AB,'ON Data'!$E:$E,3))</f>
        <v>0</v>
      </c>
      <c r="X12" s="412">
        <f xml:space="preserve">
IF($A$4&lt;=12,SUMIFS('ON Data'!AC:AC,'ON Data'!$D:$D,$A$4,'ON Data'!$E:$E,3),SUMIFS('ON Data'!AC:AC,'ON Data'!$E:$E,3))</f>
        <v>0</v>
      </c>
      <c r="Y12" s="412">
        <f xml:space="preserve">
IF($A$4&lt;=12,SUMIFS('ON Data'!AD:AD,'ON Data'!$D:$D,$A$4,'ON Data'!$E:$E,3),SUMIFS('ON Data'!AD:AD,'ON Data'!$E:$E,3))</f>
        <v>0</v>
      </c>
      <c r="Z12" s="412">
        <f xml:space="preserve">
IF($A$4&lt;=12,SUMIFS('ON Data'!AE:AE,'ON Data'!$D:$D,$A$4,'ON Data'!$E:$E,3),SUMIFS('ON Data'!AE:AE,'ON Data'!$E:$E,3))</f>
        <v>0</v>
      </c>
      <c r="AA12" s="412">
        <f xml:space="preserve">
IF($A$4&lt;=12,SUMIFS('ON Data'!AF:AF,'ON Data'!$D:$D,$A$4,'ON Data'!$E:$E,3),SUMIFS('ON Data'!AF:AF,'ON Data'!$E:$E,3))</f>
        <v>0</v>
      </c>
      <c r="AB12" s="412">
        <f xml:space="preserve">
IF($A$4&lt;=12,SUMIFS('ON Data'!AG:AG,'ON Data'!$D:$D,$A$4,'ON Data'!$E:$E,3),SUMIFS('ON Data'!AG:AG,'ON Data'!$E:$E,3))</f>
        <v>0</v>
      </c>
      <c r="AC12" s="412">
        <f xml:space="preserve">
IF($A$4&lt;=12,SUMIFS('ON Data'!AH:AH,'ON Data'!$D:$D,$A$4,'ON Data'!$E:$E,3),SUMIFS('ON Data'!AH:AH,'ON Data'!$E:$E,3))</f>
        <v>0</v>
      </c>
      <c r="AD12" s="412">
        <f xml:space="preserve">
IF($A$4&lt;=12,SUMIFS('ON Data'!AI:AI,'ON Data'!$D:$D,$A$4,'ON Data'!$E:$E,3),SUMIFS('ON Data'!AI:AI,'ON Data'!$E:$E,3))</f>
        <v>0</v>
      </c>
      <c r="AE12" s="412">
        <f xml:space="preserve">
IF($A$4&lt;=12,SUMIFS('ON Data'!AJ:AJ,'ON Data'!$D:$D,$A$4,'ON Data'!$E:$E,3),SUMIFS('ON Data'!AJ:AJ,'ON Data'!$E:$E,3))</f>
        <v>0</v>
      </c>
      <c r="AF12" s="412">
        <f xml:space="preserve">
IF($A$4&lt;=12,SUMIFS('ON Data'!AK:AK,'ON Data'!$D:$D,$A$4,'ON Data'!$E:$E,3),SUMIFS('ON Data'!AK:AK,'ON Data'!$E:$E,3))</f>
        <v>0</v>
      </c>
      <c r="AG12" s="768">
        <f xml:space="preserve">
IF($A$4&lt;=12,SUMIFS('ON Data'!AM:AM,'ON Data'!$D:$D,$A$4,'ON Data'!$E:$E,3),SUMIFS('ON Data'!AM:AM,'ON Data'!$E:$E,3))</f>
        <v>0</v>
      </c>
      <c r="AH12" s="778"/>
    </row>
    <row r="13" spans="1:34" x14ac:dyDescent="0.3">
      <c r="A13" s="393" t="s">
        <v>247</v>
      </c>
      <c r="B13" s="410">
        <f xml:space="preserve">
IF($A$4&lt;=12,SUMIFS('ON Data'!F:F,'ON Data'!$D:$D,$A$4,'ON Data'!$E:$E,4),SUMIFS('ON Data'!F:F,'ON Data'!$E:$E,4))</f>
        <v>1724.75</v>
      </c>
      <c r="C13" s="411">
        <f xml:space="preserve">
IF($A$4&lt;=12,SUMIFS('ON Data'!G:G,'ON Data'!$D:$D,$A$4,'ON Data'!$E:$E,4),SUMIFS('ON Data'!G:G,'ON Data'!$E:$E,4))</f>
        <v>0</v>
      </c>
      <c r="D13" s="412">
        <f xml:space="preserve">
IF($A$4&lt;=12,SUMIFS('ON Data'!H:H,'ON Data'!$D:$D,$A$4,'ON Data'!$E:$E,4),SUMIFS('ON Data'!H:H,'ON Data'!$E:$E,4))</f>
        <v>1215.5</v>
      </c>
      <c r="E13" s="412">
        <f xml:space="preserve">
IF($A$4&lt;=12,SUMIFS('ON Data'!I:I,'ON Data'!$D:$D,$A$4,'ON Data'!$E:$E,4),SUMIFS('ON Data'!I:I,'ON Data'!$E:$E,4))</f>
        <v>0</v>
      </c>
      <c r="F13" s="412">
        <f xml:space="preserve">
IF($A$4&lt;=12,SUMIFS('ON Data'!K:K,'ON Data'!$D:$D,$A$4,'ON Data'!$E:$E,4),SUMIFS('ON Data'!K:K,'ON Data'!$E:$E,4))</f>
        <v>446.75</v>
      </c>
      <c r="G13" s="412">
        <f xml:space="preserve">
IF($A$4&lt;=12,SUMIFS('ON Data'!L:L,'ON Data'!$D:$D,$A$4,'ON Data'!$E:$E,4),SUMIFS('ON Data'!L:L,'ON Data'!$E:$E,4))</f>
        <v>0</v>
      </c>
      <c r="H13" s="412">
        <f xml:space="preserve">
IF($A$4&lt;=12,SUMIFS('ON Data'!M:M,'ON Data'!$D:$D,$A$4,'ON Data'!$E:$E,4),SUMIFS('ON Data'!M:M,'ON Data'!$E:$E,4))</f>
        <v>0</v>
      </c>
      <c r="I13" s="412">
        <f xml:space="preserve">
IF($A$4&lt;=12,SUMIFS('ON Data'!N:N,'ON Data'!$D:$D,$A$4,'ON Data'!$E:$E,4),SUMIFS('ON Data'!N:N,'ON Data'!$E:$E,4))</f>
        <v>0</v>
      </c>
      <c r="J13" s="412">
        <f xml:space="preserve">
IF($A$4&lt;=12,SUMIFS('ON Data'!O:O,'ON Data'!$D:$D,$A$4,'ON Data'!$E:$E,4),SUMIFS('ON Data'!O:O,'ON Data'!$E:$E,4))</f>
        <v>0</v>
      </c>
      <c r="K13" s="412">
        <f xml:space="preserve">
IF($A$4&lt;=12,SUMIFS('ON Data'!P:P,'ON Data'!$D:$D,$A$4,'ON Data'!$E:$E,4),SUMIFS('ON Data'!P:P,'ON Data'!$E:$E,4))</f>
        <v>0</v>
      </c>
      <c r="L13" s="412">
        <f xml:space="preserve">
IF($A$4&lt;=12,SUMIFS('ON Data'!Q:Q,'ON Data'!$D:$D,$A$4,'ON Data'!$E:$E,4),SUMIFS('ON Data'!Q:Q,'ON Data'!$E:$E,4))</f>
        <v>0</v>
      </c>
      <c r="M13" s="412">
        <f xml:space="preserve">
IF($A$4&lt;=12,SUMIFS('ON Data'!R:R,'ON Data'!$D:$D,$A$4,'ON Data'!$E:$E,4),SUMIFS('ON Data'!R:R,'ON Data'!$E:$E,4))</f>
        <v>0</v>
      </c>
      <c r="N13" s="412">
        <f xml:space="preserve">
IF($A$4&lt;=12,SUMIFS('ON Data'!S:S,'ON Data'!$D:$D,$A$4,'ON Data'!$E:$E,4),SUMIFS('ON Data'!S:S,'ON Data'!$E:$E,4))</f>
        <v>0</v>
      </c>
      <c r="O13" s="412">
        <f xml:space="preserve">
IF($A$4&lt;=12,SUMIFS('ON Data'!T:T,'ON Data'!$D:$D,$A$4,'ON Data'!$E:$E,4),SUMIFS('ON Data'!T:T,'ON Data'!$E:$E,4))</f>
        <v>0</v>
      </c>
      <c r="P13" s="412">
        <f xml:space="preserve">
IF($A$4&lt;=12,SUMIFS('ON Data'!U:U,'ON Data'!$D:$D,$A$4,'ON Data'!$E:$E,4),SUMIFS('ON Data'!U:U,'ON Data'!$E:$E,4))</f>
        <v>0</v>
      </c>
      <c r="Q13" s="412">
        <f xml:space="preserve">
IF($A$4&lt;=12,SUMIFS('ON Data'!V:V,'ON Data'!$D:$D,$A$4,'ON Data'!$E:$E,4),SUMIFS('ON Data'!V:V,'ON Data'!$E:$E,4))</f>
        <v>0</v>
      </c>
      <c r="R13" s="412">
        <f xml:space="preserve">
IF($A$4&lt;=12,SUMIFS('ON Data'!W:W,'ON Data'!$D:$D,$A$4,'ON Data'!$E:$E,4),SUMIFS('ON Data'!W:W,'ON Data'!$E:$E,4))</f>
        <v>0</v>
      </c>
      <c r="S13" s="412">
        <f xml:space="preserve">
IF($A$4&lt;=12,SUMIFS('ON Data'!X:X,'ON Data'!$D:$D,$A$4,'ON Data'!$E:$E,4),SUMIFS('ON Data'!X:X,'ON Data'!$E:$E,4))</f>
        <v>0</v>
      </c>
      <c r="T13" s="412">
        <f xml:space="preserve">
IF($A$4&lt;=12,SUMIFS('ON Data'!Y:Y,'ON Data'!$D:$D,$A$4,'ON Data'!$E:$E,4),SUMIFS('ON Data'!Y:Y,'ON Data'!$E:$E,4))</f>
        <v>0</v>
      </c>
      <c r="U13" s="412">
        <f xml:space="preserve">
IF($A$4&lt;=12,SUMIFS('ON Data'!Z:Z,'ON Data'!$D:$D,$A$4,'ON Data'!$E:$E,4),SUMIFS('ON Data'!Z:Z,'ON Data'!$E:$E,4))</f>
        <v>0</v>
      </c>
      <c r="V13" s="412">
        <f xml:space="preserve">
IF($A$4&lt;=12,SUMIFS('ON Data'!AA:AA,'ON Data'!$D:$D,$A$4,'ON Data'!$E:$E,4),SUMIFS('ON Data'!AA:AA,'ON Data'!$E:$E,4))</f>
        <v>0</v>
      </c>
      <c r="W13" s="412">
        <f xml:space="preserve">
IF($A$4&lt;=12,SUMIFS('ON Data'!AB:AB,'ON Data'!$D:$D,$A$4,'ON Data'!$E:$E,4),SUMIFS('ON Data'!AB:AB,'ON Data'!$E:$E,4))</f>
        <v>0</v>
      </c>
      <c r="X13" s="412">
        <f xml:space="preserve">
IF($A$4&lt;=12,SUMIFS('ON Data'!AC:AC,'ON Data'!$D:$D,$A$4,'ON Data'!$E:$E,4),SUMIFS('ON Data'!AC:AC,'ON Data'!$E:$E,4))</f>
        <v>0</v>
      </c>
      <c r="Y13" s="412">
        <f xml:space="preserve">
IF($A$4&lt;=12,SUMIFS('ON Data'!AD:AD,'ON Data'!$D:$D,$A$4,'ON Data'!$E:$E,4),SUMIFS('ON Data'!AD:AD,'ON Data'!$E:$E,4))</f>
        <v>0</v>
      </c>
      <c r="Z13" s="412">
        <f xml:space="preserve">
IF($A$4&lt;=12,SUMIFS('ON Data'!AE:AE,'ON Data'!$D:$D,$A$4,'ON Data'!$E:$E,4),SUMIFS('ON Data'!AE:AE,'ON Data'!$E:$E,4))</f>
        <v>0</v>
      </c>
      <c r="AA13" s="412">
        <f xml:space="preserve">
IF($A$4&lt;=12,SUMIFS('ON Data'!AF:AF,'ON Data'!$D:$D,$A$4,'ON Data'!$E:$E,4),SUMIFS('ON Data'!AF:AF,'ON Data'!$E:$E,4))</f>
        <v>0</v>
      </c>
      <c r="AB13" s="412">
        <f xml:space="preserve">
IF($A$4&lt;=12,SUMIFS('ON Data'!AG:AG,'ON Data'!$D:$D,$A$4,'ON Data'!$E:$E,4),SUMIFS('ON Data'!AG:AG,'ON Data'!$E:$E,4))</f>
        <v>0</v>
      </c>
      <c r="AC13" s="412">
        <f xml:space="preserve">
IF($A$4&lt;=12,SUMIFS('ON Data'!AH:AH,'ON Data'!$D:$D,$A$4,'ON Data'!$E:$E,4),SUMIFS('ON Data'!AH:AH,'ON Data'!$E:$E,4))</f>
        <v>0</v>
      </c>
      <c r="AD13" s="412">
        <f xml:space="preserve">
IF($A$4&lt;=12,SUMIFS('ON Data'!AI:AI,'ON Data'!$D:$D,$A$4,'ON Data'!$E:$E,4),SUMIFS('ON Data'!AI:AI,'ON Data'!$E:$E,4))</f>
        <v>0</v>
      </c>
      <c r="AE13" s="412">
        <f xml:space="preserve">
IF($A$4&lt;=12,SUMIFS('ON Data'!AJ:AJ,'ON Data'!$D:$D,$A$4,'ON Data'!$E:$E,4),SUMIFS('ON Data'!AJ:AJ,'ON Data'!$E:$E,4))</f>
        <v>0</v>
      </c>
      <c r="AF13" s="412">
        <f xml:space="preserve">
IF($A$4&lt;=12,SUMIFS('ON Data'!AK:AK,'ON Data'!$D:$D,$A$4,'ON Data'!$E:$E,4),SUMIFS('ON Data'!AK:AK,'ON Data'!$E:$E,4))</f>
        <v>62.5</v>
      </c>
      <c r="AG13" s="768">
        <f xml:space="preserve">
IF($A$4&lt;=12,SUMIFS('ON Data'!AM:AM,'ON Data'!$D:$D,$A$4,'ON Data'!$E:$E,4),SUMIFS('ON Data'!AM:AM,'ON Data'!$E:$E,4))</f>
        <v>0</v>
      </c>
      <c r="AH13" s="778"/>
    </row>
    <row r="14" spans="1:34" ht="15" thickBot="1" x14ac:dyDescent="0.35">
      <c r="A14" s="394" t="s">
        <v>241</v>
      </c>
      <c r="B14" s="413">
        <f xml:space="preserve">
IF($A$4&lt;=12,SUMIFS('ON Data'!F:F,'ON Data'!$D:$D,$A$4,'ON Data'!$E:$E,5),SUMIFS('ON Data'!F:F,'ON Data'!$E:$E,5))</f>
        <v>0</v>
      </c>
      <c r="C14" s="414">
        <f xml:space="preserve">
IF($A$4&lt;=12,SUMIFS('ON Data'!G:G,'ON Data'!$D:$D,$A$4,'ON Data'!$E:$E,5),SUMIFS('ON Data'!G:G,'ON Data'!$E:$E,5))</f>
        <v>0</v>
      </c>
      <c r="D14" s="415">
        <f xml:space="preserve">
IF($A$4&lt;=12,SUMIFS('ON Data'!H:H,'ON Data'!$D:$D,$A$4,'ON Data'!$E:$E,5),SUMIFS('ON Data'!H:H,'ON Data'!$E:$E,5))</f>
        <v>0</v>
      </c>
      <c r="E14" s="415">
        <f xml:space="preserve">
IF($A$4&lt;=12,SUMIFS('ON Data'!I:I,'ON Data'!$D:$D,$A$4,'ON Data'!$E:$E,5),SUMIFS('ON Data'!I:I,'ON Data'!$E:$E,5))</f>
        <v>0</v>
      </c>
      <c r="F14" s="415">
        <f xml:space="preserve">
IF($A$4&lt;=12,SUMIFS('ON Data'!K:K,'ON Data'!$D:$D,$A$4,'ON Data'!$E:$E,5),SUMIFS('ON Data'!K:K,'ON Data'!$E:$E,5))</f>
        <v>0</v>
      </c>
      <c r="G14" s="415">
        <f xml:space="preserve">
IF($A$4&lt;=12,SUMIFS('ON Data'!L:L,'ON Data'!$D:$D,$A$4,'ON Data'!$E:$E,5),SUMIFS('ON Data'!L:L,'ON Data'!$E:$E,5))</f>
        <v>0</v>
      </c>
      <c r="H14" s="415">
        <f xml:space="preserve">
IF($A$4&lt;=12,SUMIFS('ON Data'!M:M,'ON Data'!$D:$D,$A$4,'ON Data'!$E:$E,5),SUMIFS('ON Data'!M:M,'ON Data'!$E:$E,5))</f>
        <v>0</v>
      </c>
      <c r="I14" s="415">
        <f xml:space="preserve">
IF($A$4&lt;=12,SUMIFS('ON Data'!N:N,'ON Data'!$D:$D,$A$4,'ON Data'!$E:$E,5),SUMIFS('ON Data'!N:N,'ON Data'!$E:$E,5))</f>
        <v>0</v>
      </c>
      <c r="J14" s="415">
        <f xml:space="preserve">
IF($A$4&lt;=12,SUMIFS('ON Data'!O:O,'ON Data'!$D:$D,$A$4,'ON Data'!$E:$E,5),SUMIFS('ON Data'!O:O,'ON Data'!$E:$E,5))</f>
        <v>0</v>
      </c>
      <c r="K14" s="415">
        <f xml:space="preserve">
IF($A$4&lt;=12,SUMIFS('ON Data'!P:P,'ON Data'!$D:$D,$A$4,'ON Data'!$E:$E,5),SUMIFS('ON Data'!P:P,'ON Data'!$E:$E,5))</f>
        <v>0</v>
      </c>
      <c r="L14" s="415">
        <f xml:space="preserve">
IF($A$4&lt;=12,SUMIFS('ON Data'!Q:Q,'ON Data'!$D:$D,$A$4,'ON Data'!$E:$E,5),SUMIFS('ON Data'!Q:Q,'ON Data'!$E:$E,5))</f>
        <v>0</v>
      </c>
      <c r="M14" s="415">
        <f xml:space="preserve">
IF($A$4&lt;=12,SUMIFS('ON Data'!R:R,'ON Data'!$D:$D,$A$4,'ON Data'!$E:$E,5),SUMIFS('ON Data'!R:R,'ON Data'!$E:$E,5))</f>
        <v>0</v>
      </c>
      <c r="N14" s="415">
        <f xml:space="preserve">
IF($A$4&lt;=12,SUMIFS('ON Data'!S:S,'ON Data'!$D:$D,$A$4,'ON Data'!$E:$E,5),SUMIFS('ON Data'!S:S,'ON Data'!$E:$E,5))</f>
        <v>0</v>
      </c>
      <c r="O14" s="415">
        <f xml:space="preserve">
IF($A$4&lt;=12,SUMIFS('ON Data'!T:T,'ON Data'!$D:$D,$A$4,'ON Data'!$E:$E,5),SUMIFS('ON Data'!T:T,'ON Data'!$E:$E,5))</f>
        <v>0</v>
      </c>
      <c r="P14" s="415">
        <f xml:space="preserve">
IF($A$4&lt;=12,SUMIFS('ON Data'!U:U,'ON Data'!$D:$D,$A$4,'ON Data'!$E:$E,5),SUMIFS('ON Data'!U:U,'ON Data'!$E:$E,5))</f>
        <v>0</v>
      </c>
      <c r="Q14" s="415">
        <f xml:space="preserve">
IF($A$4&lt;=12,SUMIFS('ON Data'!V:V,'ON Data'!$D:$D,$A$4,'ON Data'!$E:$E,5),SUMIFS('ON Data'!V:V,'ON Data'!$E:$E,5))</f>
        <v>0</v>
      </c>
      <c r="R14" s="415">
        <f xml:space="preserve">
IF($A$4&lt;=12,SUMIFS('ON Data'!W:W,'ON Data'!$D:$D,$A$4,'ON Data'!$E:$E,5),SUMIFS('ON Data'!W:W,'ON Data'!$E:$E,5))</f>
        <v>0</v>
      </c>
      <c r="S14" s="415">
        <f xml:space="preserve">
IF($A$4&lt;=12,SUMIFS('ON Data'!X:X,'ON Data'!$D:$D,$A$4,'ON Data'!$E:$E,5),SUMIFS('ON Data'!X:X,'ON Data'!$E:$E,5))</f>
        <v>0</v>
      </c>
      <c r="T14" s="415">
        <f xml:space="preserve">
IF($A$4&lt;=12,SUMIFS('ON Data'!Y:Y,'ON Data'!$D:$D,$A$4,'ON Data'!$E:$E,5),SUMIFS('ON Data'!Y:Y,'ON Data'!$E:$E,5))</f>
        <v>0</v>
      </c>
      <c r="U14" s="415">
        <f xml:space="preserve">
IF($A$4&lt;=12,SUMIFS('ON Data'!Z:Z,'ON Data'!$D:$D,$A$4,'ON Data'!$E:$E,5),SUMIFS('ON Data'!Z:Z,'ON Data'!$E:$E,5))</f>
        <v>0</v>
      </c>
      <c r="V14" s="415">
        <f xml:space="preserve">
IF($A$4&lt;=12,SUMIFS('ON Data'!AA:AA,'ON Data'!$D:$D,$A$4,'ON Data'!$E:$E,5),SUMIFS('ON Data'!AA:AA,'ON Data'!$E:$E,5))</f>
        <v>0</v>
      </c>
      <c r="W14" s="415">
        <f xml:space="preserve">
IF($A$4&lt;=12,SUMIFS('ON Data'!AB:AB,'ON Data'!$D:$D,$A$4,'ON Data'!$E:$E,5),SUMIFS('ON Data'!AB:AB,'ON Data'!$E:$E,5))</f>
        <v>0</v>
      </c>
      <c r="X14" s="415">
        <f xml:space="preserve">
IF($A$4&lt;=12,SUMIFS('ON Data'!AC:AC,'ON Data'!$D:$D,$A$4,'ON Data'!$E:$E,5),SUMIFS('ON Data'!AC:AC,'ON Data'!$E:$E,5))</f>
        <v>0</v>
      </c>
      <c r="Y14" s="415">
        <f xml:space="preserve">
IF($A$4&lt;=12,SUMIFS('ON Data'!AD:AD,'ON Data'!$D:$D,$A$4,'ON Data'!$E:$E,5),SUMIFS('ON Data'!AD:AD,'ON Data'!$E:$E,5))</f>
        <v>0</v>
      </c>
      <c r="Z14" s="415">
        <f xml:space="preserve">
IF($A$4&lt;=12,SUMIFS('ON Data'!AE:AE,'ON Data'!$D:$D,$A$4,'ON Data'!$E:$E,5),SUMIFS('ON Data'!AE:AE,'ON Data'!$E:$E,5))</f>
        <v>0</v>
      </c>
      <c r="AA14" s="415">
        <f xml:space="preserve">
IF($A$4&lt;=12,SUMIFS('ON Data'!AF:AF,'ON Data'!$D:$D,$A$4,'ON Data'!$E:$E,5),SUMIFS('ON Data'!AF:AF,'ON Data'!$E:$E,5))</f>
        <v>0</v>
      </c>
      <c r="AB14" s="415">
        <f xml:space="preserve">
IF($A$4&lt;=12,SUMIFS('ON Data'!AG:AG,'ON Data'!$D:$D,$A$4,'ON Data'!$E:$E,5),SUMIFS('ON Data'!AG:AG,'ON Data'!$E:$E,5))</f>
        <v>0</v>
      </c>
      <c r="AC14" s="415">
        <f xml:space="preserve">
IF($A$4&lt;=12,SUMIFS('ON Data'!AH:AH,'ON Data'!$D:$D,$A$4,'ON Data'!$E:$E,5),SUMIFS('ON Data'!AH:AH,'ON Data'!$E:$E,5))</f>
        <v>0</v>
      </c>
      <c r="AD14" s="415">
        <f xml:space="preserve">
IF($A$4&lt;=12,SUMIFS('ON Data'!AI:AI,'ON Data'!$D:$D,$A$4,'ON Data'!$E:$E,5),SUMIFS('ON Data'!AI:AI,'ON Data'!$E:$E,5))</f>
        <v>0</v>
      </c>
      <c r="AE14" s="415">
        <f xml:space="preserve">
IF($A$4&lt;=12,SUMIFS('ON Data'!AJ:AJ,'ON Data'!$D:$D,$A$4,'ON Data'!$E:$E,5),SUMIFS('ON Data'!AJ:AJ,'ON Data'!$E:$E,5))</f>
        <v>0</v>
      </c>
      <c r="AF14" s="415">
        <f xml:space="preserve">
IF($A$4&lt;=12,SUMIFS('ON Data'!AK:AK,'ON Data'!$D:$D,$A$4,'ON Data'!$E:$E,5),SUMIFS('ON Data'!AK:AK,'ON Data'!$E:$E,5))</f>
        <v>0</v>
      </c>
      <c r="AG14" s="769">
        <f xml:space="preserve">
IF($A$4&lt;=12,SUMIFS('ON Data'!AM:AM,'ON Data'!$D:$D,$A$4,'ON Data'!$E:$E,5),SUMIFS('ON Data'!AM:AM,'ON Data'!$E:$E,5))</f>
        <v>0</v>
      </c>
      <c r="AH14" s="778"/>
    </row>
    <row r="15" spans="1:34" x14ac:dyDescent="0.3">
      <c r="A15" s="289" t="s">
        <v>251</v>
      </c>
      <c r="B15" s="416"/>
      <c r="C15" s="417"/>
      <c r="D15" s="418"/>
      <c r="E15" s="418"/>
      <c r="F15" s="418"/>
      <c r="G15" s="418"/>
      <c r="H15" s="418"/>
      <c r="I15" s="418"/>
      <c r="J15" s="418"/>
      <c r="K15" s="418"/>
      <c r="L15" s="418"/>
      <c r="M15" s="418"/>
      <c r="N15" s="418"/>
      <c r="O15" s="418"/>
      <c r="P15" s="418"/>
      <c r="Q15" s="418"/>
      <c r="R15" s="418"/>
      <c r="S15" s="418"/>
      <c r="T15" s="418"/>
      <c r="U15" s="418"/>
      <c r="V15" s="418"/>
      <c r="W15" s="418"/>
      <c r="X15" s="418"/>
      <c r="Y15" s="418"/>
      <c r="Z15" s="418"/>
      <c r="AA15" s="418"/>
      <c r="AB15" s="418"/>
      <c r="AC15" s="418"/>
      <c r="AD15" s="418"/>
      <c r="AE15" s="418"/>
      <c r="AF15" s="418"/>
      <c r="AG15" s="770"/>
      <c r="AH15" s="778"/>
    </row>
    <row r="16" spans="1:34" x14ac:dyDescent="0.3">
      <c r="A16" s="395" t="s">
        <v>242</v>
      </c>
      <c r="B16" s="410">
        <f xml:space="preserve">
IF($A$4&lt;=12,SUMIFS('ON Data'!F:F,'ON Data'!$D:$D,$A$4,'ON Data'!$E:$E,7),SUMIFS('ON Data'!F:F,'ON Data'!$E:$E,7))</f>
        <v>0</v>
      </c>
      <c r="C16" s="411">
        <f xml:space="preserve">
IF($A$4&lt;=12,SUMIFS('ON Data'!G:G,'ON Data'!$D:$D,$A$4,'ON Data'!$E:$E,7),SUMIFS('ON Data'!G:G,'ON Data'!$E:$E,7))</f>
        <v>0</v>
      </c>
      <c r="D16" s="412">
        <f xml:space="preserve">
IF($A$4&lt;=12,SUMIFS('ON Data'!H:H,'ON Data'!$D:$D,$A$4,'ON Data'!$E:$E,7),SUMIFS('ON Data'!H:H,'ON Data'!$E:$E,7))</f>
        <v>0</v>
      </c>
      <c r="E16" s="412">
        <f xml:space="preserve">
IF($A$4&lt;=12,SUMIFS('ON Data'!I:I,'ON Data'!$D:$D,$A$4,'ON Data'!$E:$E,7),SUMIFS('ON Data'!I:I,'ON Data'!$E:$E,7))</f>
        <v>0</v>
      </c>
      <c r="F16" s="412">
        <f xml:space="preserve">
IF($A$4&lt;=12,SUMIFS('ON Data'!K:K,'ON Data'!$D:$D,$A$4,'ON Data'!$E:$E,7),SUMIFS('ON Data'!K:K,'ON Data'!$E:$E,7))</f>
        <v>0</v>
      </c>
      <c r="G16" s="412">
        <f xml:space="preserve">
IF($A$4&lt;=12,SUMIFS('ON Data'!L:L,'ON Data'!$D:$D,$A$4,'ON Data'!$E:$E,7),SUMIFS('ON Data'!L:L,'ON Data'!$E:$E,7))</f>
        <v>0</v>
      </c>
      <c r="H16" s="412">
        <f xml:space="preserve">
IF($A$4&lt;=12,SUMIFS('ON Data'!M:M,'ON Data'!$D:$D,$A$4,'ON Data'!$E:$E,7),SUMIFS('ON Data'!M:M,'ON Data'!$E:$E,7))</f>
        <v>0</v>
      </c>
      <c r="I16" s="412">
        <f xml:space="preserve">
IF($A$4&lt;=12,SUMIFS('ON Data'!N:N,'ON Data'!$D:$D,$A$4,'ON Data'!$E:$E,7),SUMIFS('ON Data'!N:N,'ON Data'!$E:$E,7))</f>
        <v>0</v>
      </c>
      <c r="J16" s="412">
        <f xml:space="preserve">
IF($A$4&lt;=12,SUMIFS('ON Data'!O:O,'ON Data'!$D:$D,$A$4,'ON Data'!$E:$E,7),SUMIFS('ON Data'!O:O,'ON Data'!$E:$E,7))</f>
        <v>0</v>
      </c>
      <c r="K16" s="412">
        <f xml:space="preserve">
IF($A$4&lt;=12,SUMIFS('ON Data'!P:P,'ON Data'!$D:$D,$A$4,'ON Data'!$E:$E,7),SUMIFS('ON Data'!P:P,'ON Data'!$E:$E,7))</f>
        <v>0</v>
      </c>
      <c r="L16" s="412">
        <f xml:space="preserve">
IF($A$4&lt;=12,SUMIFS('ON Data'!Q:Q,'ON Data'!$D:$D,$A$4,'ON Data'!$E:$E,7),SUMIFS('ON Data'!Q:Q,'ON Data'!$E:$E,7))</f>
        <v>0</v>
      </c>
      <c r="M16" s="412">
        <f xml:space="preserve">
IF($A$4&lt;=12,SUMIFS('ON Data'!R:R,'ON Data'!$D:$D,$A$4,'ON Data'!$E:$E,7),SUMIFS('ON Data'!R:R,'ON Data'!$E:$E,7))</f>
        <v>0</v>
      </c>
      <c r="N16" s="412">
        <f xml:space="preserve">
IF($A$4&lt;=12,SUMIFS('ON Data'!S:S,'ON Data'!$D:$D,$A$4,'ON Data'!$E:$E,7),SUMIFS('ON Data'!S:S,'ON Data'!$E:$E,7))</f>
        <v>0</v>
      </c>
      <c r="O16" s="412">
        <f xml:space="preserve">
IF($A$4&lt;=12,SUMIFS('ON Data'!T:T,'ON Data'!$D:$D,$A$4,'ON Data'!$E:$E,7),SUMIFS('ON Data'!T:T,'ON Data'!$E:$E,7))</f>
        <v>0</v>
      </c>
      <c r="P16" s="412">
        <f xml:space="preserve">
IF($A$4&lt;=12,SUMIFS('ON Data'!U:U,'ON Data'!$D:$D,$A$4,'ON Data'!$E:$E,7),SUMIFS('ON Data'!U:U,'ON Data'!$E:$E,7))</f>
        <v>0</v>
      </c>
      <c r="Q16" s="412">
        <f xml:space="preserve">
IF($A$4&lt;=12,SUMIFS('ON Data'!V:V,'ON Data'!$D:$D,$A$4,'ON Data'!$E:$E,7),SUMIFS('ON Data'!V:V,'ON Data'!$E:$E,7))</f>
        <v>0</v>
      </c>
      <c r="R16" s="412">
        <f xml:space="preserve">
IF($A$4&lt;=12,SUMIFS('ON Data'!W:W,'ON Data'!$D:$D,$A$4,'ON Data'!$E:$E,7),SUMIFS('ON Data'!W:W,'ON Data'!$E:$E,7))</f>
        <v>0</v>
      </c>
      <c r="S16" s="412">
        <f xml:space="preserve">
IF($A$4&lt;=12,SUMIFS('ON Data'!X:X,'ON Data'!$D:$D,$A$4,'ON Data'!$E:$E,7),SUMIFS('ON Data'!X:X,'ON Data'!$E:$E,7))</f>
        <v>0</v>
      </c>
      <c r="T16" s="412">
        <f xml:space="preserve">
IF($A$4&lt;=12,SUMIFS('ON Data'!Y:Y,'ON Data'!$D:$D,$A$4,'ON Data'!$E:$E,7),SUMIFS('ON Data'!Y:Y,'ON Data'!$E:$E,7))</f>
        <v>0</v>
      </c>
      <c r="U16" s="412">
        <f xml:space="preserve">
IF($A$4&lt;=12,SUMIFS('ON Data'!Z:Z,'ON Data'!$D:$D,$A$4,'ON Data'!$E:$E,7),SUMIFS('ON Data'!Z:Z,'ON Data'!$E:$E,7))</f>
        <v>0</v>
      </c>
      <c r="V16" s="412">
        <f xml:space="preserve">
IF($A$4&lt;=12,SUMIFS('ON Data'!AA:AA,'ON Data'!$D:$D,$A$4,'ON Data'!$E:$E,7),SUMIFS('ON Data'!AA:AA,'ON Data'!$E:$E,7))</f>
        <v>0</v>
      </c>
      <c r="W16" s="412">
        <f xml:space="preserve">
IF($A$4&lt;=12,SUMIFS('ON Data'!AB:AB,'ON Data'!$D:$D,$A$4,'ON Data'!$E:$E,7),SUMIFS('ON Data'!AB:AB,'ON Data'!$E:$E,7))</f>
        <v>0</v>
      </c>
      <c r="X16" s="412">
        <f xml:space="preserve">
IF($A$4&lt;=12,SUMIFS('ON Data'!AC:AC,'ON Data'!$D:$D,$A$4,'ON Data'!$E:$E,7),SUMIFS('ON Data'!AC:AC,'ON Data'!$E:$E,7))</f>
        <v>0</v>
      </c>
      <c r="Y16" s="412">
        <f xml:space="preserve">
IF($A$4&lt;=12,SUMIFS('ON Data'!AD:AD,'ON Data'!$D:$D,$A$4,'ON Data'!$E:$E,7),SUMIFS('ON Data'!AD:AD,'ON Data'!$E:$E,7))</f>
        <v>0</v>
      </c>
      <c r="Z16" s="412">
        <f xml:space="preserve">
IF($A$4&lt;=12,SUMIFS('ON Data'!AE:AE,'ON Data'!$D:$D,$A$4,'ON Data'!$E:$E,7),SUMIFS('ON Data'!AE:AE,'ON Data'!$E:$E,7))</f>
        <v>0</v>
      </c>
      <c r="AA16" s="412">
        <f xml:space="preserve">
IF($A$4&lt;=12,SUMIFS('ON Data'!AF:AF,'ON Data'!$D:$D,$A$4,'ON Data'!$E:$E,7),SUMIFS('ON Data'!AF:AF,'ON Data'!$E:$E,7))</f>
        <v>0</v>
      </c>
      <c r="AB16" s="412">
        <f xml:space="preserve">
IF($A$4&lt;=12,SUMIFS('ON Data'!AG:AG,'ON Data'!$D:$D,$A$4,'ON Data'!$E:$E,7),SUMIFS('ON Data'!AG:AG,'ON Data'!$E:$E,7))</f>
        <v>0</v>
      </c>
      <c r="AC16" s="412">
        <f xml:space="preserve">
IF($A$4&lt;=12,SUMIFS('ON Data'!AH:AH,'ON Data'!$D:$D,$A$4,'ON Data'!$E:$E,7),SUMIFS('ON Data'!AH:AH,'ON Data'!$E:$E,7))</f>
        <v>0</v>
      </c>
      <c r="AD16" s="412">
        <f xml:space="preserve">
IF($A$4&lt;=12,SUMIFS('ON Data'!AI:AI,'ON Data'!$D:$D,$A$4,'ON Data'!$E:$E,7),SUMIFS('ON Data'!AI:AI,'ON Data'!$E:$E,7))</f>
        <v>0</v>
      </c>
      <c r="AE16" s="412">
        <f xml:space="preserve">
IF($A$4&lt;=12,SUMIFS('ON Data'!AJ:AJ,'ON Data'!$D:$D,$A$4,'ON Data'!$E:$E,7),SUMIFS('ON Data'!AJ:AJ,'ON Data'!$E:$E,7))</f>
        <v>0</v>
      </c>
      <c r="AF16" s="412">
        <f xml:space="preserve">
IF($A$4&lt;=12,SUMIFS('ON Data'!AK:AK,'ON Data'!$D:$D,$A$4,'ON Data'!$E:$E,7),SUMIFS('ON Data'!AK:AK,'ON Data'!$E:$E,7))</f>
        <v>0</v>
      </c>
      <c r="AG16" s="768">
        <f xml:space="preserve">
IF($A$4&lt;=12,SUMIFS('ON Data'!AM:AM,'ON Data'!$D:$D,$A$4,'ON Data'!$E:$E,7),SUMIFS('ON Data'!AM:AM,'ON Data'!$E:$E,7))</f>
        <v>0</v>
      </c>
      <c r="AH16" s="778"/>
    </row>
    <row r="17" spans="1:34" x14ac:dyDescent="0.3">
      <c r="A17" s="395" t="s">
        <v>243</v>
      </c>
      <c r="B17" s="410">
        <f xml:space="preserve">
IF($A$4&lt;=12,SUMIFS('ON Data'!F:F,'ON Data'!$D:$D,$A$4,'ON Data'!$E:$E,8),SUMIFS('ON Data'!F:F,'ON Data'!$E:$E,8))</f>
        <v>0</v>
      </c>
      <c r="C17" s="411">
        <f xml:space="preserve">
IF($A$4&lt;=12,SUMIFS('ON Data'!G:G,'ON Data'!$D:$D,$A$4,'ON Data'!$E:$E,8),SUMIFS('ON Data'!G:G,'ON Data'!$E:$E,8))</f>
        <v>0</v>
      </c>
      <c r="D17" s="412">
        <f xml:space="preserve">
IF($A$4&lt;=12,SUMIFS('ON Data'!H:H,'ON Data'!$D:$D,$A$4,'ON Data'!$E:$E,8),SUMIFS('ON Data'!H:H,'ON Data'!$E:$E,8))</f>
        <v>0</v>
      </c>
      <c r="E17" s="412">
        <f xml:space="preserve">
IF($A$4&lt;=12,SUMIFS('ON Data'!I:I,'ON Data'!$D:$D,$A$4,'ON Data'!$E:$E,8),SUMIFS('ON Data'!I:I,'ON Data'!$E:$E,8))</f>
        <v>0</v>
      </c>
      <c r="F17" s="412">
        <f xml:space="preserve">
IF($A$4&lt;=12,SUMIFS('ON Data'!K:K,'ON Data'!$D:$D,$A$4,'ON Data'!$E:$E,8),SUMIFS('ON Data'!K:K,'ON Data'!$E:$E,8))</f>
        <v>0</v>
      </c>
      <c r="G17" s="412">
        <f xml:space="preserve">
IF($A$4&lt;=12,SUMIFS('ON Data'!L:L,'ON Data'!$D:$D,$A$4,'ON Data'!$E:$E,8),SUMIFS('ON Data'!L:L,'ON Data'!$E:$E,8))</f>
        <v>0</v>
      </c>
      <c r="H17" s="412">
        <f xml:space="preserve">
IF($A$4&lt;=12,SUMIFS('ON Data'!M:M,'ON Data'!$D:$D,$A$4,'ON Data'!$E:$E,8),SUMIFS('ON Data'!M:M,'ON Data'!$E:$E,8))</f>
        <v>0</v>
      </c>
      <c r="I17" s="412">
        <f xml:space="preserve">
IF($A$4&lt;=12,SUMIFS('ON Data'!N:N,'ON Data'!$D:$D,$A$4,'ON Data'!$E:$E,8),SUMIFS('ON Data'!N:N,'ON Data'!$E:$E,8))</f>
        <v>0</v>
      </c>
      <c r="J17" s="412">
        <f xml:space="preserve">
IF($A$4&lt;=12,SUMIFS('ON Data'!O:O,'ON Data'!$D:$D,$A$4,'ON Data'!$E:$E,8),SUMIFS('ON Data'!O:O,'ON Data'!$E:$E,8))</f>
        <v>0</v>
      </c>
      <c r="K17" s="412">
        <f xml:space="preserve">
IF($A$4&lt;=12,SUMIFS('ON Data'!P:P,'ON Data'!$D:$D,$A$4,'ON Data'!$E:$E,8),SUMIFS('ON Data'!P:P,'ON Data'!$E:$E,8))</f>
        <v>0</v>
      </c>
      <c r="L17" s="412">
        <f xml:space="preserve">
IF($A$4&lt;=12,SUMIFS('ON Data'!Q:Q,'ON Data'!$D:$D,$A$4,'ON Data'!$E:$E,8),SUMIFS('ON Data'!Q:Q,'ON Data'!$E:$E,8))</f>
        <v>0</v>
      </c>
      <c r="M17" s="412">
        <f xml:space="preserve">
IF($A$4&lt;=12,SUMIFS('ON Data'!R:R,'ON Data'!$D:$D,$A$4,'ON Data'!$E:$E,8),SUMIFS('ON Data'!R:R,'ON Data'!$E:$E,8))</f>
        <v>0</v>
      </c>
      <c r="N17" s="412">
        <f xml:space="preserve">
IF($A$4&lt;=12,SUMIFS('ON Data'!S:S,'ON Data'!$D:$D,$A$4,'ON Data'!$E:$E,8),SUMIFS('ON Data'!S:S,'ON Data'!$E:$E,8))</f>
        <v>0</v>
      </c>
      <c r="O17" s="412">
        <f xml:space="preserve">
IF($A$4&lt;=12,SUMIFS('ON Data'!T:T,'ON Data'!$D:$D,$A$4,'ON Data'!$E:$E,8),SUMIFS('ON Data'!T:T,'ON Data'!$E:$E,8))</f>
        <v>0</v>
      </c>
      <c r="P17" s="412">
        <f xml:space="preserve">
IF($A$4&lt;=12,SUMIFS('ON Data'!U:U,'ON Data'!$D:$D,$A$4,'ON Data'!$E:$E,8),SUMIFS('ON Data'!U:U,'ON Data'!$E:$E,8))</f>
        <v>0</v>
      </c>
      <c r="Q17" s="412">
        <f xml:space="preserve">
IF($A$4&lt;=12,SUMIFS('ON Data'!V:V,'ON Data'!$D:$D,$A$4,'ON Data'!$E:$E,8),SUMIFS('ON Data'!V:V,'ON Data'!$E:$E,8))</f>
        <v>0</v>
      </c>
      <c r="R17" s="412">
        <f xml:space="preserve">
IF($A$4&lt;=12,SUMIFS('ON Data'!W:W,'ON Data'!$D:$D,$A$4,'ON Data'!$E:$E,8),SUMIFS('ON Data'!W:W,'ON Data'!$E:$E,8))</f>
        <v>0</v>
      </c>
      <c r="S17" s="412">
        <f xml:space="preserve">
IF($A$4&lt;=12,SUMIFS('ON Data'!X:X,'ON Data'!$D:$D,$A$4,'ON Data'!$E:$E,8),SUMIFS('ON Data'!X:X,'ON Data'!$E:$E,8))</f>
        <v>0</v>
      </c>
      <c r="T17" s="412">
        <f xml:space="preserve">
IF($A$4&lt;=12,SUMIFS('ON Data'!Y:Y,'ON Data'!$D:$D,$A$4,'ON Data'!$E:$E,8),SUMIFS('ON Data'!Y:Y,'ON Data'!$E:$E,8))</f>
        <v>0</v>
      </c>
      <c r="U17" s="412">
        <f xml:space="preserve">
IF($A$4&lt;=12,SUMIFS('ON Data'!Z:Z,'ON Data'!$D:$D,$A$4,'ON Data'!$E:$E,8),SUMIFS('ON Data'!Z:Z,'ON Data'!$E:$E,8))</f>
        <v>0</v>
      </c>
      <c r="V17" s="412">
        <f xml:space="preserve">
IF($A$4&lt;=12,SUMIFS('ON Data'!AA:AA,'ON Data'!$D:$D,$A$4,'ON Data'!$E:$E,8),SUMIFS('ON Data'!AA:AA,'ON Data'!$E:$E,8))</f>
        <v>0</v>
      </c>
      <c r="W17" s="412">
        <f xml:space="preserve">
IF($A$4&lt;=12,SUMIFS('ON Data'!AB:AB,'ON Data'!$D:$D,$A$4,'ON Data'!$E:$E,8),SUMIFS('ON Data'!AB:AB,'ON Data'!$E:$E,8))</f>
        <v>0</v>
      </c>
      <c r="X17" s="412">
        <f xml:space="preserve">
IF($A$4&lt;=12,SUMIFS('ON Data'!AC:AC,'ON Data'!$D:$D,$A$4,'ON Data'!$E:$E,8),SUMIFS('ON Data'!AC:AC,'ON Data'!$E:$E,8))</f>
        <v>0</v>
      </c>
      <c r="Y17" s="412">
        <f xml:space="preserve">
IF($A$4&lt;=12,SUMIFS('ON Data'!AD:AD,'ON Data'!$D:$D,$A$4,'ON Data'!$E:$E,8),SUMIFS('ON Data'!AD:AD,'ON Data'!$E:$E,8))</f>
        <v>0</v>
      </c>
      <c r="Z17" s="412">
        <f xml:space="preserve">
IF($A$4&lt;=12,SUMIFS('ON Data'!AE:AE,'ON Data'!$D:$D,$A$4,'ON Data'!$E:$E,8),SUMIFS('ON Data'!AE:AE,'ON Data'!$E:$E,8))</f>
        <v>0</v>
      </c>
      <c r="AA17" s="412">
        <f xml:space="preserve">
IF($A$4&lt;=12,SUMIFS('ON Data'!AF:AF,'ON Data'!$D:$D,$A$4,'ON Data'!$E:$E,8),SUMIFS('ON Data'!AF:AF,'ON Data'!$E:$E,8))</f>
        <v>0</v>
      </c>
      <c r="AB17" s="412">
        <f xml:space="preserve">
IF($A$4&lt;=12,SUMIFS('ON Data'!AG:AG,'ON Data'!$D:$D,$A$4,'ON Data'!$E:$E,8),SUMIFS('ON Data'!AG:AG,'ON Data'!$E:$E,8))</f>
        <v>0</v>
      </c>
      <c r="AC17" s="412">
        <f xml:space="preserve">
IF($A$4&lt;=12,SUMIFS('ON Data'!AH:AH,'ON Data'!$D:$D,$A$4,'ON Data'!$E:$E,8),SUMIFS('ON Data'!AH:AH,'ON Data'!$E:$E,8))</f>
        <v>0</v>
      </c>
      <c r="AD17" s="412">
        <f xml:space="preserve">
IF($A$4&lt;=12,SUMIFS('ON Data'!AI:AI,'ON Data'!$D:$D,$A$4,'ON Data'!$E:$E,8),SUMIFS('ON Data'!AI:AI,'ON Data'!$E:$E,8))</f>
        <v>0</v>
      </c>
      <c r="AE17" s="412">
        <f xml:space="preserve">
IF($A$4&lt;=12,SUMIFS('ON Data'!AJ:AJ,'ON Data'!$D:$D,$A$4,'ON Data'!$E:$E,8),SUMIFS('ON Data'!AJ:AJ,'ON Data'!$E:$E,8))</f>
        <v>0</v>
      </c>
      <c r="AF17" s="412">
        <f xml:space="preserve">
IF($A$4&lt;=12,SUMIFS('ON Data'!AK:AK,'ON Data'!$D:$D,$A$4,'ON Data'!$E:$E,8),SUMIFS('ON Data'!AK:AK,'ON Data'!$E:$E,8))</f>
        <v>0</v>
      </c>
      <c r="AG17" s="768">
        <f xml:space="preserve">
IF($A$4&lt;=12,SUMIFS('ON Data'!AM:AM,'ON Data'!$D:$D,$A$4,'ON Data'!$E:$E,8),SUMIFS('ON Data'!AM:AM,'ON Data'!$E:$E,8))</f>
        <v>0</v>
      </c>
      <c r="AH17" s="778"/>
    </row>
    <row r="18" spans="1:34" x14ac:dyDescent="0.3">
      <c r="A18" s="395" t="s">
        <v>244</v>
      </c>
      <c r="B18" s="410">
        <f xml:space="preserve">
B19-B16-B17</f>
        <v>54026</v>
      </c>
      <c r="C18" s="411">
        <f t="shared" ref="C18" si="0" xml:space="preserve">
C19-C16-C17</f>
        <v>0</v>
      </c>
      <c r="D18" s="412">
        <f t="shared" ref="D18:AG18" si="1" xml:space="preserve">
D19-D16-D17</f>
        <v>0</v>
      </c>
      <c r="E18" s="412">
        <f t="shared" si="1"/>
        <v>0</v>
      </c>
      <c r="F18" s="412">
        <f t="shared" si="1"/>
        <v>46602</v>
      </c>
      <c r="G18" s="412">
        <f t="shared" si="1"/>
        <v>0</v>
      </c>
      <c r="H18" s="412">
        <f t="shared" si="1"/>
        <v>0</v>
      </c>
      <c r="I18" s="412">
        <f t="shared" si="1"/>
        <v>0</v>
      </c>
      <c r="J18" s="412">
        <f t="shared" si="1"/>
        <v>0</v>
      </c>
      <c r="K18" s="412">
        <f t="shared" si="1"/>
        <v>0</v>
      </c>
      <c r="L18" s="412">
        <f t="shared" si="1"/>
        <v>0</v>
      </c>
      <c r="M18" s="412">
        <f t="shared" si="1"/>
        <v>0</v>
      </c>
      <c r="N18" s="412">
        <f t="shared" si="1"/>
        <v>0</v>
      </c>
      <c r="O18" s="412">
        <f t="shared" si="1"/>
        <v>0</v>
      </c>
      <c r="P18" s="412">
        <f t="shared" si="1"/>
        <v>0</v>
      </c>
      <c r="Q18" s="412">
        <f t="shared" si="1"/>
        <v>0</v>
      </c>
      <c r="R18" s="412">
        <f t="shared" si="1"/>
        <v>0</v>
      </c>
      <c r="S18" s="412">
        <f t="shared" si="1"/>
        <v>0</v>
      </c>
      <c r="T18" s="412">
        <f t="shared" si="1"/>
        <v>0</v>
      </c>
      <c r="U18" s="412">
        <f t="shared" si="1"/>
        <v>0</v>
      </c>
      <c r="V18" s="412">
        <f t="shared" si="1"/>
        <v>0</v>
      </c>
      <c r="W18" s="412">
        <f t="shared" si="1"/>
        <v>0</v>
      </c>
      <c r="X18" s="412">
        <f t="shared" si="1"/>
        <v>2300</v>
      </c>
      <c r="Y18" s="412">
        <f t="shared" si="1"/>
        <v>0</v>
      </c>
      <c r="Z18" s="412">
        <f t="shared" si="1"/>
        <v>2296</v>
      </c>
      <c r="AA18" s="412">
        <f t="shared" si="1"/>
        <v>0</v>
      </c>
      <c r="AB18" s="412">
        <f t="shared" si="1"/>
        <v>0</v>
      </c>
      <c r="AC18" s="412">
        <f t="shared" si="1"/>
        <v>2828</v>
      </c>
      <c r="AD18" s="412">
        <f t="shared" si="1"/>
        <v>0</v>
      </c>
      <c r="AE18" s="412">
        <f t="shared" si="1"/>
        <v>0</v>
      </c>
      <c r="AF18" s="412">
        <f t="shared" si="1"/>
        <v>0</v>
      </c>
      <c r="AG18" s="768">
        <f t="shared" si="1"/>
        <v>0</v>
      </c>
      <c r="AH18" s="778"/>
    </row>
    <row r="19" spans="1:34" ht="15" thickBot="1" x14ac:dyDescent="0.35">
      <c r="A19" s="396" t="s">
        <v>245</v>
      </c>
      <c r="B19" s="419">
        <f xml:space="preserve">
IF($A$4&lt;=12,SUMIFS('ON Data'!F:F,'ON Data'!$D:$D,$A$4,'ON Data'!$E:$E,9),SUMIFS('ON Data'!F:F,'ON Data'!$E:$E,9))</f>
        <v>54026</v>
      </c>
      <c r="C19" s="420">
        <f xml:space="preserve">
IF($A$4&lt;=12,SUMIFS('ON Data'!G:G,'ON Data'!$D:$D,$A$4,'ON Data'!$E:$E,9),SUMIFS('ON Data'!G:G,'ON Data'!$E:$E,9))</f>
        <v>0</v>
      </c>
      <c r="D19" s="421">
        <f xml:space="preserve">
IF($A$4&lt;=12,SUMIFS('ON Data'!H:H,'ON Data'!$D:$D,$A$4,'ON Data'!$E:$E,9),SUMIFS('ON Data'!H:H,'ON Data'!$E:$E,9))</f>
        <v>0</v>
      </c>
      <c r="E19" s="421">
        <f xml:space="preserve">
IF($A$4&lt;=12,SUMIFS('ON Data'!I:I,'ON Data'!$D:$D,$A$4,'ON Data'!$E:$E,9),SUMIFS('ON Data'!I:I,'ON Data'!$E:$E,9))</f>
        <v>0</v>
      </c>
      <c r="F19" s="421">
        <f xml:space="preserve">
IF($A$4&lt;=12,SUMIFS('ON Data'!K:K,'ON Data'!$D:$D,$A$4,'ON Data'!$E:$E,9),SUMIFS('ON Data'!K:K,'ON Data'!$E:$E,9))</f>
        <v>46602</v>
      </c>
      <c r="G19" s="421">
        <f xml:space="preserve">
IF($A$4&lt;=12,SUMIFS('ON Data'!L:L,'ON Data'!$D:$D,$A$4,'ON Data'!$E:$E,9),SUMIFS('ON Data'!L:L,'ON Data'!$E:$E,9))</f>
        <v>0</v>
      </c>
      <c r="H19" s="421">
        <f xml:space="preserve">
IF($A$4&lt;=12,SUMIFS('ON Data'!M:M,'ON Data'!$D:$D,$A$4,'ON Data'!$E:$E,9),SUMIFS('ON Data'!M:M,'ON Data'!$E:$E,9))</f>
        <v>0</v>
      </c>
      <c r="I19" s="421">
        <f xml:space="preserve">
IF($A$4&lt;=12,SUMIFS('ON Data'!N:N,'ON Data'!$D:$D,$A$4,'ON Data'!$E:$E,9),SUMIFS('ON Data'!N:N,'ON Data'!$E:$E,9))</f>
        <v>0</v>
      </c>
      <c r="J19" s="421">
        <f xml:space="preserve">
IF($A$4&lt;=12,SUMIFS('ON Data'!O:O,'ON Data'!$D:$D,$A$4,'ON Data'!$E:$E,9),SUMIFS('ON Data'!O:O,'ON Data'!$E:$E,9))</f>
        <v>0</v>
      </c>
      <c r="K19" s="421">
        <f xml:space="preserve">
IF($A$4&lt;=12,SUMIFS('ON Data'!P:P,'ON Data'!$D:$D,$A$4,'ON Data'!$E:$E,9),SUMIFS('ON Data'!P:P,'ON Data'!$E:$E,9))</f>
        <v>0</v>
      </c>
      <c r="L19" s="421">
        <f xml:space="preserve">
IF($A$4&lt;=12,SUMIFS('ON Data'!Q:Q,'ON Data'!$D:$D,$A$4,'ON Data'!$E:$E,9),SUMIFS('ON Data'!Q:Q,'ON Data'!$E:$E,9))</f>
        <v>0</v>
      </c>
      <c r="M19" s="421">
        <f xml:space="preserve">
IF($A$4&lt;=12,SUMIFS('ON Data'!R:R,'ON Data'!$D:$D,$A$4,'ON Data'!$E:$E,9),SUMIFS('ON Data'!R:R,'ON Data'!$E:$E,9))</f>
        <v>0</v>
      </c>
      <c r="N19" s="421">
        <f xml:space="preserve">
IF($A$4&lt;=12,SUMIFS('ON Data'!S:S,'ON Data'!$D:$D,$A$4,'ON Data'!$E:$E,9),SUMIFS('ON Data'!S:S,'ON Data'!$E:$E,9))</f>
        <v>0</v>
      </c>
      <c r="O19" s="421">
        <f xml:space="preserve">
IF($A$4&lt;=12,SUMIFS('ON Data'!T:T,'ON Data'!$D:$D,$A$4,'ON Data'!$E:$E,9),SUMIFS('ON Data'!T:T,'ON Data'!$E:$E,9))</f>
        <v>0</v>
      </c>
      <c r="P19" s="421">
        <f xml:space="preserve">
IF($A$4&lt;=12,SUMIFS('ON Data'!U:U,'ON Data'!$D:$D,$A$4,'ON Data'!$E:$E,9),SUMIFS('ON Data'!U:U,'ON Data'!$E:$E,9))</f>
        <v>0</v>
      </c>
      <c r="Q19" s="421">
        <f xml:space="preserve">
IF($A$4&lt;=12,SUMIFS('ON Data'!V:V,'ON Data'!$D:$D,$A$4,'ON Data'!$E:$E,9),SUMIFS('ON Data'!V:V,'ON Data'!$E:$E,9))</f>
        <v>0</v>
      </c>
      <c r="R19" s="421">
        <f xml:space="preserve">
IF($A$4&lt;=12,SUMIFS('ON Data'!W:W,'ON Data'!$D:$D,$A$4,'ON Data'!$E:$E,9),SUMIFS('ON Data'!W:W,'ON Data'!$E:$E,9))</f>
        <v>0</v>
      </c>
      <c r="S19" s="421">
        <f xml:space="preserve">
IF($A$4&lt;=12,SUMIFS('ON Data'!X:X,'ON Data'!$D:$D,$A$4,'ON Data'!$E:$E,9),SUMIFS('ON Data'!X:X,'ON Data'!$E:$E,9))</f>
        <v>0</v>
      </c>
      <c r="T19" s="421">
        <f xml:space="preserve">
IF($A$4&lt;=12,SUMIFS('ON Data'!Y:Y,'ON Data'!$D:$D,$A$4,'ON Data'!$E:$E,9),SUMIFS('ON Data'!Y:Y,'ON Data'!$E:$E,9))</f>
        <v>0</v>
      </c>
      <c r="U19" s="421">
        <f xml:space="preserve">
IF($A$4&lt;=12,SUMIFS('ON Data'!Z:Z,'ON Data'!$D:$D,$A$4,'ON Data'!$E:$E,9),SUMIFS('ON Data'!Z:Z,'ON Data'!$E:$E,9))</f>
        <v>0</v>
      </c>
      <c r="V19" s="421">
        <f xml:space="preserve">
IF($A$4&lt;=12,SUMIFS('ON Data'!AA:AA,'ON Data'!$D:$D,$A$4,'ON Data'!$E:$E,9),SUMIFS('ON Data'!AA:AA,'ON Data'!$E:$E,9))</f>
        <v>0</v>
      </c>
      <c r="W19" s="421">
        <f xml:space="preserve">
IF($A$4&lt;=12,SUMIFS('ON Data'!AB:AB,'ON Data'!$D:$D,$A$4,'ON Data'!$E:$E,9),SUMIFS('ON Data'!AB:AB,'ON Data'!$E:$E,9))</f>
        <v>0</v>
      </c>
      <c r="X19" s="421">
        <f xml:space="preserve">
IF($A$4&lt;=12,SUMIFS('ON Data'!AC:AC,'ON Data'!$D:$D,$A$4,'ON Data'!$E:$E,9),SUMIFS('ON Data'!AC:AC,'ON Data'!$E:$E,9))</f>
        <v>2300</v>
      </c>
      <c r="Y19" s="421">
        <f xml:space="preserve">
IF($A$4&lt;=12,SUMIFS('ON Data'!AD:AD,'ON Data'!$D:$D,$A$4,'ON Data'!$E:$E,9),SUMIFS('ON Data'!AD:AD,'ON Data'!$E:$E,9))</f>
        <v>0</v>
      </c>
      <c r="Z19" s="421">
        <f xml:space="preserve">
IF($A$4&lt;=12,SUMIFS('ON Data'!AE:AE,'ON Data'!$D:$D,$A$4,'ON Data'!$E:$E,9),SUMIFS('ON Data'!AE:AE,'ON Data'!$E:$E,9))</f>
        <v>2296</v>
      </c>
      <c r="AA19" s="421">
        <f xml:space="preserve">
IF($A$4&lt;=12,SUMIFS('ON Data'!AF:AF,'ON Data'!$D:$D,$A$4,'ON Data'!$E:$E,9),SUMIFS('ON Data'!AF:AF,'ON Data'!$E:$E,9))</f>
        <v>0</v>
      </c>
      <c r="AB19" s="421">
        <f xml:space="preserve">
IF($A$4&lt;=12,SUMIFS('ON Data'!AG:AG,'ON Data'!$D:$D,$A$4,'ON Data'!$E:$E,9),SUMIFS('ON Data'!AG:AG,'ON Data'!$E:$E,9))</f>
        <v>0</v>
      </c>
      <c r="AC19" s="421">
        <f xml:space="preserve">
IF($A$4&lt;=12,SUMIFS('ON Data'!AH:AH,'ON Data'!$D:$D,$A$4,'ON Data'!$E:$E,9),SUMIFS('ON Data'!AH:AH,'ON Data'!$E:$E,9))</f>
        <v>2828</v>
      </c>
      <c r="AD19" s="421">
        <f xml:space="preserve">
IF($A$4&lt;=12,SUMIFS('ON Data'!AI:AI,'ON Data'!$D:$D,$A$4,'ON Data'!$E:$E,9),SUMIFS('ON Data'!AI:AI,'ON Data'!$E:$E,9))</f>
        <v>0</v>
      </c>
      <c r="AE19" s="421">
        <f xml:space="preserve">
IF($A$4&lt;=12,SUMIFS('ON Data'!AJ:AJ,'ON Data'!$D:$D,$A$4,'ON Data'!$E:$E,9),SUMIFS('ON Data'!AJ:AJ,'ON Data'!$E:$E,9))</f>
        <v>0</v>
      </c>
      <c r="AF19" s="421">
        <f xml:space="preserve">
IF($A$4&lt;=12,SUMIFS('ON Data'!AK:AK,'ON Data'!$D:$D,$A$4,'ON Data'!$E:$E,9),SUMIFS('ON Data'!AK:AK,'ON Data'!$E:$E,9))</f>
        <v>0</v>
      </c>
      <c r="AG19" s="771">
        <f xml:space="preserve">
IF($A$4&lt;=12,SUMIFS('ON Data'!AM:AM,'ON Data'!$D:$D,$A$4,'ON Data'!$E:$E,9),SUMIFS('ON Data'!AM:AM,'ON Data'!$E:$E,9))</f>
        <v>0</v>
      </c>
      <c r="AH19" s="778"/>
    </row>
    <row r="20" spans="1:34" ht="15" collapsed="1" thickBot="1" x14ac:dyDescent="0.35">
      <c r="A20" s="397" t="s">
        <v>94</v>
      </c>
      <c r="B20" s="422">
        <f xml:space="preserve">
IF($A$4&lt;=12,SUMIFS('ON Data'!F:F,'ON Data'!$D:$D,$A$4,'ON Data'!$E:$E,6),SUMIFS('ON Data'!F:F,'ON Data'!$E:$E,6))</f>
        <v>8239182</v>
      </c>
      <c r="C20" s="423">
        <f xml:space="preserve">
IF($A$4&lt;=12,SUMIFS('ON Data'!G:G,'ON Data'!$D:$D,$A$4,'ON Data'!$E:$E,6),SUMIFS('ON Data'!G:G,'ON Data'!$E:$E,6))</f>
        <v>0</v>
      </c>
      <c r="D20" s="424">
        <f xml:space="preserve">
IF($A$4&lt;=12,SUMIFS('ON Data'!H:H,'ON Data'!$D:$D,$A$4,'ON Data'!$E:$E,6),SUMIFS('ON Data'!H:H,'ON Data'!$E:$E,6))</f>
        <v>3991548</v>
      </c>
      <c r="E20" s="424">
        <f xml:space="preserve">
IF($A$4&lt;=12,SUMIFS('ON Data'!I:I,'ON Data'!$D:$D,$A$4,'ON Data'!$E:$E,6),SUMIFS('ON Data'!I:I,'ON Data'!$E:$E,6))</f>
        <v>0</v>
      </c>
      <c r="F20" s="424">
        <f xml:space="preserve">
IF($A$4&lt;=12,SUMIFS('ON Data'!K:K,'ON Data'!$D:$D,$A$4,'ON Data'!$E:$E,6),SUMIFS('ON Data'!K:K,'ON Data'!$E:$E,6))</f>
        <v>3634401</v>
      </c>
      <c r="G20" s="424">
        <f xml:space="preserve">
IF($A$4&lt;=12,SUMIFS('ON Data'!L:L,'ON Data'!$D:$D,$A$4,'ON Data'!$E:$E,6),SUMIFS('ON Data'!L:L,'ON Data'!$E:$E,6))</f>
        <v>0</v>
      </c>
      <c r="H20" s="424">
        <f xml:space="preserve">
IF($A$4&lt;=12,SUMIFS('ON Data'!M:M,'ON Data'!$D:$D,$A$4,'ON Data'!$E:$E,6),SUMIFS('ON Data'!M:M,'ON Data'!$E:$E,6))</f>
        <v>0</v>
      </c>
      <c r="I20" s="424">
        <f xml:space="preserve">
IF($A$4&lt;=12,SUMIFS('ON Data'!N:N,'ON Data'!$D:$D,$A$4,'ON Data'!$E:$E,6),SUMIFS('ON Data'!N:N,'ON Data'!$E:$E,6))</f>
        <v>0</v>
      </c>
      <c r="J20" s="424">
        <f xml:space="preserve">
IF($A$4&lt;=12,SUMIFS('ON Data'!O:O,'ON Data'!$D:$D,$A$4,'ON Data'!$E:$E,6),SUMIFS('ON Data'!O:O,'ON Data'!$E:$E,6))</f>
        <v>0</v>
      </c>
      <c r="K20" s="424">
        <f xml:space="preserve">
IF($A$4&lt;=12,SUMIFS('ON Data'!P:P,'ON Data'!$D:$D,$A$4,'ON Data'!$E:$E,6),SUMIFS('ON Data'!P:P,'ON Data'!$E:$E,6))</f>
        <v>0</v>
      </c>
      <c r="L20" s="424">
        <f xml:space="preserve">
IF($A$4&lt;=12,SUMIFS('ON Data'!Q:Q,'ON Data'!$D:$D,$A$4,'ON Data'!$E:$E,6),SUMIFS('ON Data'!Q:Q,'ON Data'!$E:$E,6))</f>
        <v>0</v>
      </c>
      <c r="M20" s="424">
        <f xml:space="preserve">
IF($A$4&lt;=12,SUMIFS('ON Data'!R:R,'ON Data'!$D:$D,$A$4,'ON Data'!$E:$E,6),SUMIFS('ON Data'!R:R,'ON Data'!$E:$E,6))</f>
        <v>0</v>
      </c>
      <c r="N20" s="424">
        <f xml:space="preserve">
IF($A$4&lt;=12,SUMIFS('ON Data'!S:S,'ON Data'!$D:$D,$A$4,'ON Data'!$E:$E,6),SUMIFS('ON Data'!S:S,'ON Data'!$E:$E,6))</f>
        <v>0</v>
      </c>
      <c r="O20" s="424">
        <f xml:space="preserve">
IF($A$4&lt;=12,SUMIFS('ON Data'!T:T,'ON Data'!$D:$D,$A$4,'ON Data'!$E:$E,6),SUMIFS('ON Data'!T:T,'ON Data'!$E:$E,6))</f>
        <v>0</v>
      </c>
      <c r="P20" s="424">
        <f xml:space="preserve">
IF($A$4&lt;=12,SUMIFS('ON Data'!U:U,'ON Data'!$D:$D,$A$4,'ON Data'!$E:$E,6),SUMIFS('ON Data'!U:U,'ON Data'!$E:$E,6))</f>
        <v>0</v>
      </c>
      <c r="Q20" s="424">
        <f xml:space="preserve">
IF($A$4&lt;=12,SUMIFS('ON Data'!V:V,'ON Data'!$D:$D,$A$4,'ON Data'!$E:$E,6),SUMIFS('ON Data'!V:V,'ON Data'!$E:$E,6))</f>
        <v>0</v>
      </c>
      <c r="R20" s="424">
        <f xml:space="preserve">
IF($A$4&lt;=12,SUMIFS('ON Data'!W:W,'ON Data'!$D:$D,$A$4,'ON Data'!$E:$E,6),SUMIFS('ON Data'!W:W,'ON Data'!$E:$E,6))</f>
        <v>0</v>
      </c>
      <c r="S20" s="424">
        <f xml:space="preserve">
IF($A$4&lt;=12,SUMIFS('ON Data'!X:X,'ON Data'!$D:$D,$A$4,'ON Data'!$E:$E,6),SUMIFS('ON Data'!X:X,'ON Data'!$E:$E,6))</f>
        <v>0</v>
      </c>
      <c r="T20" s="424">
        <f xml:space="preserve">
IF($A$4&lt;=12,SUMIFS('ON Data'!Y:Y,'ON Data'!$D:$D,$A$4,'ON Data'!$E:$E,6),SUMIFS('ON Data'!Y:Y,'ON Data'!$E:$E,6))</f>
        <v>0</v>
      </c>
      <c r="U20" s="424">
        <f xml:space="preserve">
IF($A$4&lt;=12,SUMIFS('ON Data'!Z:Z,'ON Data'!$D:$D,$A$4,'ON Data'!$E:$E,6),SUMIFS('ON Data'!Z:Z,'ON Data'!$E:$E,6))</f>
        <v>0</v>
      </c>
      <c r="V20" s="424">
        <f xml:space="preserve">
IF($A$4&lt;=12,SUMIFS('ON Data'!AA:AA,'ON Data'!$D:$D,$A$4,'ON Data'!$E:$E,6),SUMIFS('ON Data'!AA:AA,'ON Data'!$E:$E,6))</f>
        <v>0</v>
      </c>
      <c r="W20" s="424">
        <f xml:space="preserve">
IF($A$4&lt;=12,SUMIFS('ON Data'!AB:AB,'ON Data'!$D:$D,$A$4,'ON Data'!$E:$E,6),SUMIFS('ON Data'!AB:AB,'ON Data'!$E:$E,6))</f>
        <v>0</v>
      </c>
      <c r="X20" s="424">
        <f xml:space="preserve">
IF($A$4&lt;=12,SUMIFS('ON Data'!AC:AC,'ON Data'!$D:$D,$A$4,'ON Data'!$E:$E,6),SUMIFS('ON Data'!AC:AC,'ON Data'!$E:$E,6))</f>
        <v>154795</v>
      </c>
      <c r="Y20" s="424">
        <f xml:space="preserve">
IF($A$4&lt;=12,SUMIFS('ON Data'!AD:AD,'ON Data'!$D:$D,$A$4,'ON Data'!$E:$E,6),SUMIFS('ON Data'!AD:AD,'ON Data'!$E:$E,6))</f>
        <v>0</v>
      </c>
      <c r="Z20" s="424">
        <f xml:space="preserve">
IF($A$4&lt;=12,SUMIFS('ON Data'!AE:AE,'ON Data'!$D:$D,$A$4,'ON Data'!$E:$E,6),SUMIFS('ON Data'!AE:AE,'ON Data'!$E:$E,6))</f>
        <v>81622</v>
      </c>
      <c r="AA20" s="424">
        <f xml:space="preserve">
IF($A$4&lt;=12,SUMIFS('ON Data'!AF:AF,'ON Data'!$D:$D,$A$4,'ON Data'!$E:$E,6),SUMIFS('ON Data'!AF:AF,'ON Data'!$E:$E,6))</f>
        <v>0</v>
      </c>
      <c r="AB20" s="424">
        <f xml:space="preserve">
IF($A$4&lt;=12,SUMIFS('ON Data'!AG:AG,'ON Data'!$D:$D,$A$4,'ON Data'!$E:$E,6),SUMIFS('ON Data'!AG:AG,'ON Data'!$E:$E,6))</f>
        <v>0</v>
      </c>
      <c r="AC20" s="424">
        <f xml:space="preserve">
IF($A$4&lt;=12,SUMIFS('ON Data'!AH:AH,'ON Data'!$D:$D,$A$4,'ON Data'!$E:$E,6),SUMIFS('ON Data'!AH:AH,'ON Data'!$E:$E,6))</f>
        <v>185057</v>
      </c>
      <c r="AD20" s="424">
        <f xml:space="preserve">
IF($A$4&lt;=12,SUMIFS('ON Data'!AI:AI,'ON Data'!$D:$D,$A$4,'ON Data'!$E:$E,6),SUMIFS('ON Data'!AI:AI,'ON Data'!$E:$E,6))</f>
        <v>0</v>
      </c>
      <c r="AE20" s="424">
        <f xml:space="preserve">
IF($A$4&lt;=12,SUMIFS('ON Data'!AJ:AJ,'ON Data'!$D:$D,$A$4,'ON Data'!$E:$E,6),SUMIFS('ON Data'!AJ:AJ,'ON Data'!$E:$E,6))</f>
        <v>0</v>
      </c>
      <c r="AF20" s="424">
        <f xml:space="preserve">
IF($A$4&lt;=12,SUMIFS('ON Data'!AK:AK,'ON Data'!$D:$D,$A$4,'ON Data'!$E:$E,6),SUMIFS('ON Data'!AK:AK,'ON Data'!$E:$E,6))</f>
        <v>98514</v>
      </c>
      <c r="AG20" s="772">
        <f xml:space="preserve">
IF($A$4&lt;=12,SUMIFS('ON Data'!AM:AM,'ON Data'!$D:$D,$A$4,'ON Data'!$E:$E,6),SUMIFS('ON Data'!AM:AM,'ON Data'!$E:$E,6))</f>
        <v>93245</v>
      </c>
      <c r="AH20" s="778"/>
    </row>
    <row r="21" spans="1:34" ht="15" hidden="1" outlineLevel="1" thickBot="1" x14ac:dyDescent="0.35">
      <c r="A21" s="390" t="s">
        <v>132</v>
      </c>
      <c r="B21" s="410">
        <f xml:space="preserve">
IF($A$4&lt;=12,SUMIFS('ON Data'!F:F,'ON Data'!$D:$D,$A$4,'ON Data'!$E:$E,12),SUMIFS('ON Data'!F:F,'ON Data'!$E:$E,12))</f>
        <v>0</v>
      </c>
      <c r="C21" s="411">
        <f xml:space="preserve">
IF($A$4&lt;=12,SUMIFS('ON Data'!G:G,'ON Data'!$D:$D,$A$4,'ON Data'!$E:$E,12),SUMIFS('ON Data'!G:G,'ON Data'!$E:$E,12))</f>
        <v>0</v>
      </c>
      <c r="D21" s="412">
        <f xml:space="preserve">
IF($A$4&lt;=12,SUMIFS('ON Data'!H:H,'ON Data'!$D:$D,$A$4,'ON Data'!$E:$E,12),SUMIFS('ON Data'!H:H,'ON Data'!$E:$E,12))</f>
        <v>0</v>
      </c>
      <c r="E21" s="412">
        <f xml:space="preserve">
IF($A$4&lt;=12,SUMIFS('ON Data'!I:I,'ON Data'!$D:$D,$A$4,'ON Data'!$E:$E,12),SUMIFS('ON Data'!I:I,'ON Data'!$E:$E,12))</f>
        <v>0</v>
      </c>
      <c r="F21" s="412">
        <f xml:space="preserve">
IF($A$4&lt;=12,SUMIFS('ON Data'!K:K,'ON Data'!$D:$D,$A$4,'ON Data'!$E:$E,12),SUMIFS('ON Data'!K:K,'ON Data'!$E:$E,12))</f>
        <v>0</v>
      </c>
      <c r="G21" s="412">
        <f xml:space="preserve">
IF($A$4&lt;=12,SUMIFS('ON Data'!L:L,'ON Data'!$D:$D,$A$4,'ON Data'!$E:$E,12),SUMIFS('ON Data'!L:L,'ON Data'!$E:$E,12))</f>
        <v>0</v>
      </c>
      <c r="H21" s="412">
        <f xml:space="preserve">
IF($A$4&lt;=12,SUMIFS('ON Data'!M:M,'ON Data'!$D:$D,$A$4,'ON Data'!$E:$E,12),SUMIFS('ON Data'!M:M,'ON Data'!$E:$E,12))</f>
        <v>0</v>
      </c>
      <c r="I21" s="412">
        <f xml:space="preserve">
IF($A$4&lt;=12,SUMIFS('ON Data'!N:N,'ON Data'!$D:$D,$A$4,'ON Data'!$E:$E,12),SUMIFS('ON Data'!N:N,'ON Data'!$E:$E,12))</f>
        <v>0</v>
      </c>
      <c r="J21" s="412">
        <f xml:space="preserve">
IF($A$4&lt;=12,SUMIFS('ON Data'!O:O,'ON Data'!$D:$D,$A$4,'ON Data'!$E:$E,12),SUMIFS('ON Data'!O:O,'ON Data'!$E:$E,12))</f>
        <v>0</v>
      </c>
      <c r="K21" s="412">
        <f xml:space="preserve">
IF($A$4&lt;=12,SUMIFS('ON Data'!P:P,'ON Data'!$D:$D,$A$4,'ON Data'!$E:$E,12),SUMIFS('ON Data'!P:P,'ON Data'!$E:$E,12))</f>
        <v>0</v>
      </c>
      <c r="L21" s="412">
        <f xml:space="preserve">
IF($A$4&lt;=12,SUMIFS('ON Data'!Q:Q,'ON Data'!$D:$D,$A$4,'ON Data'!$E:$E,12),SUMIFS('ON Data'!Q:Q,'ON Data'!$E:$E,12))</f>
        <v>0</v>
      </c>
      <c r="M21" s="412">
        <f xml:space="preserve">
IF($A$4&lt;=12,SUMIFS('ON Data'!R:R,'ON Data'!$D:$D,$A$4,'ON Data'!$E:$E,12),SUMIFS('ON Data'!R:R,'ON Data'!$E:$E,12))</f>
        <v>0</v>
      </c>
      <c r="N21" s="412">
        <f xml:space="preserve">
IF($A$4&lt;=12,SUMIFS('ON Data'!S:S,'ON Data'!$D:$D,$A$4,'ON Data'!$E:$E,12),SUMIFS('ON Data'!S:S,'ON Data'!$E:$E,12))</f>
        <v>0</v>
      </c>
      <c r="O21" s="412">
        <f xml:space="preserve">
IF($A$4&lt;=12,SUMIFS('ON Data'!T:T,'ON Data'!$D:$D,$A$4,'ON Data'!$E:$E,12),SUMIFS('ON Data'!T:T,'ON Data'!$E:$E,12))</f>
        <v>0</v>
      </c>
      <c r="P21" s="412">
        <f xml:space="preserve">
IF($A$4&lt;=12,SUMIFS('ON Data'!U:U,'ON Data'!$D:$D,$A$4,'ON Data'!$E:$E,12),SUMIFS('ON Data'!U:U,'ON Data'!$E:$E,12))</f>
        <v>0</v>
      </c>
      <c r="Q21" s="412">
        <f xml:space="preserve">
IF($A$4&lt;=12,SUMIFS('ON Data'!V:V,'ON Data'!$D:$D,$A$4,'ON Data'!$E:$E,12),SUMIFS('ON Data'!V:V,'ON Data'!$E:$E,12))</f>
        <v>0</v>
      </c>
      <c r="R21" s="412">
        <f xml:space="preserve">
IF($A$4&lt;=12,SUMIFS('ON Data'!W:W,'ON Data'!$D:$D,$A$4,'ON Data'!$E:$E,12),SUMIFS('ON Data'!W:W,'ON Data'!$E:$E,12))</f>
        <v>0</v>
      </c>
      <c r="S21" s="412">
        <f xml:space="preserve">
IF($A$4&lt;=12,SUMIFS('ON Data'!X:X,'ON Data'!$D:$D,$A$4,'ON Data'!$E:$E,12),SUMIFS('ON Data'!X:X,'ON Data'!$E:$E,12))</f>
        <v>0</v>
      </c>
      <c r="T21" s="412">
        <f xml:space="preserve">
IF($A$4&lt;=12,SUMIFS('ON Data'!Y:Y,'ON Data'!$D:$D,$A$4,'ON Data'!$E:$E,12),SUMIFS('ON Data'!Y:Y,'ON Data'!$E:$E,12))</f>
        <v>0</v>
      </c>
      <c r="U21" s="412">
        <f xml:space="preserve">
IF($A$4&lt;=12,SUMIFS('ON Data'!Z:Z,'ON Data'!$D:$D,$A$4,'ON Data'!$E:$E,12),SUMIFS('ON Data'!Z:Z,'ON Data'!$E:$E,12))</f>
        <v>0</v>
      </c>
      <c r="V21" s="412">
        <f xml:space="preserve">
IF($A$4&lt;=12,SUMIFS('ON Data'!AA:AA,'ON Data'!$D:$D,$A$4,'ON Data'!$E:$E,12),SUMIFS('ON Data'!AA:AA,'ON Data'!$E:$E,12))</f>
        <v>0</v>
      </c>
      <c r="W21" s="412">
        <f xml:space="preserve">
IF($A$4&lt;=12,SUMIFS('ON Data'!AB:AB,'ON Data'!$D:$D,$A$4,'ON Data'!$E:$E,12),SUMIFS('ON Data'!AB:AB,'ON Data'!$E:$E,12))</f>
        <v>0</v>
      </c>
      <c r="X21" s="412">
        <f xml:space="preserve">
IF($A$4&lt;=12,SUMIFS('ON Data'!AC:AC,'ON Data'!$D:$D,$A$4,'ON Data'!$E:$E,12),SUMIFS('ON Data'!AC:AC,'ON Data'!$E:$E,12))</f>
        <v>0</v>
      </c>
      <c r="Y21" s="412">
        <f xml:space="preserve">
IF($A$4&lt;=12,SUMIFS('ON Data'!AD:AD,'ON Data'!$D:$D,$A$4,'ON Data'!$E:$E,12),SUMIFS('ON Data'!AD:AD,'ON Data'!$E:$E,12))</f>
        <v>0</v>
      </c>
      <c r="Z21" s="412">
        <f xml:space="preserve">
IF($A$4&lt;=12,SUMIFS('ON Data'!AE:AE,'ON Data'!$D:$D,$A$4,'ON Data'!$E:$E,12),SUMIFS('ON Data'!AE:AE,'ON Data'!$E:$E,12))</f>
        <v>0</v>
      </c>
      <c r="AA21" s="412">
        <f xml:space="preserve">
IF($A$4&lt;=12,SUMIFS('ON Data'!AF:AF,'ON Data'!$D:$D,$A$4,'ON Data'!$E:$E,12),SUMIFS('ON Data'!AF:AF,'ON Data'!$E:$E,12))</f>
        <v>0</v>
      </c>
      <c r="AB21" s="412">
        <f xml:space="preserve">
IF($A$4&lt;=12,SUMIFS('ON Data'!AG:AG,'ON Data'!$D:$D,$A$4,'ON Data'!$E:$E,12),SUMIFS('ON Data'!AG:AG,'ON Data'!$E:$E,12))</f>
        <v>0</v>
      </c>
      <c r="AC21" s="412">
        <f xml:space="preserve">
IF($A$4&lt;=12,SUMIFS('ON Data'!AH:AH,'ON Data'!$D:$D,$A$4,'ON Data'!$E:$E,12),SUMIFS('ON Data'!AH:AH,'ON Data'!$E:$E,12))</f>
        <v>0</v>
      </c>
      <c r="AD21" s="412">
        <f xml:space="preserve">
IF($A$4&lt;=12,SUMIFS('ON Data'!AI:AI,'ON Data'!$D:$D,$A$4,'ON Data'!$E:$E,12),SUMIFS('ON Data'!AI:AI,'ON Data'!$E:$E,12))</f>
        <v>0</v>
      </c>
      <c r="AE21" s="412">
        <f xml:space="preserve">
IF($A$4&lt;=12,SUMIFS('ON Data'!AJ:AJ,'ON Data'!$D:$D,$A$4,'ON Data'!$E:$E,12),SUMIFS('ON Data'!AJ:AJ,'ON Data'!$E:$E,12))</f>
        <v>0</v>
      </c>
      <c r="AF21" s="412">
        <f xml:space="preserve">
IF($A$4&lt;=12,SUMIFS('ON Data'!AK:AK,'ON Data'!$D:$D,$A$4,'ON Data'!$E:$E,12),SUMIFS('ON Data'!AK:AK,'ON Data'!$E:$E,12))</f>
        <v>0</v>
      </c>
      <c r="AG21" s="768">
        <f xml:space="preserve">
IF($A$4&lt;=12,SUMIFS('ON Data'!AM:AM,'ON Data'!$D:$D,$A$4,'ON Data'!$E:$E,12),SUMIFS('ON Data'!AM:AM,'ON Data'!$E:$E,12))</f>
        <v>0</v>
      </c>
      <c r="AH21" s="778"/>
    </row>
    <row r="22" spans="1:34" ht="15" hidden="1" outlineLevel="1" thickBot="1" x14ac:dyDescent="0.35">
      <c r="A22" s="390" t="s">
        <v>96</v>
      </c>
      <c r="B22" s="471" t="str">
        <f xml:space="preserve">
IF(OR(B21="",B21=0),"",B20/B21)</f>
        <v/>
      </c>
      <c r="C22" s="472" t="str">
        <f t="shared" ref="C22:AG22" si="2" xml:space="preserve">
IF(OR(C21="",C21=0),"",C20/C21)</f>
        <v/>
      </c>
      <c r="D22" s="473" t="str">
        <f t="shared" si="2"/>
        <v/>
      </c>
      <c r="E22" s="473" t="str">
        <f t="shared" si="2"/>
        <v/>
      </c>
      <c r="F22" s="473" t="str">
        <f t="shared" si="2"/>
        <v/>
      </c>
      <c r="G22" s="473" t="str">
        <f t="shared" si="2"/>
        <v/>
      </c>
      <c r="H22" s="473" t="str">
        <f t="shared" si="2"/>
        <v/>
      </c>
      <c r="I22" s="473" t="str">
        <f t="shared" si="2"/>
        <v/>
      </c>
      <c r="J22" s="473" t="str">
        <f t="shared" si="2"/>
        <v/>
      </c>
      <c r="K22" s="473" t="str">
        <f t="shared" si="2"/>
        <v/>
      </c>
      <c r="L22" s="473" t="str">
        <f t="shared" si="2"/>
        <v/>
      </c>
      <c r="M22" s="473" t="str">
        <f t="shared" si="2"/>
        <v/>
      </c>
      <c r="N22" s="473" t="str">
        <f t="shared" si="2"/>
        <v/>
      </c>
      <c r="O22" s="473" t="str">
        <f t="shared" si="2"/>
        <v/>
      </c>
      <c r="P22" s="473" t="str">
        <f t="shared" si="2"/>
        <v/>
      </c>
      <c r="Q22" s="473" t="str">
        <f t="shared" si="2"/>
        <v/>
      </c>
      <c r="R22" s="473" t="str">
        <f t="shared" si="2"/>
        <v/>
      </c>
      <c r="S22" s="473" t="str">
        <f t="shared" si="2"/>
        <v/>
      </c>
      <c r="T22" s="473" t="str">
        <f t="shared" si="2"/>
        <v/>
      </c>
      <c r="U22" s="473" t="str">
        <f t="shared" si="2"/>
        <v/>
      </c>
      <c r="V22" s="473" t="str">
        <f t="shared" si="2"/>
        <v/>
      </c>
      <c r="W22" s="473" t="str">
        <f t="shared" si="2"/>
        <v/>
      </c>
      <c r="X22" s="473" t="str">
        <f t="shared" si="2"/>
        <v/>
      </c>
      <c r="Y22" s="473" t="str">
        <f t="shared" si="2"/>
        <v/>
      </c>
      <c r="Z22" s="473" t="str">
        <f t="shared" si="2"/>
        <v/>
      </c>
      <c r="AA22" s="473" t="str">
        <f t="shared" si="2"/>
        <v/>
      </c>
      <c r="AB22" s="473" t="str">
        <f t="shared" si="2"/>
        <v/>
      </c>
      <c r="AC22" s="473" t="str">
        <f t="shared" si="2"/>
        <v/>
      </c>
      <c r="AD22" s="473" t="str">
        <f t="shared" si="2"/>
        <v/>
      </c>
      <c r="AE22" s="473" t="str">
        <f t="shared" si="2"/>
        <v/>
      </c>
      <c r="AF22" s="473" t="str">
        <f t="shared" si="2"/>
        <v/>
      </c>
      <c r="AG22" s="773" t="str">
        <f t="shared" si="2"/>
        <v/>
      </c>
      <c r="AH22" s="778"/>
    </row>
    <row r="23" spans="1:34" ht="15" hidden="1" outlineLevel="1" thickBot="1" x14ac:dyDescent="0.35">
      <c r="A23" s="398" t="s">
        <v>69</v>
      </c>
      <c r="B23" s="413">
        <f xml:space="preserve">
IF(B21="","",B20-B21)</f>
        <v>8239182</v>
      </c>
      <c r="C23" s="414">
        <f t="shared" ref="C23:AG23" si="3" xml:space="preserve">
IF(C21="","",C20-C21)</f>
        <v>0</v>
      </c>
      <c r="D23" s="415">
        <f t="shared" si="3"/>
        <v>3991548</v>
      </c>
      <c r="E23" s="415">
        <f t="shared" si="3"/>
        <v>0</v>
      </c>
      <c r="F23" s="415">
        <f t="shared" si="3"/>
        <v>3634401</v>
      </c>
      <c r="G23" s="415">
        <f t="shared" si="3"/>
        <v>0</v>
      </c>
      <c r="H23" s="415">
        <f t="shared" si="3"/>
        <v>0</v>
      </c>
      <c r="I23" s="415">
        <f t="shared" si="3"/>
        <v>0</v>
      </c>
      <c r="J23" s="415">
        <f t="shared" si="3"/>
        <v>0</v>
      </c>
      <c r="K23" s="415">
        <f t="shared" si="3"/>
        <v>0</v>
      </c>
      <c r="L23" s="415">
        <f t="shared" si="3"/>
        <v>0</v>
      </c>
      <c r="M23" s="415">
        <f t="shared" si="3"/>
        <v>0</v>
      </c>
      <c r="N23" s="415">
        <f t="shared" si="3"/>
        <v>0</v>
      </c>
      <c r="O23" s="415">
        <f t="shared" si="3"/>
        <v>0</v>
      </c>
      <c r="P23" s="415">
        <f t="shared" si="3"/>
        <v>0</v>
      </c>
      <c r="Q23" s="415">
        <f t="shared" si="3"/>
        <v>0</v>
      </c>
      <c r="R23" s="415">
        <f t="shared" si="3"/>
        <v>0</v>
      </c>
      <c r="S23" s="415">
        <f t="shared" si="3"/>
        <v>0</v>
      </c>
      <c r="T23" s="415">
        <f t="shared" si="3"/>
        <v>0</v>
      </c>
      <c r="U23" s="415">
        <f t="shared" si="3"/>
        <v>0</v>
      </c>
      <c r="V23" s="415">
        <f t="shared" si="3"/>
        <v>0</v>
      </c>
      <c r="W23" s="415">
        <f t="shared" si="3"/>
        <v>0</v>
      </c>
      <c r="X23" s="415">
        <f t="shared" si="3"/>
        <v>154795</v>
      </c>
      <c r="Y23" s="415">
        <f t="shared" si="3"/>
        <v>0</v>
      </c>
      <c r="Z23" s="415">
        <f t="shared" si="3"/>
        <v>81622</v>
      </c>
      <c r="AA23" s="415">
        <f t="shared" si="3"/>
        <v>0</v>
      </c>
      <c r="AB23" s="415">
        <f t="shared" si="3"/>
        <v>0</v>
      </c>
      <c r="AC23" s="415">
        <f t="shared" si="3"/>
        <v>185057</v>
      </c>
      <c r="AD23" s="415">
        <f t="shared" si="3"/>
        <v>0</v>
      </c>
      <c r="AE23" s="415">
        <f t="shared" si="3"/>
        <v>0</v>
      </c>
      <c r="AF23" s="415">
        <f t="shared" si="3"/>
        <v>98514</v>
      </c>
      <c r="AG23" s="769">
        <f t="shared" si="3"/>
        <v>93245</v>
      </c>
      <c r="AH23" s="778"/>
    </row>
    <row r="24" spans="1:34" x14ac:dyDescent="0.3">
      <c r="A24" s="392" t="s">
        <v>246</v>
      </c>
      <c r="B24" s="439" t="s">
        <v>3</v>
      </c>
      <c r="C24" s="779" t="s">
        <v>257</v>
      </c>
      <c r="D24" s="753"/>
      <c r="E24" s="754"/>
      <c r="F24" s="754" t="s">
        <v>258</v>
      </c>
      <c r="G24" s="754"/>
      <c r="H24" s="754"/>
      <c r="I24" s="754"/>
      <c r="J24" s="754"/>
      <c r="K24" s="754"/>
      <c r="L24" s="754"/>
      <c r="M24" s="754"/>
      <c r="N24" s="754"/>
      <c r="O24" s="754"/>
      <c r="P24" s="754"/>
      <c r="Q24" s="754"/>
      <c r="R24" s="754"/>
      <c r="S24" s="754"/>
      <c r="T24" s="754"/>
      <c r="U24" s="754"/>
      <c r="V24" s="754"/>
      <c r="W24" s="754"/>
      <c r="X24" s="754"/>
      <c r="Y24" s="754"/>
      <c r="Z24" s="754"/>
      <c r="AA24" s="754"/>
      <c r="AB24" s="754"/>
      <c r="AC24" s="754"/>
      <c r="AD24" s="754"/>
      <c r="AE24" s="754"/>
      <c r="AF24" s="754"/>
      <c r="AG24" s="774" t="s">
        <v>259</v>
      </c>
      <c r="AH24" s="778"/>
    </row>
    <row r="25" spans="1:34" x14ac:dyDescent="0.3">
      <c r="A25" s="393" t="s">
        <v>94</v>
      </c>
      <c r="B25" s="410">
        <f xml:space="preserve">
SUM(C25:AG25)</f>
        <v>21360</v>
      </c>
      <c r="C25" s="780">
        <f xml:space="preserve">
IF($A$4&lt;=12,SUMIFS('ON Data'!H:H,'ON Data'!$D:$D,$A$4,'ON Data'!$E:$E,10),SUMIFS('ON Data'!H:H,'ON Data'!$E:$E,10))</f>
        <v>2400</v>
      </c>
      <c r="D25" s="755"/>
      <c r="E25" s="756"/>
      <c r="F25" s="756">
        <f xml:space="preserve">
IF($A$4&lt;=12,SUMIFS('ON Data'!K:K,'ON Data'!$D:$D,$A$4,'ON Data'!$E:$E,10),SUMIFS('ON Data'!K:K,'ON Data'!$E:$E,10))</f>
        <v>18960</v>
      </c>
      <c r="G25" s="756"/>
      <c r="H25" s="756"/>
      <c r="I25" s="756"/>
      <c r="J25" s="756"/>
      <c r="K25" s="756"/>
      <c r="L25" s="756"/>
      <c r="M25" s="756"/>
      <c r="N25" s="756"/>
      <c r="O25" s="756"/>
      <c r="P25" s="756"/>
      <c r="Q25" s="756"/>
      <c r="R25" s="756"/>
      <c r="S25" s="756"/>
      <c r="T25" s="756"/>
      <c r="U25" s="756"/>
      <c r="V25" s="756"/>
      <c r="W25" s="756"/>
      <c r="X25" s="756"/>
      <c r="Y25" s="756"/>
      <c r="Z25" s="756"/>
      <c r="AA25" s="756"/>
      <c r="AB25" s="756"/>
      <c r="AC25" s="756"/>
      <c r="AD25" s="756"/>
      <c r="AE25" s="756"/>
      <c r="AF25" s="756"/>
      <c r="AG25" s="775">
        <f xml:space="preserve">
IF($A$4&lt;=12,SUMIFS('ON Data'!AM:AM,'ON Data'!$D:$D,$A$4,'ON Data'!$E:$E,10),SUMIFS('ON Data'!AM:AM,'ON Data'!$E:$E,10))</f>
        <v>0</v>
      </c>
      <c r="AH25" s="778"/>
    </row>
    <row r="26" spans="1:34" x14ac:dyDescent="0.3">
      <c r="A26" s="399" t="s">
        <v>256</v>
      </c>
      <c r="B26" s="419">
        <f xml:space="preserve">
SUM(C26:AG26)</f>
        <v>16136</v>
      </c>
      <c r="C26" s="780">
        <f xml:space="preserve">
IF($A$4&lt;=12,SUMIFS('ON Data'!H:H,'ON Data'!$D:$D,$A$4,'ON Data'!$E:$E,11),SUMIFS('ON Data'!H:H,'ON Data'!$E:$E,11))</f>
        <v>11802.666666666666</v>
      </c>
      <c r="D26" s="755"/>
      <c r="E26" s="756"/>
      <c r="F26" s="757">
        <f xml:space="preserve">
IF($A$4&lt;=12,SUMIFS('ON Data'!K:K,'ON Data'!$D:$D,$A$4,'ON Data'!$E:$E,11),SUMIFS('ON Data'!K:K,'ON Data'!$E:$E,11))</f>
        <v>4333.333333333333</v>
      </c>
      <c r="G26" s="757"/>
      <c r="H26" s="757"/>
      <c r="I26" s="757"/>
      <c r="J26" s="757"/>
      <c r="K26" s="757"/>
      <c r="L26" s="757"/>
      <c r="M26" s="757"/>
      <c r="N26" s="757"/>
      <c r="O26" s="757"/>
      <c r="P26" s="757"/>
      <c r="Q26" s="757"/>
      <c r="R26" s="757"/>
      <c r="S26" s="757"/>
      <c r="T26" s="757"/>
      <c r="U26" s="757"/>
      <c r="V26" s="757"/>
      <c r="W26" s="757"/>
      <c r="X26" s="757"/>
      <c r="Y26" s="757"/>
      <c r="Z26" s="757"/>
      <c r="AA26" s="757"/>
      <c r="AB26" s="757"/>
      <c r="AC26" s="757"/>
      <c r="AD26" s="757"/>
      <c r="AE26" s="757"/>
      <c r="AF26" s="757"/>
      <c r="AG26" s="775">
        <f xml:space="preserve">
IF($A$4&lt;=12,SUMIFS('ON Data'!AM:AM,'ON Data'!$D:$D,$A$4,'ON Data'!$E:$E,11),SUMIFS('ON Data'!AM:AM,'ON Data'!$E:$E,11))</f>
        <v>0</v>
      </c>
      <c r="AH26" s="778"/>
    </row>
    <row r="27" spans="1:34" x14ac:dyDescent="0.3">
      <c r="A27" s="399" t="s">
        <v>96</v>
      </c>
      <c r="B27" s="440">
        <f xml:space="preserve">
IF(B26=0,0,B25/B26)</f>
        <v>1.323748140803173</v>
      </c>
      <c r="C27" s="781">
        <f xml:space="preserve">
IF(C26=0,0,C25/C26)</f>
        <v>0.20334387708992319</v>
      </c>
      <c r="D27" s="758"/>
      <c r="E27" s="759"/>
      <c r="F27" s="759">
        <f xml:space="preserve">
IF(F26=0,0,F25/F26)</f>
        <v>4.3753846153846156</v>
      </c>
      <c r="G27" s="759"/>
      <c r="H27" s="759"/>
      <c r="I27" s="759"/>
      <c r="J27" s="759"/>
      <c r="K27" s="759"/>
      <c r="L27" s="759"/>
      <c r="M27" s="759"/>
      <c r="N27" s="759"/>
      <c r="O27" s="759"/>
      <c r="P27" s="759"/>
      <c r="Q27" s="759"/>
      <c r="R27" s="759"/>
      <c r="S27" s="759"/>
      <c r="T27" s="759"/>
      <c r="U27" s="759"/>
      <c r="V27" s="759"/>
      <c r="W27" s="759"/>
      <c r="X27" s="759"/>
      <c r="Y27" s="759"/>
      <c r="Z27" s="759"/>
      <c r="AA27" s="759"/>
      <c r="AB27" s="759"/>
      <c r="AC27" s="759"/>
      <c r="AD27" s="759"/>
      <c r="AE27" s="759"/>
      <c r="AF27" s="759"/>
      <c r="AG27" s="776">
        <f xml:space="preserve">
IF(AG26=0,0,AG25/AG26)</f>
        <v>0</v>
      </c>
      <c r="AH27" s="778"/>
    </row>
    <row r="28" spans="1:34" ht="15" thickBot="1" x14ac:dyDescent="0.35">
      <c r="A28" s="399" t="s">
        <v>255</v>
      </c>
      <c r="B28" s="419">
        <f xml:space="preserve">
SUM(C28:AG28)</f>
        <v>-5224.0000000000018</v>
      </c>
      <c r="C28" s="782">
        <f xml:space="preserve">
C26-C25</f>
        <v>9402.6666666666661</v>
      </c>
      <c r="D28" s="760"/>
      <c r="E28" s="761"/>
      <c r="F28" s="761">
        <f xml:space="preserve">
F26-F25</f>
        <v>-14626.666666666668</v>
      </c>
      <c r="G28" s="761"/>
      <c r="H28" s="761"/>
      <c r="I28" s="761"/>
      <c r="J28" s="761"/>
      <c r="K28" s="761"/>
      <c r="L28" s="761"/>
      <c r="M28" s="761"/>
      <c r="N28" s="761"/>
      <c r="O28" s="761"/>
      <c r="P28" s="761"/>
      <c r="Q28" s="761"/>
      <c r="R28" s="761"/>
      <c r="S28" s="761"/>
      <c r="T28" s="761"/>
      <c r="U28" s="761"/>
      <c r="V28" s="761"/>
      <c r="W28" s="761"/>
      <c r="X28" s="761"/>
      <c r="Y28" s="761"/>
      <c r="Z28" s="761"/>
      <c r="AA28" s="761"/>
      <c r="AB28" s="761"/>
      <c r="AC28" s="761"/>
      <c r="AD28" s="761"/>
      <c r="AE28" s="761"/>
      <c r="AF28" s="761"/>
      <c r="AG28" s="777">
        <f xml:space="preserve">
AG26-AG25</f>
        <v>0</v>
      </c>
      <c r="AH28" s="778"/>
    </row>
    <row r="29" spans="1:34" x14ac:dyDescent="0.3">
      <c r="A29" s="400"/>
      <c r="B29" s="400"/>
      <c r="C29" s="401"/>
      <c r="D29" s="400"/>
      <c r="E29" s="400"/>
      <c r="F29" s="401"/>
      <c r="G29" s="401"/>
      <c r="H29" s="401"/>
      <c r="I29" s="401"/>
      <c r="J29" s="401"/>
      <c r="K29" s="401"/>
      <c r="L29" s="401"/>
      <c r="M29" s="401"/>
      <c r="N29" s="401"/>
      <c r="O29" s="401"/>
      <c r="P29" s="401"/>
      <c r="Q29" s="401"/>
      <c r="R29" s="401"/>
      <c r="S29" s="401"/>
      <c r="T29" s="401"/>
      <c r="U29" s="401"/>
      <c r="V29" s="401"/>
      <c r="W29" s="401"/>
      <c r="X29" s="401"/>
      <c r="Y29" s="401"/>
      <c r="Z29" s="401"/>
      <c r="AA29" s="401"/>
      <c r="AB29" s="401"/>
      <c r="AC29" s="401"/>
      <c r="AD29" s="401"/>
      <c r="AE29" s="400"/>
      <c r="AF29" s="400"/>
      <c r="AG29" s="400"/>
    </row>
    <row r="30" spans="1:34" x14ac:dyDescent="0.3">
      <c r="A30" s="226" t="s">
        <v>203</v>
      </c>
      <c r="B30" s="254"/>
      <c r="C30" s="254"/>
      <c r="D30" s="254"/>
      <c r="E30" s="254"/>
      <c r="F30" s="254"/>
      <c r="G30" s="254"/>
      <c r="H30" s="254"/>
      <c r="I30" s="254"/>
      <c r="J30" s="254"/>
      <c r="K30" s="254"/>
      <c r="L30" s="254"/>
      <c r="M30" s="254"/>
      <c r="N30" s="254"/>
      <c r="O30" s="254"/>
      <c r="P30" s="254"/>
      <c r="Q30" s="25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77"/>
    </row>
    <row r="31" spans="1:34" x14ac:dyDescent="0.3">
      <c r="A31" s="227" t="s">
        <v>253</v>
      </c>
      <c r="B31" s="254"/>
      <c r="C31" s="254"/>
      <c r="D31" s="254"/>
      <c r="E31" s="254"/>
      <c r="F31" s="254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77"/>
    </row>
    <row r="32" spans="1:34" ht="14.4" customHeight="1" x14ac:dyDescent="0.3">
      <c r="A32" s="436" t="s">
        <v>250</v>
      </c>
      <c r="B32" s="437"/>
      <c r="C32" s="437"/>
      <c r="D32" s="437"/>
      <c r="E32" s="437"/>
      <c r="F32" s="437"/>
      <c r="G32" s="437"/>
      <c r="H32" s="437"/>
      <c r="I32" s="437"/>
      <c r="J32" s="437"/>
      <c r="K32" s="437"/>
      <c r="L32" s="437"/>
      <c r="M32" s="437"/>
      <c r="N32" s="437"/>
      <c r="O32" s="437"/>
      <c r="P32" s="437"/>
      <c r="Q32" s="437"/>
      <c r="R32" s="437"/>
      <c r="S32" s="437"/>
      <c r="T32" s="437"/>
      <c r="U32" s="437"/>
      <c r="V32" s="437"/>
      <c r="W32" s="437"/>
      <c r="X32" s="437"/>
      <c r="Y32" s="437"/>
      <c r="Z32" s="437"/>
      <c r="AA32" s="437"/>
      <c r="AB32" s="437"/>
      <c r="AC32" s="437"/>
      <c r="AD32" s="437"/>
      <c r="AE32" s="437"/>
      <c r="AF32" s="437"/>
    </row>
    <row r="33" spans="1:1" x14ac:dyDescent="0.3">
      <c r="A33" s="438" t="s">
        <v>260</v>
      </c>
    </row>
    <row r="34" spans="1:1" x14ac:dyDescent="0.3">
      <c r="A34" s="438" t="s">
        <v>261</v>
      </c>
    </row>
    <row r="35" spans="1:1" x14ac:dyDescent="0.3">
      <c r="A35" s="438" t="s">
        <v>262</v>
      </c>
    </row>
    <row r="36" spans="1:1" x14ac:dyDescent="0.3">
      <c r="A36" s="438" t="s">
        <v>263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22" priority="4" operator="greaterThan">
      <formula>1</formula>
    </cfRule>
  </conditionalFormatting>
  <conditionalFormatting sqref="C28 AG28 F28">
    <cfRule type="cellIs" dxfId="21" priority="3" operator="lessThan">
      <formula>0</formula>
    </cfRule>
  </conditionalFormatting>
  <conditionalFormatting sqref="B22:AG22">
    <cfRule type="cellIs" dxfId="20" priority="2" operator="greaterThan">
      <formula>1</formula>
    </cfRule>
  </conditionalFormatting>
  <conditionalFormatting sqref="B23:AG23">
    <cfRule type="cellIs" dxfId="19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1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77" bestFit="1" customWidth="1"/>
    <col min="2" max="2" width="11.6640625" style="277" hidden="1" customWidth="1"/>
    <col min="3" max="4" width="11" style="279" customWidth="1"/>
    <col min="5" max="5" width="11" style="280" customWidth="1"/>
    <col min="6" max="16384" width="8.88671875" style="277"/>
  </cols>
  <sheetData>
    <row r="1" spans="1:5" ht="18.600000000000001" thickBot="1" x14ac:dyDescent="0.4">
      <c r="A1" s="478" t="s">
        <v>152</v>
      </c>
      <c r="B1" s="478"/>
      <c r="C1" s="479"/>
      <c r="D1" s="479"/>
      <c r="E1" s="479"/>
    </row>
    <row r="2" spans="1:5" ht="14.4" customHeight="1" thickBot="1" x14ac:dyDescent="0.35">
      <c r="A2" s="383" t="s">
        <v>334</v>
      </c>
      <c r="B2" s="278"/>
    </row>
    <row r="3" spans="1:5" ht="14.4" customHeight="1" thickBot="1" x14ac:dyDescent="0.35">
      <c r="A3" s="281"/>
      <c r="C3" s="282" t="s">
        <v>132</v>
      </c>
      <c r="D3" s="283" t="s">
        <v>94</v>
      </c>
      <c r="E3" s="284" t="s">
        <v>96</v>
      </c>
    </row>
    <row r="4" spans="1:5" ht="14.4" customHeight="1" thickBot="1" x14ac:dyDescent="0.35">
      <c r="A4" s="285" t="str">
        <f>HYPERLINK("#HI!A1","NÁKLADY CELKEM (v tisících Kč)")</f>
        <v>NÁKLADY CELKEM (v tisících Kč)</v>
      </c>
      <c r="B4" s="286"/>
      <c r="C4" s="287">
        <f ca="1">IF(ISERROR(VLOOKUP("Náklady celkem",INDIRECT("HI!$A:$G"),6,0)),0,VLOOKUP("Náklady celkem",INDIRECT("HI!$A:$G"),6,0))</f>
        <v>23755.53113172458</v>
      </c>
      <c r="D4" s="287">
        <f ca="1">IF(ISERROR(VLOOKUP("Náklady celkem",INDIRECT("HI!$A:$G"),5,0)),0,VLOOKUP("Náklady celkem",INDIRECT("HI!$A:$G"),5,0))</f>
        <v>22869.171510000029</v>
      </c>
      <c r="E4" s="288">
        <f ca="1">IF(C4=0,0,D4/C4)</f>
        <v>0.96268828439113063</v>
      </c>
    </row>
    <row r="5" spans="1:5" ht="14.4" customHeight="1" x14ac:dyDescent="0.3">
      <c r="A5" s="289" t="s">
        <v>195</v>
      </c>
      <c r="B5" s="290"/>
      <c r="C5" s="291"/>
      <c r="D5" s="291"/>
      <c r="E5" s="292"/>
    </row>
    <row r="6" spans="1:5" ht="14.4" customHeight="1" x14ac:dyDescent="0.3">
      <c r="A6" s="293" t="s">
        <v>200</v>
      </c>
      <c r="B6" s="294"/>
      <c r="C6" s="295"/>
      <c r="D6" s="295"/>
      <c r="E6" s="292"/>
    </row>
    <row r="7" spans="1:5" ht="14.4" customHeight="1" x14ac:dyDescent="0.3">
      <c r="A7" s="29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294" t="s">
        <v>137</v>
      </c>
      <c r="C7" s="295">
        <f>IF(ISERROR(HI!F5),"",HI!F5)</f>
        <v>1264.0903462707779</v>
      </c>
      <c r="D7" s="295">
        <f>IF(ISERROR(HI!E5),"",HI!E5)</f>
        <v>1327.5224400000011</v>
      </c>
      <c r="E7" s="292">
        <f t="shared" ref="E7:E15" si="0">IF(C7=0,0,D7/C7)</f>
        <v>1.0501800317646248</v>
      </c>
    </row>
    <row r="8" spans="1:5" ht="14.4" customHeight="1" x14ac:dyDescent="0.3">
      <c r="A8" s="296" t="str">
        <f>HYPERLINK("#'LŽ PL'!A1","% plnění pozitivního listu")</f>
        <v>% plnění pozitivního listu</v>
      </c>
      <c r="B8" s="294" t="s">
        <v>187</v>
      </c>
      <c r="C8" s="297">
        <v>0.9</v>
      </c>
      <c r="D8" s="297">
        <f>IF(ISERROR(VLOOKUP("celkem",'LŽ PL'!$A:$F,5,0)),0,VLOOKUP("celkem",'LŽ PL'!$A:$F,5,0))</f>
        <v>0.85049067818057167</v>
      </c>
      <c r="E8" s="292">
        <f t="shared" si="0"/>
        <v>0.94498964242285743</v>
      </c>
    </row>
    <row r="9" spans="1:5" ht="14.4" customHeight="1" x14ac:dyDescent="0.3">
      <c r="A9" s="465" t="str">
        <f>HYPERLINK("#'LŽ Statim'!A1","% podíl statimových žádanek")</f>
        <v>% podíl statimových žádanek</v>
      </c>
      <c r="B9" s="463" t="s">
        <v>309</v>
      </c>
      <c r="C9" s="464">
        <v>0.3</v>
      </c>
      <c r="D9" s="464">
        <f>IF('LŽ Statim'!G3="",0,'LŽ Statim'!G3)</f>
        <v>0.23727598566308244</v>
      </c>
      <c r="E9" s="292">
        <f>IF(C9=0,0,D9/C9)</f>
        <v>0.79091995221027489</v>
      </c>
    </row>
    <row r="10" spans="1:5" ht="14.4" customHeight="1" x14ac:dyDescent="0.3">
      <c r="A10" s="298" t="s">
        <v>196</v>
      </c>
      <c r="B10" s="294"/>
      <c r="C10" s="295"/>
      <c r="D10" s="295"/>
      <c r="E10" s="292"/>
    </row>
    <row r="11" spans="1:5" ht="14.4" customHeight="1" x14ac:dyDescent="0.3">
      <c r="A11" s="296" t="str">
        <f>HYPERLINK("#'Léky Recepty'!A1","% záchytu v lékárně (Úhrada Kč)")</f>
        <v>% záchytu v lékárně (Úhrada Kč)</v>
      </c>
      <c r="B11" s="294" t="s">
        <v>142</v>
      </c>
      <c r="C11" s="297">
        <v>0.6</v>
      </c>
      <c r="D11" s="297">
        <f>IF(ISERROR(VLOOKUP("Celkem",'Léky Recepty'!B:H,5,0)),0,VLOOKUP("Celkem",'Léky Recepty'!B:H,5,0))</f>
        <v>0.45521423110742648</v>
      </c>
      <c r="E11" s="292">
        <f t="shared" si="0"/>
        <v>0.75869038517904419</v>
      </c>
    </row>
    <row r="12" spans="1:5" ht="14.4" customHeight="1" x14ac:dyDescent="0.3">
      <c r="A12" s="296" t="str">
        <f>HYPERLINK("#'LRp PL'!A1","% plnění pozitivního listu")</f>
        <v>% plnění pozitivního listu</v>
      </c>
      <c r="B12" s="294" t="s">
        <v>188</v>
      </c>
      <c r="C12" s="297">
        <v>0.8</v>
      </c>
      <c r="D12" s="297">
        <f>IF(ISERROR(VLOOKUP("Celkem",'LRp PL'!A:F,5,0)),0,VLOOKUP("Celkem",'LRp PL'!A:F,5,0))</f>
        <v>0.94840530657865429</v>
      </c>
      <c r="E12" s="292">
        <f t="shared" si="0"/>
        <v>1.1855066332233177</v>
      </c>
    </row>
    <row r="13" spans="1:5" ht="14.4" customHeight="1" x14ac:dyDescent="0.3">
      <c r="A13" s="298" t="s">
        <v>197</v>
      </c>
      <c r="B13" s="294"/>
      <c r="C13" s="295"/>
      <c r="D13" s="295"/>
      <c r="E13" s="292"/>
    </row>
    <row r="14" spans="1:5" ht="14.4" customHeight="1" x14ac:dyDescent="0.3">
      <c r="A14" s="299" t="s">
        <v>201</v>
      </c>
      <c r="B14" s="294"/>
      <c r="C14" s="291"/>
      <c r="D14" s="291"/>
      <c r="E14" s="292"/>
    </row>
    <row r="15" spans="1:5" ht="14.4" customHeight="1" x14ac:dyDescent="0.3">
      <c r="A15" s="300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5" s="294" t="s">
        <v>137</v>
      </c>
      <c r="C15" s="295">
        <f>IF(ISERROR(HI!F6),"",HI!F6)</f>
        <v>5997.6662209461792</v>
      </c>
      <c r="D15" s="295">
        <f>IF(ISERROR(HI!E6),"",HI!E6)</f>
        <v>6354.7412000000113</v>
      </c>
      <c r="E15" s="292">
        <f t="shared" si="0"/>
        <v>1.0595356536858933</v>
      </c>
    </row>
    <row r="16" spans="1:5" ht="14.4" customHeight="1" thickBot="1" x14ac:dyDescent="0.35">
      <c r="A16" s="301" t="str">
        <f>HYPERLINK("#HI!A1","Osobní náklady")</f>
        <v>Osobní náklady</v>
      </c>
      <c r="B16" s="294"/>
      <c r="C16" s="291">
        <f ca="1">IF(ISERROR(VLOOKUP("Osobní náklady (Kč) *",INDIRECT("HI!$A:$G"),6,0)),0,VLOOKUP("Osobní náklady (Kč) *",INDIRECT("HI!$A:$G"),6,0))</f>
        <v>11839.832960407286</v>
      </c>
      <c r="D16" s="291">
        <f ca="1">IF(ISERROR(VLOOKUP("Osobní náklady (Kč) *",INDIRECT("HI!$A:$G"),5,0)),0,VLOOKUP("Osobní náklady (Kč) *",INDIRECT("HI!$A:$G"),5,0))</f>
        <v>11117.727690000009</v>
      </c>
      <c r="E16" s="292">
        <f ca="1">IF(C16=0,0,D16/C16)</f>
        <v>0.9390105187444775</v>
      </c>
    </row>
    <row r="17" spans="1:5" ht="14.4" customHeight="1" thickBot="1" x14ac:dyDescent="0.35">
      <c r="A17" s="305"/>
      <c r="B17" s="306"/>
      <c r="C17" s="307"/>
      <c r="D17" s="307"/>
      <c r="E17" s="308"/>
    </row>
    <row r="18" spans="1:5" ht="14.4" customHeight="1" thickBot="1" x14ac:dyDescent="0.35">
      <c r="A18" s="309" t="str">
        <f>HYPERLINK("#HI!A1","VÝNOSY CELKEM (v tisících)")</f>
        <v>VÝNOSY CELKEM (v tisících)</v>
      </c>
      <c r="B18" s="310"/>
      <c r="C18" s="311">
        <f ca="1">IF(ISERROR(VLOOKUP("Výnosy celkem",INDIRECT("HI!$A:$G"),6,0)),0,VLOOKUP("Výnosy celkem",INDIRECT("HI!$A:$G"),6,0))</f>
        <v>25715.434000000001</v>
      </c>
      <c r="D18" s="311">
        <f ca="1">IF(ISERROR(VLOOKUP("Výnosy celkem",INDIRECT("HI!$A:$G"),5,0)),0,VLOOKUP("Výnosy celkem",INDIRECT("HI!$A:$G"),5,0))</f>
        <v>25861.825000000001</v>
      </c>
      <c r="E18" s="312">
        <f t="shared" ref="E18:E28" ca="1" si="1">IF(C18=0,0,D18/C18)</f>
        <v>1.0056927291213518</v>
      </c>
    </row>
    <row r="19" spans="1:5" ht="14.4" customHeight="1" x14ac:dyDescent="0.3">
      <c r="A19" s="313" t="str">
        <f>HYPERLINK("#HI!A1","Ambulance (body za výkony + Kč za ZUM a ZULP)")</f>
        <v>Ambulance (body za výkony + Kč za ZUM a ZULP)</v>
      </c>
      <c r="B19" s="290"/>
      <c r="C19" s="291">
        <f ca="1">IF(ISERROR(VLOOKUP("Ambulance *",INDIRECT("HI!$A:$G"),6,0)),0,VLOOKUP("Ambulance *",INDIRECT("HI!$A:$G"),6,0))</f>
        <v>172.774</v>
      </c>
      <c r="D19" s="291">
        <f ca="1">IF(ISERROR(VLOOKUP("Ambulance *",INDIRECT("HI!$A:$G"),5,0)),0,VLOOKUP("Ambulance *",INDIRECT("HI!$A:$G"),5,0))</f>
        <v>234.32499999999999</v>
      </c>
      <c r="E19" s="292">
        <f t="shared" ca="1" si="1"/>
        <v>1.3562515193258244</v>
      </c>
    </row>
    <row r="20" spans="1:5" ht="14.4" customHeight="1" x14ac:dyDescent="0.3">
      <c r="A20" s="314" t="str">
        <f>HYPERLINK("#'ZV Vykáz.-A'!A1","Zdravotní výkony vykázané u ambulantních pacientů (min. 100 %)")</f>
        <v>Zdravotní výkony vykázané u ambulantních pacientů (min. 100 %)</v>
      </c>
      <c r="B20" s="277" t="s">
        <v>154</v>
      </c>
      <c r="C20" s="297">
        <v>1</v>
      </c>
      <c r="D20" s="297">
        <f>IF(ISERROR(VLOOKUP("Celkem:",'ZV Vykáz.-A'!$A:$S,7,0)),"",VLOOKUP("Celkem:",'ZV Vykáz.-A'!$A:$S,7,0))</f>
        <v>1.3562515193258244</v>
      </c>
      <c r="E20" s="292">
        <f t="shared" si="1"/>
        <v>1.3562515193258244</v>
      </c>
    </row>
    <row r="21" spans="1:5" ht="14.4" customHeight="1" x14ac:dyDescent="0.3">
      <c r="A21" s="314" t="str">
        <f>HYPERLINK("#'ZV Vykáz.-H'!A1","Zdravotní výkony vykázané u hospitalizovaných pacientů (max. 85 %)")</f>
        <v>Zdravotní výkony vykázané u hospitalizovaných pacientů (max. 85 %)</v>
      </c>
      <c r="B21" s="277" t="s">
        <v>156</v>
      </c>
      <c r="C21" s="297">
        <v>0.85</v>
      </c>
      <c r="D21" s="297">
        <f>IF(ISERROR(VLOOKUP("Celkem:",'ZV Vykáz.-H'!$A:$S,7,0)),"",VLOOKUP("Celkem:",'ZV Vykáz.-H'!$A:$S,7,0))</f>
        <v>0.92901266819613659</v>
      </c>
      <c r="E21" s="292">
        <f t="shared" si="1"/>
        <v>1.092956080230749</v>
      </c>
    </row>
    <row r="22" spans="1:5" ht="14.4" customHeight="1" x14ac:dyDescent="0.3">
      <c r="A22" s="315" t="str">
        <f>HYPERLINK("#HI!A1","Hospitalizace (casemix * 30000)")</f>
        <v>Hospitalizace (casemix * 30000)</v>
      </c>
      <c r="B22" s="294"/>
      <c r="C22" s="291">
        <f ca="1">IF(ISERROR(VLOOKUP("Hospitalizace *",INDIRECT("HI!$A:$G"),6,0)),0,VLOOKUP("Hospitalizace *",INDIRECT("HI!$A:$G"),6,0))</f>
        <v>25542.66</v>
      </c>
      <c r="D22" s="291">
        <f ca="1">IF(ISERROR(VLOOKUP("Hospitalizace *",INDIRECT("HI!$A:$G"),5,0)),0,VLOOKUP("Hospitalizace *",INDIRECT("HI!$A:$G"),5,0))</f>
        <v>25627.5</v>
      </c>
      <c r="E22" s="292">
        <f ca="1">IF(C22=0,0,D22/C22)</f>
        <v>1.0033215021458219</v>
      </c>
    </row>
    <row r="23" spans="1:5" ht="14.4" customHeight="1" x14ac:dyDescent="0.3">
      <c r="A23" s="314" t="str">
        <f>HYPERLINK("#'CaseMix'!A1","Casemix (min. 100 %)")</f>
        <v>Casemix (min. 100 %)</v>
      </c>
      <c r="B23" s="294" t="s">
        <v>71</v>
      </c>
      <c r="C23" s="297">
        <v>1</v>
      </c>
      <c r="D23" s="297">
        <f>IF(ISERROR(VLOOKUP("Celkem",CaseMix!A:M,5,0)),0,VLOOKUP("Celkem",CaseMix!A:M,5,0))</f>
        <v>1.0033215021458219</v>
      </c>
      <c r="E23" s="292">
        <f t="shared" si="1"/>
        <v>1.0033215021458219</v>
      </c>
    </row>
    <row r="24" spans="1:5" ht="14.4" customHeight="1" x14ac:dyDescent="0.3">
      <c r="A24" s="316" t="str">
        <f>HYPERLINK("#'CaseMix'!A1","DRG mimo vyjmenované baze")</f>
        <v>DRG mimo vyjmenované baze</v>
      </c>
      <c r="B24" s="294" t="s">
        <v>71</v>
      </c>
      <c r="C24" s="297">
        <v>1</v>
      </c>
      <c r="D24" s="297">
        <f>IF(ISERROR(CaseMix!E26),"",CaseMix!E26)</f>
        <v>1.0643141233972646</v>
      </c>
      <c r="E24" s="292">
        <f t="shared" si="1"/>
        <v>1.0643141233972646</v>
      </c>
    </row>
    <row r="25" spans="1:5" ht="14.4" customHeight="1" x14ac:dyDescent="0.3">
      <c r="A25" s="316" t="str">
        <f>HYPERLINK("#'CaseMix'!A1","Vyjmenované baze DRG")</f>
        <v>Vyjmenované baze DRG</v>
      </c>
      <c r="B25" s="294" t="s">
        <v>71</v>
      </c>
      <c r="C25" s="297">
        <v>1</v>
      </c>
      <c r="D25" s="297">
        <f>IF(ISERROR(CaseMix!E39),"",CaseMix!E39)</f>
        <v>0.26481817901899801</v>
      </c>
      <c r="E25" s="292">
        <f t="shared" si="1"/>
        <v>0.26481817901899801</v>
      </c>
    </row>
    <row r="26" spans="1:5" ht="14.4" customHeight="1" x14ac:dyDescent="0.3">
      <c r="A26" s="314" t="str">
        <f>HYPERLINK("#'CaseMix'!A1","Počet hospitalizací ukončených na pracovišti (min. 95 %)")</f>
        <v>Počet hospitalizací ukončených na pracovišti (min. 95 %)</v>
      </c>
      <c r="B26" s="294" t="s">
        <v>71</v>
      </c>
      <c r="C26" s="297">
        <v>0.95</v>
      </c>
      <c r="D26" s="297">
        <f>IF(ISERROR(CaseMix!I13),"",CaseMix!I13)</f>
        <v>0.93396226415094341</v>
      </c>
      <c r="E26" s="292">
        <f t="shared" si="1"/>
        <v>0.98311817279046676</v>
      </c>
    </row>
    <row r="27" spans="1:5" ht="14.4" customHeight="1" x14ac:dyDescent="0.3">
      <c r="A27" s="314" t="str">
        <f>HYPERLINK("#'ALOS'!A1","Průměrná délka hospitalizace (max. 100 % republikového průměru)")</f>
        <v>Průměrná délka hospitalizace (max. 100 % republikového průměru)</v>
      </c>
      <c r="B27" s="294" t="s">
        <v>86</v>
      </c>
      <c r="C27" s="297">
        <v>1</v>
      </c>
      <c r="D27" s="317">
        <f>IF(ISERROR(INDEX(ALOS!$E:$E,COUNT(ALOS!$E:$E)+32)),0,INDEX(ALOS!$E:$E,COUNT(ALOS!$E:$E)+32))</f>
        <v>0.96710213582047955</v>
      </c>
      <c r="E27" s="292">
        <f t="shared" si="1"/>
        <v>0.96710213582047955</v>
      </c>
    </row>
    <row r="28" spans="1:5" ht="27.6" x14ac:dyDescent="0.3">
      <c r="A28" s="318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8" s="294" t="s">
        <v>151</v>
      </c>
      <c r="C28" s="297">
        <f>IF(E23&gt;1,95%,95%-2*ABS(C23-D23))</f>
        <v>0.95</v>
      </c>
      <c r="D28" s="297">
        <f>IF(ISERROR(VLOOKUP("Celkem:",'ZV Vyžád.'!$A:$M,7,0)),"",VLOOKUP("Celkem:",'ZV Vyžád.'!$A:$M,7,0))</f>
        <v>1.0877339685013816</v>
      </c>
      <c r="E28" s="292">
        <f t="shared" si="1"/>
        <v>1.1449831247382964</v>
      </c>
    </row>
    <row r="29" spans="1:5" ht="14.4" customHeight="1" thickBot="1" x14ac:dyDescent="0.35">
      <c r="A29" s="319" t="s">
        <v>198</v>
      </c>
      <c r="B29" s="302"/>
      <c r="C29" s="303"/>
      <c r="D29" s="303"/>
      <c r="E29" s="304"/>
    </row>
    <row r="30" spans="1:5" ht="14.4" customHeight="1" thickBot="1" x14ac:dyDescent="0.35">
      <c r="A30" s="320"/>
      <c r="B30" s="321"/>
      <c r="C30" s="322"/>
      <c r="D30" s="322"/>
      <c r="E30" s="323"/>
    </row>
    <row r="31" spans="1:5" ht="14.4" customHeight="1" thickBot="1" x14ac:dyDescent="0.35">
      <c r="A31" s="324" t="s">
        <v>199</v>
      </c>
      <c r="B31" s="325"/>
      <c r="C31" s="326"/>
      <c r="D31" s="326"/>
      <c r="E31" s="327"/>
    </row>
  </sheetData>
  <mergeCells count="1">
    <mergeCell ref="A1:E1"/>
  </mergeCells>
  <conditionalFormatting sqref="E23:E26 E18 E20 E8 E11:E12">
    <cfRule type="iconSet" priority="21">
      <iconSet iconSet="3Symbols2">
        <cfvo type="percent" val="0"/>
        <cfvo type="num" val="1"/>
        <cfvo type="num" val="1"/>
      </iconSet>
    </cfRule>
  </conditionalFormatting>
  <conditionalFormatting sqref="E5">
    <cfRule type="cellIs" dxfId="85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84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83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9">
    <cfRule type="cellIs" dxfId="82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22">
    <cfRule type="cellIs" dxfId="81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80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8 E20 E23:E26 E8 E11:E12">
    <cfRule type="cellIs" dxfId="79" priority="20" operator="lessThan">
      <formula>1</formula>
    </cfRule>
  </conditionalFormatting>
  <conditionalFormatting sqref="E9">
    <cfRule type="cellIs" dxfId="78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27:E28 E4 E7 E15 E21">
    <cfRule type="cellIs" dxfId="77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0"/>
  <sheetViews>
    <sheetView showGridLines="0" showRowColHeaders="0" workbookViewId="0"/>
  </sheetViews>
  <sheetFormatPr defaultRowHeight="14.4" x14ac:dyDescent="0.3"/>
  <cols>
    <col min="1" max="16384" width="8.88671875" style="379"/>
  </cols>
  <sheetData>
    <row r="1" spans="1:40" x14ac:dyDescent="0.3">
      <c r="A1" s="379" t="s">
        <v>3400</v>
      </c>
    </row>
    <row r="2" spans="1:40" x14ac:dyDescent="0.3">
      <c r="A2" s="383" t="s">
        <v>334</v>
      </c>
    </row>
    <row r="3" spans="1:40" x14ac:dyDescent="0.3">
      <c r="A3" s="379" t="s">
        <v>220</v>
      </c>
      <c r="B3" s="404">
        <v>2015</v>
      </c>
      <c r="D3" s="380">
        <f>MAX(D5:D1048576)</f>
        <v>2</v>
      </c>
      <c r="F3" s="380">
        <f>SUMIF($E5:$E1048576,"&lt;10",F5:F1048576)</f>
        <v>8321766.75</v>
      </c>
      <c r="G3" s="380">
        <f t="shared" ref="G3:AN3" si="0">SUMIF($E5:$E1048576,"&lt;10",G5:G1048576)</f>
        <v>0</v>
      </c>
      <c r="H3" s="380">
        <f t="shared" si="0"/>
        <v>3998713.5</v>
      </c>
      <c r="I3" s="380">
        <f t="shared" si="0"/>
        <v>0</v>
      </c>
      <c r="J3" s="380">
        <f t="shared" si="0"/>
        <v>0</v>
      </c>
      <c r="K3" s="380">
        <f t="shared" si="0"/>
        <v>3698227.75</v>
      </c>
      <c r="L3" s="380">
        <f t="shared" si="0"/>
        <v>0</v>
      </c>
      <c r="M3" s="380">
        <f t="shared" si="0"/>
        <v>0</v>
      </c>
      <c r="N3" s="380">
        <f t="shared" si="0"/>
        <v>0</v>
      </c>
      <c r="O3" s="380">
        <f t="shared" si="0"/>
        <v>0</v>
      </c>
      <c r="P3" s="380">
        <f t="shared" si="0"/>
        <v>0</v>
      </c>
      <c r="Q3" s="380">
        <f t="shared" si="0"/>
        <v>0</v>
      </c>
      <c r="R3" s="380">
        <f t="shared" si="0"/>
        <v>0</v>
      </c>
      <c r="S3" s="380">
        <f t="shared" si="0"/>
        <v>0</v>
      </c>
      <c r="T3" s="380">
        <f t="shared" si="0"/>
        <v>0</v>
      </c>
      <c r="U3" s="380">
        <f t="shared" si="0"/>
        <v>0</v>
      </c>
      <c r="V3" s="380">
        <f t="shared" si="0"/>
        <v>0</v>
      </c>
      <c r="W3" s="380">
        <f t="shared" si="0"/>
        <v>0</v>
      </c>
      <c r="X3" s="380">
        <f t="shared" si="0"/>
        <v>0</v>
      </c>
      <c r="Y3" s="380">
        <f t="shared" si="0"/>
        <v>0</v>
      </c>
      <c r="Z3" s="380">
        <f t="shared" si="0"/>
        <v>0</v>
      </c>
      <c r="AA3" s="380">
        <f t="shared" si="0"/>
        <v>0</v>
      </c>
      <c r="AB3" s="380">
        <f t="shared" si="0"/>
        <v>0</v>
      </c>
      <c r="AC3" s="380">
        <f t="shared" si="0"/>
        <v>158210</v>
      </c>
      <c r="AD3" s="380">
        <f t="shared" si="0"/>
        <v>0</v>
      </c>
      <c r="AE3" s="380">
        <f t="shared" si="0"/>
        <v>84586</v>
      </c>
      <c r="AF3" s="380">
        <f t="shared" si="0"/>
        <v>0</v>
      </c>
      <c r="AG3" s="380">
        <f t="shared" si="0"/>
        <v>0</v>
      </c>
      <c r="AH3" s="380">
        <f t="shared" si="0"/>
        <v>189282.75</v>
      </c>
      <c r="AI3" s="380">
        <f t="shared" si="0"/>
        <v>0</v>
      </c>
      <c r="AJ3" s="380">
        <f t="shared" si="0"/>
        <v>0</v>
      </c>
      <c r="AK3" s="380">
        <f t="shared" si="0"/>
        <v>98849.75</v>
      </c>
      <c r="AL3" s="380">
        <f t="shared" si="0"/>
        <v>0</v>
      </c>
      <c r="AM3" s="380">
        <f t="shared" si="0"/>
        <v>93897</v>
      </c>
      <c r="AN3" s="380">
        <f t="shared" si="0"/>
        <v>0</v>
      </c>
    </row>
    <row r="4" spans="1:40" x14ac:dyDescent="0.3">
      <c r="A4" s="379" t="s">
        <v>221</v>
      </c>
      <c r="B4" s="404">
        <v>1</v>
      </c>
      <c r="C4" s="381" t="s">
        <v>5</v>
      </c>
      <c r="D4" s="382" t="s">
        <v>68</v>
      </c>
      <c r="E4" s="382" t="s">
        <v>215</v>
      </c>
      <c r="F4" s="382" t="s">
        <v>3</v>
      </c>
      <c r="G4" s="382" t="s">
        <v>216</v>
      </c>
      <c r="H4" s="382" t="s">
        <v>217</v>
      </c>
      <c r="I4" s="382" t="s">
        <v>218</v>
      </c>
      <c r="J4" s="382" t="s">
        <v>219</v>
      </c>
      <c r="K4" s="382">
        <v>305</v>
      </c>
      <c r="L4" s="382">
        <v>306</v>
      </c>
      <c r="M4" s="382">
        <v>408</v>
      </c>
      <c r="N4" s="382">
        <v>409</v>
      </c>
      <c r="O4" s="382">
        <v>410</v>
      </c>
      <c r="P4" s="382">
        <v>415</v>
      </c>
      <c r="Q4" s="382">
        <v>416</v>
      </c>
      <c r="R4" s="382">
        <v>418</v>
      </c>
      <c r="S4" s="382">
        <v>419</v>
      </c>
      <c r="T4" s="382">
        <v>420</v>
      </c>
      <c r="U4" s="382">
        <v>421</v>
      </c>
      <c r="V4" s="382">
        <v>522</v>
      </c>
      <c r="W4" s="382">
        <v>523</v>
      </c>
      <c r="X4" s="382">
        <v>524</v>
      </c>
      <c r="Y4" s="382">
        <v>525</v>
      </c>
      <c r="Z4" s="382">
        <v>526</v>
      </c>
      <c r="AA4" s="382">
        <v>527</v>
      </c>
      <c r="AB4" s="382">
        <v>528</v>
      </c>
      <c r="AC4" s="382">
        <v>629</v>
      </c>
      <c r="AD4" s="382">
        <v>630</v>
      </c>
      <c r="AE4" s="382">
        <v>636</v>
      </c>
      <c r="AF4" s="382">
        <v>637</v>
      </c>
      <c r="AG4" s="382">
        <v>640</v>
      </c>
      <c r="AH4" s="382">
        <v>642</v>
      </c>
      <c r="AI4" s="382">
        <v>743</v>
      </c>
      <c r="AJ4" s="382">
        <v>745</v>
      </c>
      <c r="AK4" s="382">
        <v>746</v>
      </c>
      <c r="AL4" s="382">
        <v>747</v>
      </c>
      <c r="AM4" s="382">
        <v>930</v>
      </c>
      <c r="AN4" s="382">
        <v>940</v>
      </c>
    </row>
    <row r="5" spans="1:40" x14ac:dyDescent="0.3">
      <c r="A5" s="379" t="s">
        <v>222</v>
      </c>
      <c r="B5" s="404">
        <v>2</v>
      </c>
      <c r="C5" s="379">
        <v>50</v>
      </c>
      <c r="D5" s="379">
        <v>1</v>
      </c>
      <c r="E5" s="379">
        <v>1</v>
      </c>
      <c r="F5" s="379">
        <v>96</v>
      </c>
      <c r="G5" s="379">
        <v>0</v>
      </c>
      <c r="H5" s="379">
        <v>19</v>
      </c>
      <c r="I5" s="379">
        <v>0</v>
      </c>
      <c r="J5" s="379">
        <v>0</v>
      </c>
      <c r="K5" s="379">
        <v>61.25</v>
      </c>
      <c r="L5" s="379">
        <v>0</v>
      </c>
      <c r="M5" s="379">
        <v>0</v>
      </c>
      <c r="N5" s="379">
        <v>0</v>
      </c>
      <c r="O5" s="379">
        <v>0</v>
      </c>
      <c r="P5" s="379">
        <v>0</v>
      </c>
      <c r="Q5" s="379">
        <v>0</v>
      </c>
      <c r="R5" s="379">
        <v>0</v>
      </c>
      <c r="S5" s="379">
        <v>0</v>
      </c>
      <c r="T5" s="379">
        <v>0</v>
      </c>
      <c r="U5" s="379">
        <v>0</v>
      </c>
      <c r="V5" s="379">
        <v>0</v>
      </c>
      <c r="W5" s="379">
        <v>0</v>
      </c>
      <c r="X5" s="379">
        <v>0</v>
      </c>
      <c r="Y5" s="379">
        <v>0</v>
      </c>
      <c r="Z5" s="379">
        <v>0</v>
      </c>
      <c r="AA5" s="379">
        <v>0</v>
      </c>
      <c r="AB5" s="379">
        <v>0</v>
      </c>
      <c r="AC5" s="379">
        <v>4</v>
      </c>
      <c r="AD5" s="379">
        <v>0</v>
      </c>
      <c r="AE5" s="379">
        <v>2</v>
      </c>
      <c r="AF5" s="379">
        <v>0</v>
      </c>
      <c r="AG5" s="379">
        <v>0</v>
      </c>
      <c r="AH5" s="379">
        <v>6.75</v>
      </c>
      <c r="AI5" s="379">
        <v>0</v>
      </c>
      <c r="AJ5" s="379">
        <v>0</v>
      </c>
      <c r="AK5" s="379">
        <v>1</v>
      </c>
      <c r="AL5" s="379">
        <v>0</v>
      </c>
      <c r="AM5" s="379">
        <v>2</v>
      </c>
      <c r="AN5" s="379">
        <v>0</v>
      </c>
    </row>
    <row r="6" spans="1:40" x14ac:dyDescent="0.3">
      <c r="A6" s="379" t="s">
        <v>223</v>
      </c>
      <c r="B6" s="404">
        <v>3</v>
      </c>
      <c r="C6" s="379">
        <v>50</v>
      </c>
      <c r="D6" s="379">
        <v>1</v>
      </c>
      <c r="E6" s="379">
        <v>2</v>
      </c>
      <c r="F6" s="379">
        <v>14048.25</v>
      </c>
      <c r="G6" s="379">
        <v>0</v>
      </c>
      <c r="H6" s="379">
        <v>3208</v>
      </c>
      <c r="I6" s="379">
        <v>0</v>
      </c>
      <c r="J6" s="379">
        <v>0</v>
      </c>
      <c r="K6" s="379">
        <v>8766.25</v>
      </c>
      <c r="L6" s="379">
        <v>0</v>
      </c>
      <c r="M6" s="379">
        <v>0</v>
      </c>
      <c r="N6" s="379">
        <v>0</v>
      </c>
      <c r="O6" s="379">
        <v>0</v>
      </c>
      <c r="P6" s="379">
        <v>0</v>
      </c>
      <c r="Q6" s="379">
        <v>0</v>
      </c>
      <c r="R6" s="379">
        <v>0</v>
      </c>
      <c r="S6" s="379">
        <v>0</v>
      </c>
      <c r="T6" s="379">
        <v>0</v>
      </c>
      <c r="U6" s="379">
        <v>0</v>
      </c>
      <c r="V6" s="379">
        <v>0</v>
      </c>
      <c r="W6" s="379">
        <v>0</v>
      </c>
      <c r="X6" s="379">
        <v>0</v>
      </c>
      <c r="Y6" s="379">
        <v>0</v>
      </c>
      <c r="Z6" s="379">
        <v>0</v>
      </c>
      <c r="AA6" s="379">
        <v>0</v>
      </c>
      <c r="AB6" s="379">
        <v>0</v>
      </c>
      <c r="AC6" s="379">
        <v>570</v>
      </c>
      <c r="AD6" s="379">
        <v>0</v>
      </c>
      <c r="AE6" s="379">
        <v>350</v>
      </c>
      <c r="AF6" s="379">
        <v>0</v>
      </c>
      <c r="AG6" s="379">
        <v>0</v>
      </c>
      <c r="AH6" s="379">
        <v>671</v>
      </c>
      <c r="AI6" s="379">
        <v>0</v>
      </c>
      <c r="AJ6" s="379">
        <v>0</v>
      </c>
      <c r="AK6" s="379">
        <v>155</v>
      </c>
      <c r="AL6" s="379">
        <v>0</v>
      </c>
      <c r="AM6" s="379">
        <v>328</v>
      </c>
      <c r="AN6" s="379">
        <v>0</v>
      </c>
    </row>
    <row r="7" spans="1:40" x14ac:dyDescent="0.3">
      <c r="A7" s="379" t="s">
        <v>224</v>
      </c>
      <c r="B7" s="404">
        <v>4</v>
      </c>
      <c r="C7" s="379">
        <v>50</v>
      </c>
      <c r="D7" s="379">
        <v>1</v>
      </c>
      <c r="E7" s="379">
        <v>3</v>
      </c>
      <c r="F7" s="379">
        <v>7</v>
      </c>
      <c r="G7" s="379">
        <v>0</v>
      </c>
      <c r="H7" s="379">
        <v>0</v>
      </c>
      <c r="I7" s="379">
        <v>0</v>
      </c>
      <c r="J7" s="379">
        <v>0</v>
      </c>
      <c r="K7" s="379">
        <v>7</v>
      </c>
      <c r="L7" s="379">
        <v>0</v>
      </c>
      <c r="M7" s="379">
        <v>0</v>
      </c>
      <c r="N7" s="379">
        <v>0</v>
      </c>
      <c r="O7" s="379">
        <v>0</v>
      </c>
      <c r="P7" s="379">
        <v>0</v>
      </c>
      <c r="Q7" s="379">
        <v>0</v>
      </c>
      <c r="R7" s="379">
        <v>0</v>
      </c>
      <c r="S7" s="379">
        <v>0</v>
      </c>
      <c r="T7" s="379">
        <v>0</v>
      </c>
      <c r="U7" s="379">
        <v>0</v>
      </c>
      <c r="V7" s="379">
        <v>0</v>
      </c>
      <c r="W7" s="379">
        <v>0</v>
      </c>
      <c r="X7" s="379">
        <v>0</v>
      </c>
      <c r="Y7" s="379">
        <v>0</v>
      </c>
      <c r="Z7" s="379">
        <v>0</v>
      </c>
      <c r="AA7" s="379">
        <v>0</v>
      </c>
      <c r="AB7" s="379">
        <v>0</v>
      </c>
      <c r="AC7" s="379">
        <v>0</v>
      </c>
      <c r="AD7" s="379">
        <v>0</v>
      </c>
      <c r="AE7" s="379">
        <v>0</v>
      </c>
      <c r="AF7" s="379">
        <v>0</v>
      </c>
      <c r="AG7" s="379">
        <v>0</v>
      </c>
      <c r="AH7" s="379">
        <v>0</v>
      </c>
      <c r="AI7" s="379">
        <v>0</v>
      </c>
      <c r="AJ7" s="379">
        <v>0</v>
      </c>
      <c r="AK7" s="379">
        <v>0</v>
      </c>
      <c r="AL7" s="379">
        <v>0</v>
      </c>
      <c r="AM7" s="379">
        <v>0</v>
      </c>
      <c r="AN7" s="379">
        <v>0</v>
      </c>
    </row>
    <row r="8" spans="1:40" x14ac:dyDescent="0.3">
      <c r="A8" s="379" t="s">
        <v>225</v>
      </c>
      <c r="B8" s="404">
        <v>5</v>
      </c>
      <c r="C8" s="379">
        <v>50</v>
      </c>
      <c r="D8" s="379">
        <v>1</v>
      </c>
      <c r="E8" s="379">
        <v>4</v>
      </c>
      <c r="F8" s="379">
        <v>859.25</v>
      </c>
      <c r="G8" s="379">
        <v>0</v>
      </c>
      <c r="H8" s="379">
        <v>597</v>
      </c>
      <c r="I8" s="379">
        <v>0</v>
      </c>
      <c r="J8" s="379">
        <v>0</v>
      </c>
      <c r="K8" s="379">
        <v>228.25</v>
      </c>
      <c r="L8" s="379">
        <v>0</v>
      </c>
      <c r="M8" s="379">
        <v>0</v>
      </c>
      <c r="N8" s="379">
        <v>0</v>
      </c>
      <c r="O8" s="379">
        <v>0</v>
      </c>
      <c r="P8" s="379">
        <v>0</v>
      </c>
      <c r="Q8" s="379">
        <v>0</v>
      </c>
      <c r="R8" s="379">
        <v>0</v>
      </c>
      <c r="S8" s="379">
        <v>0</v>
      </c>
      <c r="T8" s="379">
        <v>0</v>
      </c>
      <c r="U8" s="379">
        <v>0</v>
      </c>
      <c r="V8" s="379">
        <v>0</v>
      </c>
      <c r="W8" s="379">
        <v>0</v>
      </c>
      <c r="X8" s="379">
        <v>0</v>
      </c>
      <c r="Y8" s="379">
        <v>0</v>
      </c>
      <c r="Z8" s="379">
        <v>0</v>
      </c>
      <c r="AA8" s="379">
        <v>0</v>
      </c>
      <c r="AB8" s="379">
        <v>0</v>
      </c>
      <c r="AC8" s="379">
        <v>0</v>
      </c>
      <c r="AD8" s="379">
        <v>0</v>
      </c>
      <c r="AE8" s="379">
        <v>0</v>
      </c>
      <c r="AF8" s="379">
        <v>0</v>
      </c>
      <c r="AG8" s="379">
        <v>0</v>
      </c>
      <c r="AH8" s="379">
        <v>0</v>
      </c>
      <c r="AI8" s="379">
        <v>0</v>
      </c>
      <c r="AJ8" s="379">
        <v>0</v>
      </c>
      <c r="AK8" s="379">
        <v>34</v>
      </c>
      <c r="AL8" s="379">
        <v>0</v>
      </c>
      <c r="AM8" s="379">
        <v>0</v>
      </c>
      <c r="AN8" s="379">
        <v>0</v>
      </c>
    </row>
    <row r="9" spans="1:40" x14ac:dyDescent="0.3">
      <c r="A9" s="379" t="s">
        <v>226</v>
      </c>
      <c r="B9" s="404">
        <v>6</v>
      </c>
      <c r="C9" s="379">
        <v>50</v>
      </c>
      <c r="D9" s="379">
        <v>1</v>
      </c>
      <c r="E9" s="379">
        <v>6</v>
      </c>
      <c r="F9" s="379">
        <v>4109690</v>
      </c>
      <c r="G9" s="379">
        <v>0</v>
      </c>
      <c r="H9" s="379">
        <v>1999112</v>
      </c>
      <c r="I9" s="379">
        <v>0</v>
      </c>
      <c r="J9" s="379">
        <v>0</v>
      </c>
      <c r="K9" s="379">
        <v>1814682</v>
      </c>
      <c r="L9" s="379">
        <v>0</v>
      </c>
      <c r="M9" s="379">
        <v>0</v>
      </c>
      <c r="N9" s="379">
        <v>0</v>
      </c>
      <c r="O9" s="379">
        <v>0</v>
      </c>
      <c r="P9" s="379">
        <v>0</v>
      </c>
      <c r="Q9" s="379">
        <v>0</v>
      </c>
      <c r="R9" s="379">
        <v>0</v>
      </c>
      <c r="S9" s="379">
        <v>0</v>
      </c>
      <c r="T9" s="379">
        <v>0</v>
      </c>
      <c r="U9" s="379">
        <v>0</v>
      </c>
      <c r="V9" s="379">
        <v>0</v>
      </c>
      <c r="W9" s="379">
        <v>0</v>
      </c>
      <c r="X9" s="379">
        <v>0</v>
      </c>
      <c r="Y9" s="379">
        <v>0</v>
      </c>
      <c r="Z9" s="379">
        <v>0</v>
      </c>
      <c r="AA9" s="379">
        <v>0</v>
      </c>
      <c r="AB9" s="379">
        <v>0</v>
      </c>
      <c r="AC9" s="379">
        <v>79142</v>
      </c>
      <c r="AD9" s="379">
        <v>0</v>
      </c>
      <c r="AE9" s="379">
        <v>42306</v>
      </c>
      <c r="AF9" s="379">
        <v>0</v>
      </c>
      <c r="AG9" s="379">
        <v>0</v>
      </c>
      <c r="AH9" s="379">
        <v>76862</v>
      </c>
      <c r="AI9" s="379">
        <v>0</v>
      </c>
      <c r="AJ9" s="379">
        <v>0</v>
      </c>
      <c r="AK9" s="379">
        <v>50801</v>
      </c>
      <c r="AL9" s="379">
        <v>0</v>
      </c>
      <c r="AM9" s="379">
        <v>46785</v>
      </c>
      <c r="AN9" s="379">
        <v>0</v>
      </c>
    </row>
    <row r="10" spans="1:40" x14ac:dyDescent="0.3">
      <c r="A10" s="379" t="s">
        <v>227</v>
      </c>
      <c r="B10" s="404">
        <v>7</v>
      </c>
      <c r="C10" s="379">
        <v>50</v>
      </c>
      <c r="D10" s="379">
        <v>1</v>
      </c>
      <c r="E10" s="379">
        <v>9</v>
      </c>
      <c r="F10" s="379">
        <v>38035</v>
      </c>
      <c r="G10" s="379">
        <v>0</v>
      </c>
      <c r="H10" s="379">
        <v>0</v>
      </c>
      <c r="I10" s="379">
        <v>0</v>
      </c>
      <c r="J10" s="379">
        <v>0</v>
      </c>
      <c r="K10" s="379">
        <v>31711</v>
      </c>
      <c r="L10" s="379">
        <v>0</v>
      </c>
      <c r="M10" s="379">
        <v>0</v>
      </c>
      <c r="N10" s="379">
        <v>0</v>
      </c>
      <c r="O10" s="379">
        <v>0</v>
      </c>
      <c r="P10" s="379">
        <v>0</v>
      </c>
      <c r="Q10" s="379">
        <v>0</v>
      </c>
      <c r="R10" s="379">
        <v>0</v>
      </c>
      <c r="S10" s="379">
        <v>0</v>
      </c>
      <c r="T10" s="379">
        <v>0</v>
      </c>
      <c r="U10" s="379">
        <v>0</v>
      </c>
      <c r="V10" s="379">
        <v>0</v>
      </c>
      <c r="W10" s="379">
        <v>0</v>
      </c>
      <c r="X10" s="379">
        <v>0</v>
      </c>
      <c r="Y10" s="379">
        <v>0</v>
      </c>
      <c r="Z10" s="379">
        <v>0</v>
      </c>
      <c r="AA10" s="379">
        <v>0</v>
      </c>
      <c r="AB10" s="379">
        <v>0</v>
      </c>
      <c r="AC10" s="379">
        <v>1200</v>
      </c>
      <c r="AD10" s="379">
        <v>0</v>
      </c>
      <c r="AE10" s="379">
        <v>2296</v>
      </c>
      <c r="AF10" s="379">
        <v>0</v>
      </c>
      <c r="AG10" s="379">
        <v>0</v>
      </c>
      <c r="AH10" s="379">
        <v>2828</v>
      </c>
      <c r="AI10" s="379">
        <v>0</v>
      </c>
      <c r="AJ10" s="379">
        <v>0</v>
      </c>
      <c r="AK10" s="379">
        <v>0</v>
      </c>
      <c r="AL10" s="379">
        <v>0</v>
      </c>
      <c r="AM10" s="379">
        <v>0</v>
      </c>
      <c r="AN10" s="379">
        <v>0</v>
      </c>
    </row>
    <row r="11" spans="1:40" x14ac:dyDescent="0.3">
      <c r="A11" s="379" t="s">
        <v>228</v>
      </c>
      <c r="B11" s="404">
        <v>8</v>
      </c>
      <c r="C11" s="379">
        <v>50</v>
      </c>
      <c r="D11" s="379">
        <v>1</v>
      </c>
      <c r="E11" s="379">
        <v>10</v>
      </c>
      <c r="F11" s="379">
        <v>9000</v>
      </c>
      <c r="G11" s="379">
        <v>0</v>
      </c>
      <c r="H11" s="379">
        <v>0</v>
      </c>
      <c r="I11" s="379">
        <v>0</v>
      </c>
      <c r="J11" s="379">
        <v>0</v>
      </c>
      <c r="K11" s="379">
        <v>9000</v>
      </c>
      <c r="L11" s="379">
        <v>0</v>
      </c>
      <c r="M11" s="379">
        <v>0</v>
      </c>
      <c r="N11" s="379">
        <v>0</v>
      </c>
      <c r="O11" s="379">
        <v>0</v>
      </c>
      <c r="P11" s="379">
        <v>0</v>
      </c>
      <c r="Q11" s="379">
        <v>0</v>
      </c>
      <c r="R11" s="379">
        <v>0</v>
      </c>
      <c r="S11" s="379">
        <v>0</v>
      </c>
      <c r="T11" s="379">
        <v>0</v>
      </c>
      <c r="U11" s="379">
        <v>0</v>
      </c>
      <c r="V11" s="379">
        <v>0</v>
      </c>
      <c r="W11" s="379">
        <v>0</v>
      </c>
      <c r="X11" s="379">
        <v>0</v>
      </c>
      <c r="Y11" s="379">
        <v>0</v>
      </c>
      <c r="Z11" s="379">
        <v>0</v>
      </c>
      <c r="AA11" s="379">
        <v>0</v>
      </c>
      <c r="AB11" s="379">
        <v>0</v>
      </c>
      <c r="AC11" s="379">
        <v>0</v>
      </c>
      <c r="AD11" s="379">
        <v>0</v>
      </c>
      <c r="AE11" s="379">
        <v>0</v>
      </c>
      <c r="AF11" s="379">
        <v>0</v>
      </c>
      <c r="AG11" s="379">
        <v>0</v>
      </c>
      <c r="AH11" s="379">
        <v>0</v>
      </c>
      <c r="AI11" s="379">
        <v>0</v>
      </c>
      <c r="AJ11" s="379">
        <v>0</v>
      </c>
      <c r="AK11" s="379">
        <v>0</v>
      </c>
      <c r="AL11" s="379">
        <v>0</v>
      </c>
      <c r="AM11" s="379">
        <v>0</v>
      </c>
      <c r="AN11" s="379">
        <v>0</v>
      </c>
    </row>
    <row r="12" spans="1:40" x14ac:dyDescent="0.3">
      <c r="A12" s="379" t="s">
        <v>229</v>
      </c>
      <c r="B12" s="404">
        <v>9</v>
      </c>
      <c r="C12" s="379">
        <v>50</v>
      </c>
      <c r="D12" s="379">
        <v>1</v>
      </c>
      <c r="E12" s="379">
        <v>11</v>
      </c>
      <c r="F12" s="379">
        <v>8068</v>
      </c>
      <c r="G12" s="379">
        <v>0</v>
      </c>
      <c r="H12" s="379">
        <v>5901.333333333333</v>
      </c>
      <c r="I12" s="379">
        <v>0</v>
      </c>
      <c r="J12" s="379">
        <v>0</v>
      </c>
      <c r="K12" s="379">
        <v>2166.6666666666665</v>
      </c>
      <c r="L12" s="379">
        <v>0</v>
      </c>
      <c r="M12" s="379">
        <v>0</v>
      </c>
      <c r="N12" s="379">
        <v>0</v>
      </c>
      <c r="O12" s="379">
        <v>0</v>
      </c>
      <c r="P12" s="379">
        <v>0</v>
      </c>
      <c r="Q12" s="379">
        <v>0</v>
      </c>
      <c r="R12" s="379">
        <v>0</v>
      </c>
      <c r="S12" s="379">
        <v>0</v>
      </c>
      <c r="T12" s="379">
        <v>0</v>
      </c>
      <c r="U12" s="379">
        <v>0</v>
      </c>
      <c r="V12" s="379">
        <v>0</v>
      </c>
      <c r="W12" s="379">
        <v>0</v>
      </c>
      <c r="X12" s="379">
        <v>0</v>
      </c>
      <c r="Y12" s="379">
        <v>0</v>
      </c>
      <c r="Z12" s="379">
        <v>0</v>
      </c>
      <c r="AA12" s="379">
        <v>0</v>
      </c>
      <c r="AB12" s="379">
        <v>0</v>
      </c>
      <c r="AC12" s="379">
        <v>0</v>
      </c>
      <c r="AD12" s="379">
        <v>0</v>
      </c>
      <c r="AE12" s="379">
        <v>0</v>
      </c>
      <c r="AF12" s="379">
        <v>0</v>
      </c>
      <c r="AG12" s="379">
        <v>0</v>
      </c>
      <c r="AH12" s="379">
        <v>0</v>
      </c>
      <c r="AI12" s="379">
        <v>0</v>
      </c>
      <c r="AJ12" s="379">
        <v>0</v>
      </c>
      <c r="AK12" s="379">
        <v>0</v>
      </c>
      <c r="AL12" s="379">
        <v>0</v>
      </c>
      <c r="AM12" s="379">
        <v>0</v>
      </c>
      <c r="AN12" s="379">
        <v>0</v>
      </c>
    </row>
    <row r="13" spans="1:40" x14ac:dyDescent="0.3">
      <c r="A13" s="379" t="s">
        <v>230</v>
      </c>
      <c r="B13" s="404">
        <v>10</v>
      </c>
      <c r="C13" s="379">
        <v>50</v>
      </c>
      <c r="D13" s="379">
        <v>2</v>
      </c>
      <c r="E13" s="379">
        <v>1</v>
      </c>
      <c r="F13" s="379">
        <v>98.25</v>
      </c>
      <c r="G13" s="379">
        <v>0</v>
      </c>
      <c r="H13" s="379">
        <v>19</v>
      </c>
      <c r="I13" s="379">
        <v>0</v>
      </c>
      <c r="J13" s="379">
        <v>0</v>
      </c>
      <c r="K13" s="379">
        <v>64.25</v>
      </c>
      <c r="L13" s="379">
        <v>0</v>
      </c>
      <c r="M13" s="379">
        <v>0</v>
      </c>
      <c r="N13" s="379">
        <v>0</v>
      </c>
      <c r="O13" s="379">
        <v>0</v>
      </c>
      <c r="P13" s="379">
        <v>0</v>
      </c>
      <c r="Q13" s="379">
        <v>0</v>
      </c>
      <c r="R13" s="379">
        <v>0</v>
      </c>
      <c r="S13" s="379">
        <v>0</v>
      </c>
      <c r="T13" s="379">
        <v>0</v>
      </c>
      <c r="U13" s="379">
        <v>0</v>
      </c>
      <c r="V13" s="379">
        <v>0</v>
      </c>
      <c r="W13" s="379">
        <v>0</v>
      </c>
      <c r="X13" s="379">
        <v>0</v>
      </c>
      <c r="Y13" s="379">
        <v>0</v>
      </c>
      <c r="Z13" s="379">
        <v>0</v>
      </c>
      <c r="AA13" s="379">
        <v>0</v>
      </c>
      <c r="AB13" s="379">
        <v>0</v>
      </c>
      <c r="AC13" s="379">
        <v>4</v>
      </c>
      <c r="AD13" s="379">
        <v>0</v>
      </c>
      <c r="AE13" s="379">
        <v>2</v>
      </c>
      <c r="AF13" s="379">
        <v>0</v>
      </c>
      <c r="AG13" s="379">
        <v>0</v>
      </c>
      <c r="AH13" s="379">
        <v>6</v>
      </c>
      <c r="AI13" s="379">
        <v>0</v>
      </c>
      <c r="AJ13" s="379">
        <v>0</v>
      </c>
      <c r="AK13" s="379">
        <v>1</v>
      </c>
      <c r="AL13" s="379">
        <v>0</v>
      </c>
      <c r="AM13" s="379">
        <v>2</v>
      </c>
      <c r="AN13" s="379">
        <v>0</v>
      </c>
    </row>
    <row r="14" spans="1:40" x14ac:dyDescent="0.3">
      <c r="A14" s="379" t="s">
        <v>231</v>
      </c>
      <c r="B14" s="404">
        <v>11</v>
      </c>
      <c r="C14" s="379">
        <v>50</v>
      </c>
      <c r="D14" s="379">
        <v>2</v>
      </c>
      <c r="E14" s="379">
        <v>2</v>
      </c>
      <c r="F14" s="379">
        <v>12549</v>
      </c>
      <c r="G14" s="379">
        <v>0</v>
      </c>
      <c r="H14" s="379">
        <v>2704</v>
      </c>
      <c r="I14" s="379">
        <v>0</v>
      </c>
      <c r="J14" s="379">
        <v>0</v>
      </c>
      <c r="K14" s="379">
        <v>7843.75</v>
      </c>
      <c r="L14" s="379">
        <v>0</v>
      </c>
      <c r="M14" s="379">
        <v>0</v>
      </c>
      <c r="N14" s="379">
        <v>0</v>
      </c>
      <c r="O14" s="379">
        <v>0</v>
      </c>
      <c r="P14" s="379">
        <v>0</v>
      </c>
      <c r="Q14" s="379">
        <v>0</v>
      </c>
      <c r="R14" s="379">
        <v>0</v>
      </c>
      <c r="S14" s="379">
        <v>0</v>
      </c>
      <c r="T14" s="379">
        <v>0</v>
      </c>
      <c r="U14" s="379">
        <v>0</v>
      </c>
      <c r="V14" s="379">
        <v>0</v>
      </c>
      <c r="W14" s="379">
        <v>0</v>
      </c>
      <c r="X14" s="379">
        <v>0</v>
      </c>
      <c r="Y14" s="379">
        <v>0</v>
      </c>
      <c r="Z14" s="379">
        <v>0</v>
      </c>
      <c r="AA14" s="379">
        <v>0</v>
      </c>
      <c r="AB14" s="379">
        <v>0</v>
      </c>
      <c r="AC14" s="379">
        <v>537</v>
      </c>
      <c r="AD14" s="379">
        <v>0</v>
      </c>
      <c r="AE14" s="379">
        <v>314</v>
      </c>
      <c r="AF14" s="379">
        <v>0</v>
      </c>
      <c r="AG14" s="379">
        <v>0</v>
      </c>
      <c r="AH14" s="379">
        <v>714</v>
      </c>
      <c r="AI14" s="379">
        <v>0</v>
      </c>
      <c r="AJ14" s="379">
        <v>0</v>
      </c>
      <c r="AK14" s="379">
        <v>116.25</v>
      </c>
      <c r="AL14" s="379">
        <v>0</v>
      </c>
      <c r="AM14" s="379">
        <v>320</v>
      </c>
      <c r="AN14" s="379">
        <v>0</v>
      </c>
    </row>
    <row r="15" spans="1:40" x14ac:dyDescent="0.3">
      <c r="A15" s="379" t="s">
        <v>232</v>
      </c>
      <c r="B15" s="404">
        <v>12</v>
      </c>
      <c r="C15" s="379">
        <v>50</v>
      </c>
      <c r="D15" s="379">
        <v>2</v>
      </c>
      <c r="E15" s="379">
        <v>3</v>
      </c>
      <c r="F15" s="379">
        <v>35.5</v>
      </c>
      <c r="G15" s="379">
        <v>0</v>
      </c>
      <c r="H15" s="379">
        <v>0</v>
      </c>
      <c r="I15" s="379">
        <v>0</v>
      </c>
      <c r="J15" s="379">
        <v>0</v>
      </c>
      <c r="K15" s="379">
        <v>35.5</v>
      </c>
      <c r="L15" s="379">
        <v>0</v>
      </c>
      <c r="M15" s="379">
        <v>0</v>
      </c>
      <c r="N15" s="379">
        <v>0</v>
      </c>
      <c r="O15" s="379">
        <v>0</v>
      </c>
      <c r="P15" s="379">
        <v>0</v>
      </c>
      <c r="Q15" s="379">
        <v>0</v>
      </c>
      <c r="R15" s="379">
        <v>0</v>
      </c>
      <c r="S15" s="379">
        <v>0</v>
      </c>
      <c r="T15" s="379">
        <v>0</v>
      </c>
      <c r="U15" s="379">
        <v>0</v>
      </c>
      <c r="V15" s="379">
        <v>0</v>
      </c>
      <c r="W15" s="379">
        <v>0</v>
      </c>
      <c r="X15" s="379">
        <v>0</v>
      </c>
      <c r="Y15" s="379">
        <v>0</v>
      </c>
      <c r="Z15" s="379">
        <v>0</v>
      </c>
      <c r="AA15" s="379">
        <v>0</v>
      </c>
      <c r="AB15" s="379">
        <v>0</v>
      </c>
      <c r="AC15" s="379">
        <v>0</v>
      </c>
      <c r="AD15" s="379">
        <v>0</v>
      </c>
      <c r="AE15" s="379">
        <v>0</v>
      </c>
      <c r="AF15" s="379">
        <v>0</v>
      </c>
      <c r="AG15" s="379">
        <v>0</v>
      </c>
      <c r="AH15" s="379">
        <v>0</v>
      </c>
      <c r="AI15" s="379">
        <v>0</v>
      </c>
      <c r="AJ15" s="379">
        <v>0</v>
      </c>
      <c r="AK15" s="379">
        <v>0</v>
      </c>
      <c r="AL15" s="379">
        <v>0</v>
      </c>
      <c r="AM15" s="379">
        <v>0</v>
      </c>
      <c r="AN15" s="379">
        <v>0</v>
      </c>
    </row>
    <row r="16" spans="1:40" x14ac:dyDescent="0.3">
      <c r="A16" s="379" t="s">
        <v>220</v>
      </c>
      <c r="B16" s="404">
        <v>2015</v>
      </c>
      <c r="C16" s="379">
        <v>50</v>
      </c>
      <c r="D16" s="379">
        <v>2</v>
      </c>
      <c r="E16" s="379">
        <v>4</v>
      </c>
      <c r="F16" s="379">
        <v>865.5</v>
      </c>
      <c r="G16" s="379">
        <v>0</v>
      </c>
      <c r="H16" s="379">
        <v>618.5</v>
      </c>
      <c r="I16" s="379">
        <v>0</v>
      </c>
      <c r="J16" s="379">
        <v>0</v>
      </c>
      <c r="K16" s="379">
        <v>218.5</v>
      </c>
      <c r="L16" s="379">
        <v>0</v>
      </c>
      <c r="M16" s="379">
        <v>0</v>
      </c>
      <c r="N16" s="379">
        <v>0</v>
      </c>
      <c r="O16" s="379">
        <v>0</v>
      </c>
      <c r="P16" s="379">
        <v>0</v>
      </c>
      <c r="Q16" s="379">
        <v>0</v>
      </c>
      <c r="R16" s="379">
        <v>0</v>
      </c>
      <c r="S16" s="379">
        <v>0</v>
      </c>
      <c r="T16" s="379">
        <v>0</v>
      </c>
      <c r="U16" s="379">
        <v>0</v>
      </c>
      <c r="V16" s="379">
        <v>0</v>
      </c>
      <c r="W16" s="379">
        <v>0</v>
      </c>
      <c r="X16" s="379">
        <v>0</v>
      </c>
      <c r="Y16" s="379">
        <v>0</v>
      </c>
      <c r="Z16" s="379">
        <v>0</v>
      </c>
      <c r="AA16" s="379">
        <v>0</v>
      </c>
      <c r="AB16" s="379">
        <v>0</v>
      </c>
      <c r="AC16" s="379">
        <v>0</v>
      </c>
      <c r="AD16" s="379">
        <v>0</v>
      </c>
      <c r="AE16" s="379">
        <v>0</v>
      </c>
      <c r="AF16" s="379">
        <v>0</v>
      </c>
      <c r="AG16" s="379">
        <v>0</v>
      </c>
      <c r="AH16" s="379">
        <v>0</v>
      </c>
      <c r="AI16" s="379">
        <v>0</v>
      </c>
      <c r="AJ16" s="379">
        <v>0</v>
      </c>
      <c r="AK16" s="379">
        <v>28.5</v>
      </c>
      <c r="AL16" s="379">
        <v>0</v>
      </c>
      <c r="AM16" s="379">
        <v>0</v>
      </c>
      <c r="AN16" s="379">
        <v>0</v>
      </c>
    </row>
    <row r="17" spans="3:40" x14ac:dyDescent="0.3">
      <c r="C17" s="379">
        <v>50</v>
      </c>
      <c r="D17" s="379">
        <v>2</v>
      </c>
      <c r="E17" s="379">
        <v>6</v>
      </c>
      <c r="F17" s="379">
        <v>4129492</v>
      </c>
      <c r="G17" s="379">
        <v>0</v>
      </c>
      <c r="H17" s="379">
        <v>1992436</v>
      </c>
      <c r="I17" s="379">
        <v>0</v>
      </c>
      <c r="J17" s="379">
        <v>0</v>
      </c>
      <c r="K17" s="379">
        <v>1819719</v>
      </c>
      <c r="L17" s="379">
        <v>0</v>
      </c>
      <c r="M17" s="379">
        <v>0</v>
      </c>
      <c r="N17" s="379">
        <v>0</v>
      </c>
      <c r="O17" s="379">
        <v>0</v>
      </c>
      <c r="P17" s="379">
        <v>0</v>
      </c>
      <c r="Q17" s="379">
        <v>0</v>
      </c>
      <c r="R17" s="379">
        <v>0</v>
      </c>
      <c r="S17" s="379">
        <v>0</v>
      </c>
      <c r="T17" s="379">
        <v>0</v>
      </c>
      <c r="U17" s="379">
        <v>0</v>
      </c>
      <c r="V17" s="379">
        <v>0</v>
      </c>
      <c r="W17" s="379">
        <v>0</v>
      </c>
      <c r="X17" s="379">
        <v>0</v>
      </c>
      <c r="Y17" s="379">
        <v>0</v>
      </c>
      <c r="Z17" s="379">
        <v>0</v>
      </c>
      <c r="AA17" s="379">
        <v>0</v>
      </c>
      <c r="AB17" s="379">
        <v>0</v>
      </c>
      <c r="AC17" s="379">
        <v>75653</v>
      </c>
      <c r="AD17" s="379">
        <v>0</v>
      </c>
      <c r="AE17" s="379">
        <v>39316</v>
      </c>
      <c r="AF17" s="379">
        <v>0</v>
      </c>
      <c r="AG17" s="379">
        <v>0</v>
      </c>
      <c r="AH17" s="379">
        <v>108195</v>
      </c>
      <c r="AI17" s="379">
        <v>0</v>
      </c>
      <c r="AJ17" s="379">
        <v>0</v>
      </c>
      <c r="AK17" s="379">
        <v>47713</v>
      </c>
      <c r="AL17" s="379">
        <v>0</v>
      </c>
      <c r="AM17" s="379">
        <v>46460</v>
      </c>
      <c r="AN17" s="379">
        <v>0</v>
      </c>
    </row>
    <row r="18" spans="3:40" x14ac:dyDescent="0.3">
      <c r="C18" s="379">
        <v>50</v>
      </c>
      <c r="D18" s="379">
        <v>2</v>
      </c>
      <c r="E18" s="379">
        <v>9</v>
      </c>
      <c r="F18" s="379">
        <v>15991</v>
      </c>
      <c r="G18" s="379">
        <v>0</v>
      </c>
      <c r="H18" s="379">
        <v>0</v>
      </c>
      <c r="I18" s="379">
        <v>0</v>
      </c>
      <c r="J18" s="379">
        <v>0</v>
      </c>
      <c r="K18" s="379">
        <v>14891</v>
      </c>
      <c r="L18" s="379">
        <v>0</v>
      </c>
      <c r="M18" s="379">
        <v>0</v>
      </c>
      <c r="N18" s="379">
        <v>0</v>
      </c>
      <c r="O18" s="379">
        <v>0</v>
      </c>
      <c r="P18" s="379">
        <v>0</v>
      </c>
      <c r="Q18" s="379">
        <v>0</v>
      </c>
      <c r="R18" s="379">
        <v>0</v>
      </c>
      <c r="S18" s="379">
        <v>0</v>
      </c>
      <c r="T18" s="379">
        <v>0</v>
      </c>
      <c r="U18" s="379">
        <v>0</v>
      </c>
      <c r="V18" s="379">
        <v>0</v>
      </c>
      <c r="W18" s="379">
        <v>0</v>
      </c>
      <c r="X18" s="379">
        <v>0</v>
      </c>
      <c r="Y18" s="379">
        <v>0</v>
      </c>
      <c r="Z18" s="379">
        <v>0</v>
      </c>
      <c r="AA18" s="379">
        <v>0</v>
      </c>
      <c r="AB18" s="379">
        <v>0</v>
      </c>
      <c r="AC18" s="379">
        <v>1100</v>
      </c>
      <c r="AD18" s="379">
        <v>0</v>
      </c>
      <c r="AE18" s="379">
        <v>0</v>
      </c>
      <c r="AF18" s="379">
        <v>0</v>
      </c>
      <c r="AG18" s="379">
        <v>0</v>
      </c>
      <c r="AH18" s="379">
        <v>0</v>
      </c>
      <c r="AI18" s="379">
        <v>0</v>
      </c>
      <c r="AJ18" s="379">
        <v>0</v>
      </c>
      <c r="AK18" s="379">
        <v>0</v>
      </c>
      <c r="AL18" s="379">
        <v>0</v>
      </c>
      <c r="AM18" s="379">
        <v>0</v>
      </c>
      <c r="AN18" s="379">
        <v>0</v>
      </c>
    </row>
    <row r="19" spans="3:40" x14ac:dyDescent="0.3">
      <c r="C19" s="379">
        <v>50</v>
      </c>
      <c r="D19" s="379">
        <v>2</v>
      </c>
      <c r="E19" s="379">
        <v>10</v>
      </c>
      <c r="F19" s="379">
        <v>12360</v>
      </c>
      <c r="G19" s="379">
        <v>0</v>
      </c>
      <c r="H19" s="379">
        <v>2400</v>
      </c>
      <c r="I19" s="379">
        <v>0</v>
      </c>
      <c r="J19" s="379">
        <v>0</v>
      </c>
      <c r="K19" s="379">
        <v>9960</v>
      </c>
      <c r="L19" s="379">
        <v>0</v>
      </c>
      <c r="M19" s="379">
        <v>0</v>
      </c>
      <c r="N19" s="379">
        <v>0</v>
      </c>
      <c r="O19" s="379">
        <v>0</v>
      </c>
      <c r="P19" s="379">
        <v>0</v>
      </c>
      <c r="Q19" s="379">
        <v>0</v>
      </c>
      <c r="R19" s="379">
        <v>0</v>
      </c>
      <c r="S19" s="379">
        <v>0</v>
      </c>
      <c r="T19" s="379">
        <v>0</v>
      </c>
      <c r="U19" s="379">
        <v>0</v>
      </c>
      <c r="V19" s="379">
        <v>0</v>
      </c>
      <c r="W19" s="379">
        <v>0</v>
      </c>
      <c r="X19" s="379">
        <v>0</v>
      </c>
      <c r="Y19" s="379">
        <v>0</v>
      </c>
      <c r="Z19" s="379">
        <v>0</v>
      </c>
      <c r="AA19" s="379">
        <v>0</v>
      </c>
      <c r="AB19" s="379">
        <v>0</v>
      </c>
      <c r="AC19" s="379">
        <v>0</v>
      </c>
      <c r="AD19" s="379">
        <v>0</v>
      </c>
      <c r="AE19" s="379">
        <v>0</v>
      </c>
      <c r="AF19" s="379">
        <v>0</v>
      </c>
      <c r="AG19" s="379">
        <v>0</v>
      </c>
      <c r="AH19" s="379">
        <v>0</v>
      </c>
      <c r="AI19" s="379">
        <v>0</v>
      </c>
      <c r="AJ19" s="379">
        <v>0</v>
      </c>
      <c r="AK19" s="379">
        <v>0</v>
      </c>
      <c r="AL19" s="379">
        <v>0</v>
      </c>
      <c r="AM19" s="379">
        <v>0</v>
      </c>
      <c r="AN19" s="379">
        <v>0</v>
      </c>
    </row>
    <row r="20" spans="3:40" x14ac:dyDescent="0.3">
      <c r="C20" s="379">
        <v>50</v>
      </c>
      <c r="D20" s="379">
        <v>2</v>
      </c>
      <c r="E20" s="379">
        <v>11</v>
      </c>
      <c r="F20" s="379">
        <v>8068</v>
      </c>
      <c r="G20" s="379">
        <v>0</v>
      </c>
      <c r="H20" s="379">
        <v>5901.333333333333</v>
      </c>
      <c r="I20" s="379">
        <v>0</v>
      </c>
      <c r="J20" s="379">
        <v>0</v>
      </c>
      <c r="K20" s="379">
        <v>2166.6666666666665</v>
      </c>
      <c r="L20" s="379">
        <v>0</v>
      </c>
      <c r="M20" s="379">
        <v>0</v>
      </c>
      <c r="N20" s="379">
        <v>0</v>
      </c>
      <c r="O20" s="379">
        <v>0</v>
      </c>
      <c r="P20" s="379">
        <v>0</v>
      </c>
      <c r="Q20" s="379">
        <v>0</v>
      </c>
      <c r="R20" s="379">
        <v>0</v>
      </c>
      <c r="S20" s="379">
        <v>0</v>
      </c>
      <c r="T20" s="379">
        <v>0</v>
      </c>
      <c r="U20" s="379">
        <v>0</v>
      </c>
      <c r="V20" s="379">
        <v>0</v>
      </c>
      <c r="W20" s="379">
        <v>0</v>
      </c>
      <c r="X20" s="379">
        <v>0</v>
      </c>
      <c r="Y20" s="379">
        <v>0</v>
      </c>
      <c r="Z20" s="379">
        <v>0</v>
      </c>
      <c r="AA20" s="379">
        <v>0</v>
      </c>
      <c r="AB20" s="379">
        <v>0</v>
      </c>
      <c r="AC20" s="379">
        <v>0</v>
      </c>
      <c r="AD20" s="379">
        <v>0</v>
      </c>
      <c r="AE20" s="379">
        <v>0</v>
      </c>
      <c r="AF20" s="379">
        <v>0</v>
      </c>
      <c r="AG20" s="379">
        <v>0</v>
      </c>
      <c r="AH20" s="379">
        <v>0</v>
      </c>
      <c r="AI20" s="379">
        <v>0</v>
      </c>
      <c r="AJ20" s="379">
        <v>0</v>
      </c>
      <c r="AK20" s="379">
        <v>0</v>
      </c>
      <c r="AL20" s="379">
        <v>0</v>
      </c>
      <c r="AM20" s="379">
        <v>0</v>
      </c>
      <c r="AN20" s="379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5.4414062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551" t="s">
        <v>3406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</row>
    <row r="3" spans="1:19" ht="14.4" customHeight="1" thickBot="1" x14ac:dyDescent="0.35">
      <c r="A3" s="350" t="s">
        <v>160</v>
      </c>
      <c r="B3" s="351">
        <f>SUBTOTAL(9,B6:B1048576)</f>
        <v>172774</v>
      </c>
      <c r="C3" s="352">
        <f t="shared" ref="C3:R3" si="0">SUBTOTAL(9,C6:C1048576)</f>
        <v>2</v>
      </c>
      <c r="D3" s="352">
        <f t="shared" si="0"/>
        <v>191433</v>
      </c>
      <c r="E3" s="352">
        <f t="shared" si="0"/>
        <v>2.2833920380665367</v>
      </c>
      <c r="F3" s="352">
        <f t="shared" si="0"/>
        <v>234325</v>
      </c>
      <c r="G3" s="353">
        <f>IF(B3&lt;&gt;0,F3/B3,"")</f>
        <v>1.3562515193258244</v>
      </c>
      <c r="H3" s="354">
        <f t="shared" si="0"/>
        <v>0</v>
      </c>
      <c r="I3" s="352">
        <f t="shared" si="0"/>
        <v>0</v>
      </c>
      <c r="J3" s="352">
        <f t="shared" si="0"/>
        <v>0</v>
      </c>
      <c r="K3" s="352">
        <f t="shared" si="0"/>
        <v>0</v>
      </c>
      <c r="L3" s="352">
        <f t="shared" si="0"/>
        <v>0</v>
      </c>
      <c r="M3" s="355" t="str">
        <f>IF(H3&lt;&gt;0,L3/H3,"")</f>
        <v/>
      </c>
      <c r="N3" s="351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123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3"/>
      <c r="B5" s="784">
        <v>2013</v>
      </c>
      <c r="C5" s="785"/>
      <c r="D5" s="785">
        <v>2014</v>
      </c>
      <c r="E5" s="785"/>
      <c r="F5" s="785">
        <v>2015</v>
      </c>
      <c r="G5" s="786" t="s">
        <v>2</v>
      </c>
      <c r="H5" s="784">
        <v>2013</v>
      </c>
      <c r="I5" s="785"/>
      <c r="J5" s="785">
        <v>2014</v>
      </c>
      <c r="K5" s="785"/>
      <c r="L5" s="785">
        <v>2015</v>
      </c>
      <c r="M5" s="786" t="s">
        <v>2</v>
      </c>
      <c r="N5" s="784">
        <v>2013</v>
      </c>
      <c r="O5" s="785"/>
      <c r="P5" s="785">
        <v>2014</v>
      </c>
      <c r="Q5" s="785"/>
      <c r="R5" s="785">
        <v>2015</v>
      </c>
      <c r="S5" s="786" t="s">
        <v>2</v>
      </c>
    </row>
    <row r="6" spans="1:19" ht="14.4" customHeight="1" x14ac:dyDescent="0.3">
      <c r="A6" s="748" t="s">
        <v>3401</v>
      </c>
      <c r="B6" s="787">
        <v>83293</v>
      </c>
      <c r="C6" s="734">
        <v>1</v>
      </c>
      <c r="D6" s="787">
        <v>173467</v>
      </c>
      <c r="E6" s="734">
        <v>2.0826119842003528</v>
      </c>
      <c r="F6" s="787">
        <v>228487</v>
      </c>
      <c r="G6" s="739">
        <v>2.7431716951004286</v>
      </c>
      <c r="H6" s="787"/>
      <c r="I6" s="734"/>
      <c r="J6" s="787"/>
      <c r="K6" s="734"/>
      <c r="L6" s="787"/>
      <c r="M6" s="739"/>
      <c r="N6" s="787"/>
      <c r="O6" s="734"/>
      <c r="P6" s="787"/>
      <c r="Q6" s="734"/>
      <c r="R6" s="787"/>
      <c r="S6" s="235"/>
    </row>
    <row r="7" spans="1:19" ht="14.4" customHeight="1" thickBot="1" x14ac:dyDescent="0.35">
      <c r="A7" s="789" t="s">
        <v>3402</v>
      </c>
      <c r="B7" s="788">
        <v>89481</v>
      </c>
      <c r="C7" s="667">
        <v>1</v>
      </c>
      <c r="D7" s="788">
        <v>17966</v>
      </c>
      <c r="E7" s="667">
        <v>0.20078005386618389</v>
      </c>
      <c r="F7" s="788">
        <v>5838</v>
      </c>
      <c r="G7" s="678">
        <v>6.5242900727528752E-2</v>
      </c>
      <c r="H7" s="788"/>
      <c r="I7" s="667"/>
      <c r="J7" s="788"/>
      <c r="K7" s="667"/>
      <c r="L7" s="788"/>
      <c r="M7" s="678"/>
      <c r="N7" s="788"/>
      <c r="O7" s="667"/>
      <c r="P7" s="788"/>
      <c r="Q7" s="667"/>
      <c r="R7" s="788"/>
      <c r="S7" s="701"/>
    </row>
    <row r="8" spans="1:19" ht="14.4" customHeight="1" x14ac:dyDescent="0.3">
      <c r="A8" s="790" t="s">
        <v>3403</v>
      </c>
    </row>
    <row r="9" spans="1:19" ht="14.4" customHeight="1" x14ac:dyDescent="0.3">
      <c r="A9" s="791" t="s">
        <v>3404</v>
      </c>
    </row>
    <row r="10" spans="1:19" ht="14.4" customHeight="1" x14ac:dyDescent="0.3">
      <c r="A10" s="790" t="s">
        <v>3405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7">
    <tabColor theme="0" tint="-0.249977111117893"/>
    <pageSetUpPr fitToPage="1"/>
  </sheetPr>
  <dimension ref="A1:G20"/>
  <sheetViews>
    <sheetView showGridLines="0" showRowColHeaders="0" workbookViewId="0">
      <pane ySplit="5" topLeftCell="A6" activePane="bottomLeft" state="frozen"/>
      <selection activeCell="A2" sqref="A2:M2"/>
      <selection pane="bottomLeft" sqref="A1:G1"/>
    </sheetView>
  </sheetViews>
  <sheetFormatPr defaultRowHeight="14.4" customHeight="1" x14ac:dyDescent="0.3"/>
  <cols>
    <col min="1" max="1" width="46.6640625" style="254" bestFit="1" customWidth="1"/>
    <col min="2" max="4" width="7.77734375" style="337" customWidth="1"/>
    <col min="5" max="7" width="7.77734375" style="219" customWidth="1"/>
    <col min="8" max="16384" width="8.88671875" style="254"/>
  </cols>
  <sheetData>
    <row r="1" spans="1:7" ht="18.600000000000001" customHeight="1" thickBot="1" x14ac:dyDescent="0.4">
      <c r="A1" s="551" t="s">
        <v>3409</v>
      </c>
      <c r="B1" s="478"/>
      <c r="C1" s="478"/>
      <c r="D1" s="478"/>
      <c r="E1" s="478"/>
      <c r="F1" s="478"/>
      <c r="G1" s="478"/>
    </row>
    <row r="2" spans="1:7" ht="14.4" customHeight="1" thickBot="1" x14ac:dyDescent="0.35">
      <c r="A2" s="383" t="s">
        <v>334</v>
      </c>
      <c r="B2" s="224"/>
      <c r="C2" s="224"/>
      <c r="D2" s="224"/>
      <c r="E2" s="224"/>
      <c r="F2" s="224"/>
      <c r="G2" s="224"/>
    </row>
    <row r="3" spans="1:7" ht="14.4" customHeight="1" thickBot="1" x14ac:dyDescent="0.35">
      <c r="A3" s="350" t="s">
        <v>160</v>
      </c>
      <c r="B3" s="468">
        <f t="shared" ref="B3:G3" si="0">SUBTOTAL(9,B6:B1048576)</f>
        <v>489</v>
      </c>
      <c r="C3" s="469">
        <f t="shared" si="0"/>
        <v>509</v>
      </c>
      <c r="D3" s="469">
        <f t="shared" si="0"/>
        <v>610</v>
      </c>
      <c r="E3" s="354">
        <f t="shared" si="0"/>
        <v>172774</v>
      </c>
      <c r="F3" s="352">
        <f t="shared" si="0"/>
        <v>191433</v>
      </c>
      <c r="G3" s="470">
        <f t="shared" si="0"/>
        <v>234325</v>
      </c>
    </row>
    <row r="4" spans="1:7" ht="14.4" customHeight="1" x14ac:dyDescent="0.3">
      <c r="A4" s="552" t="s">
        <v>168</v>
      </c>
      <c r="B4" s="553" t="s">
        <v>311</v>
      </c>
      <c r="C4" s="554"/>
      <c r="D4" s="554"/>
      <c r="E4" s="556" t="s">
        <v>124</v>
      </c>
      <c r="F4" s="557"/>
      <c r="G4" s="558"/>
    </row>
    <row r="5" spans="1:7" ht="14.4" customHeight="1" thickBot="1" x14ac:dyDescent="0.35">
      <c r="A5" s="783"/>
      <c r="B5" s="784">
        <v>2013</v>
      </c>
      <c r="C5" s="785">
        <v>2014</v>
      </c>
      <c r="D5" s="785">
        <v>2015</v>
      </c>
      <c r="E5" s="784">
        <v>2013</v>
      </c>
      <c r="F5" s="785">
        <v>2014</v>
      </c>
      <c r="G5" s="792">
        <v>2015</v>
      </c>
    </row>
    <row r="6" spans="1:7" ht="14.4" customHeight="1" x14ac:dyDescent="0.3">
      <c r="A6" s="748" t="s">
        <v>3407</v>
      </c>
      <c r="B6" s="229">
        <v>147</v>
      </c>
      <c r="C6" s="229">
        <v>187</v>
      </c>
      <c r="D6" s="229">
        <v>247</v>
      </c>
      <c r="E6" s="787">
        <v>29655</v>
      </c>
      <c r="F6" s="787">
        <v>59026</v>
      </c>
      <c r="G6" s="793">
        <v>91614</v>
      </c>
    </row>
    <row r="7" spans="1:7" ht="14.4" customHeight="1" x14ac:dyDescent="0.3">
      <c r="A7" s="687" t="s">
        <v>3408</v>
      </c>
      <c r="B7" s="664">
        <v>1</v>
      </c>
      <c r="C7" s="664"/>
      <c r="D7" s="664"/>
      <c r="E7" s="794">
        <v>163</v>
      </c>
      <c r="F7" s="794"/>
      <c r="G7" s="795"/>
    </row>
    <row r="8" spans="1:7" ht="14.4" customHeight="1" x14ac:dyDescent="0.3">
      <c r="A8" s="687" t="s">
        <v>1915</v>
      </c>
      <c r="B8" s="664">
        <v>74</v>
      </c>
      <c r="C8" s="664">
        <v>73</v>
      </c>
      <c r="D8" s="664">
        <v>54</v>
      </c>
      <c r="E8" s="794">
        <v>42610</v>
      </c>
      <c r="F8" s="794">
        <v>38163</v>
      </c>
      <c r="G8" s="795">
        <v>34653</v>
      </c>
    </row>
    <row r="9" spans="1:7" ht="14.4" customHeight="1" x14ac:dyDescent="0.3">
      <c r="A9" s="687" t="s">
        <v>1916</v>
      </c>
      <c r="B9" s="664">
        <v>14</v>
      </c>
      <c r="C9" s="664">
        <v>6</v>
      </c>
      <c r="D9" s="664">
        <v>4</v>
      </c>
      <c r="E9" s="794">
        <v>1375</v>
      </c>
      <c r="F9" s="794">
        <v>428</v>
      </c>
      <c r="G9" s="795">
        <v>375</v>
      </c>
    </row>
    <row r="10" spans="1:7" ht="14.4" customHeight="1" x14ac:dyDescent="0.3">
      <c r="A10" s="687" t="s">
        <v>1917</v>
      </c>
      <c r="B10" s="664">
        <v>11</v>
      </c>
      <c r="C10" s="664">
        <v>8</v>
      </c>
      <c r="D10" s="664">
        <v>6</v>
      </c>
      <c r="E10" s="794">
        <v>1276</v>
      </c>
      <c r="F10" s="794">
        <v>588</v>
      </c>
      <c r="G10" s="795">
        <v>620</v>
      </c>
    </row>
    <row r="11" spans="1:7" ht="14.4" customHeight="1" x14ac:dyDescent="0.3">
      <c r="A11" s="687" t="s">
        <v>1920</v>
      </c>
      <c r="B11" s="664">
        <v>124</v>
      </c>
      <c r="C11" s="664">
        <v>96</v>
      </c>
      <c r="D11" s="664">
        <v>127</v>
      </c>
      <c r="E11" s="794">
        <v>35771</v>
      </c>
      <c r="F11" s="794">
        <v>11843</v>
      </c>
      <c r="G11" s="795">
        <v>21020</v>
      </c>
    </row>
    <row r="12" spans="1:7" ht="14.4" customHeight="1" x14ac:dyDescent="0.3">
      <c r="A12" s="687" t="s">
        <v>1921</v>
      </c>
      <c r="B12" s="664">
        <v>48</v>
      </c>
      <c r="C12" s="664">
        <v>84</v>
      </c>
      <c r="D12" s="664">
        <v>87</v>
      </c>
      <c r="E12" s="794">
        <v>36537</v>
      </c>
      <c r="F12" s="794">
        <v>47689</v>
      </c>
      <c r="G12" s="795">
        <v>53973</v>
      </c>
    </row>
    <row r="13" spans="1:7" ht="14.4" customHeight="1" x14ac:dyDescent="0.3">
      <c r="A13" s="687" t="s">
        <v>1922</v>
      </c>
      <c r="B13" s="664">
        <v>1</v>
      </c>
      <c r="C13" s="664">
        <v>2</v>
      </c>
      <c r="D13" s="664">
        <v>2</v>
      </c>
      <c r="E13" s="794">
        <v>116</v>
      </c>
      <c r="F13" s="794">
        <v>199</v>
      </c>
      <c r="G13" s="795">
        <v>199</v>
      </c>
    </row>
    <row r="14" spans="1:7" ht="14.4" customHeight="1" x14ac:dyDescent="0.3">
      <c r="A14" s="687" t="s">
        <v>1923</v>
      </c>
      <c r="B14" s="664">
        <v>5</v>
      </c>
      <c r="C14" s="664"/>
      <c r="D14" s="664">
        <v>1</v>
      </c>
      <c r="E14" s="794">
        <v>335</v>
      </c>
      <c r="F14" s="794"/>
      <c r="G14" s="795">
        <v>210</v>
      </c>
    </row>
    <row r="15" spans="1:7" ht="14.4" customHeight="1" x14ac:dyDescent="0.3">
      <c r="A15" s="687" t="s">
        <v>1924</v>
      </c>
      <c r="B15" s="664">
        <v>3</v>
      </c>
      <c r="C15" s="664"/>
      <c r="D15" s="664">
        <v>10</v>
      </c>
      <c r="E15" s="794">
        <v>150</v>
      </c>
      <c r="F15" s="794"/>
      <c r="G15" s="795">
        <v>1032</v>
      </c>
    </row>
    <row r="16" spans="1:7" ht="14.4" customHeight="1" x14ac:dyDescent="0.3">
      <c r="A16" s="687" t="s">
        <v>1925</v>
      </c>
      <c r="B16" s="664">
        <v>61</v>
      </c>
      <c r="C16" s="664">
        <v>53</v>
      </c>
      <c r="D16" s="664">
        <v>62</v>
      </c>
      <c r="E16" s="794">
        <v>24786</v>
      </c>
      <c r="F16" s="794">
        <v>33497</v>
      </c>
      <c r="G16" s="795">
        <v>29678</v>
      </c>
    </row>
    <row r="17" spans="1:7" ht="14.4" customHeight="1" thickBot="1" x14ac:dyDescent="0.35">
      <c r="A17" s="789" t="s">
        <v>1918</v>
      </c>
      <c r="B17" s="670"/>
      <c r="C17" s="670"/>
      <c r="D17" s="670">
        <v>10</v>
      </c>
      <c r="E17" s="788"/>
      <c r="F17" s="788"/>
      <c r="G17" s="796">
        <v>951</v>
      </c>
    </row>
    <row r="18" spans="1:7" ht="14.4" customHeight="1" x14ac:dyDescent="0.3">
      <c r="A18" s="790" t="s">
        <v>3403</v>
      </c>
    </row>
    <row r="19" spans="1:7" ht="14.4" customHeight="1" x14ac:dyDescent="0.3">
      <c r="A19" s="791" t="s">
        <v>3404</v>
      </c>
    </row>
    <row r="20" spans="1:7" ht="14.4" customHeight="1" x14ac:dyDescent="0.3">
      <c r="A20" s="790" t="s">
        <v>3405</v>
      </c>
    </row>
  </sheetData>
  <autoFilter ref="A4:A5"/>
  <mergeCells count="4">
    <mergeCell ref="A1:G1"/>
    <mergeCell ref="A4:A5"/>
    <mergeCell ref="B4:D4"/>
    <mergeCell ref="E4:G4"/>
  </mergeCells>
  <conditionalFormatting sqref="D6:D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{F3BF975A-B032-4C58-A0E0-75CB633454E1}</x14:id>
        </ext>
      </extLst>
    </cfRule>
  </conditionalFormatting>
  <conditionalFormatting sqref="G6:G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{7FB33817-9FF7-418A-9ACC-D9997C12EA29}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3BF975A-B032-4C58-A0E0-75CB633454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D6:D1048576</xm:sqref>
        </x14:conditionalFormatting>
        <x14:conditionalFormatting xmlns:xm="http://schemas.microsoft.com/office/excel/2006/main">
          <x14:cfRule type="dataBar" id="{7FB33817-9FF7-418A-9ACC-D9997C12EA2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G6:G1048576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54" bestFit="1" customWidth="1"/>
    <col min="2" max="2" width="2.109375" style="254" bestFit="1" customWidth="1"/>
    <col min="3" max="3" width="8" style="254" customWidth="1"/>
    <col min="4" max="4" width="50.88671875" style="254" bestFit="1" customWidth="1"/>
    <col min="5" max="6" width="11.109375" style="337" customWidth="1"/>
    <col min="7" max="8" width="9.33203125" style="254" hidden="1" customWidth="1"/>
    <col min="9" max="10" width="11.109375" style="337" customWidth="1"/>
    <col min="11" max="12" width="9.33203125" style="254" hidden="1" customWidth="1"/>
    <col min="13" max="14" width="11.109375" style="337" customWidth="1"/>
    <col min="15" max="15" width="11.109375" style="340" customWidth="1"/>
    <col min="16" max="16" width="11.109375" style="337" customWidth="1"/>
    <col min="17" max="16384" width="8.88671875" style="254"/>
  </cols>
  <sheetData>
    <row r="1" spans="1:16" ht="18.600000000000001" customHeight="1" thickBot="1" x14ac:dyDescent="0.4">
      <c r="A1" s="478" t="s">
        <v>3471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</row>
    <row r="2" spans="1:16" ht="14.4" customHeight="1" thickBot="1" x14ac:dyDescent="0.35">
      <c r="A2" s="383" t="s">
        <v>334</v>
      </c>
      <c r="B2" s="255"/>
      <c r="C2" s="467"/>
      <c r="D2" s="255"/>
      <c r="E2" s="358"/>
      <c r="F2" s="358"/>
      <c r="G2" s="255"/>
      <c r="H2" s="255"/>
      <c r="I2" s="358"/>
      <c r="J2" s="358"/>
      <c r="K2" s="255"/>
      <c r="L2" s="255"/>
      <c r="M2" s="358"/>
      <c r="N2" s="358"/>
      <c r="O2" s="359"/>
      <c r="P2" s="358"/>
    </row>
    <row r="3" spans="1:16" ht="14.4" customHeight="1" thickBot="1" x14ac:dyDescent="0.35">
      <c r="D3" s="112" t="s">
        <v>160</v>
      </c>
      <c r="E3" s="211">
        <f t="shared" ref="E3:N3" si="0">SUBTOTAL(9,E6:E1048576)</f>
        <v>489</v>
      </c>
      <c r="F3" s="212">
        <f t="shared" si="0"/>
        <v>172774</v>
      </c>
      <c r="G3" s="78"/>
      <c r="H3" s="78"/>
      <c r="I3" s="212">
        <f t="shared" si="0"/>
        <v>509</v>
      </c>
      <c r="J3" s="212">
        <f t="shared" si="0"/>
        <v>191433</v>
      </c>
      <c r="K3" s="78"/>
      <c r="L3" s="78"/>
      <c r="M3" s="212">
        <f t="shared" si="0"/>
        <v>610</v>
      </c>
      <c r="N3" s="212">
        <f t="shared" si="0"/>
        <v>234325</v>
      </c>
      <c r="O3" s="79">
        <f>IF(F3=0,0,N3/F3)</f>
        <v>1.3562515193258244</v>
      </c>
      <c r="P3" s="213">
        <f>IF(M3=0,0,N3/M3)</f>
        <v>384.13934426229508</v>
      </c>
    </row>
    <row r="4" spans="1:16" ht="14.4" customHeight="1" x14ac:dyDescent="0.3">
      <c r="A4" s="560" t="s">
        <v>119</v>
      </c>
      <c r="B4" s="561" t="s">
        <v>120</v>
      </c>
      <c r="C4" s="566" t="s">
        <v>90</v>
      </c>
      <c r="D4" s="562" t="s">
        <v>81</v>
      </c>
      <c r="E4" s="563">
        <v>2013</v>
      </c>
      <c r="F4" s="564"/>
      <c r="G4" s="210"/>
      <c r="H4" s="210"/>
      <c r="I4" s="563">
        <v>2014</v>
      </c>
      <c r="J4" s="564"/>
      <c r="K4" s="210"/>
      <c r="L4" s="210"/>
      <c r="M4" s="563">
        <v>2015</v>
      </c>
      <c r="N4" s="564"/>
      <c r="O4" s="565" t="s">
        <v>2</v>
      </c>
      <c r="P4" s="559" t="s">
        <v>122</v>
      </c>
    </row>
    <row r="5" spans="1:16" ht="14.4" customHeight="1" thickBot="1" x14ac:dyDescent="0.35">
      <c r="A5" s="797"/>
      <c r="B5" s="798"/>
      <c r="C5" s="799"/>
      <c r="D5" s="800"/>
      <c r="E5" s="801" t="s">
        <v>91</v>
      </c>
      <c r="F5" s="802" t="s">
        <v>14</v>
      </c>
      <c r="G5" s="803"/>
      <c r="H5" s="803"/>
      <c r="I5" s="801" t="s">
        <v>91</v>
      </c>
      <c r="J5" s="802" t="s">
        <v>14</v>
      </c>
      <c r="K5" s="803"/>
      <c r="L5" s="803"/>
      <c r="M5" s="801" t="s">
        <v>91</v>
      </c>
      <c r="N5" s="802" t="s">
        <v>14</v>
      </c>
      <c r="O5" s="804"/>
      <c r="P5" s="805"/>
    </row>
    <row r="6" spans="1:16" ht="14.4" customHeight="1" x14ac:dyDescent="0.3">
      <c r="A6" s="733" t="s">
        <v>3410</v>
      </c>
      <c r="B6" s="734" t="s">
        <v>3411</v>
      </c>
      <c r="C6" s="734" t="s">
        <v>3412</v>
      </c>
      <c r="D6" s="734" t="s">
        <v>3413</v>
      </c>
      <c r="E6" s="229">
        <v>4</v>
      </c>
      <c r="F6" s="229">
        <v>136</v>
      </c>
      <c r="G6" s="734">
        <v>1</v>
      </c>
      <c r="H6" s="734">
        <v>34</v>
      </c>
      <c r="I6" s="229">
        <v>57</v>
      </c>
      <c r="J6" s="229">
        <v>1938</v>
      </c>
      <c r="K6" s="734">
        <v>14.25</v>
      </c>
      <c r="L6" s="734">
        <v>34</v>
      </c>
      <c r="M6" s="229">
        <v>84</v>
      </c>
      <c r="N6" s="229">
        <v>2940</v>
      </c>
      <c r="O6" s="739">
        <v>21.617647058823529</v>
      </c>
      <c r="P6" s="747">
        <v>35</v>
      </c>
    </row>
    <row r="7" spans="1:16" ht="14.4" customHeight="1" x14ac:dyDescent="0.3">
      <c r="A7" s="660" t="s">
        <v>3410</v>
      </c>
      <c r="B7" s="661" t="s">
        <v>3411</v>
      </c>
      <c r="C7" s="661" t="s">
        <v>3414</v>
      </c>
      <c r="D7" s="661" t="s">
        <v>3415</v>
      </c>
      <c r="E7" s="664"/>
      <c r="F7" s="664"/>
      <c r="G7" s="661"/>
      <c r="H7" s="661"/>
      <c r="I7" s="664">
        <v>1</v>
      </c>
      <c r="J7" s="664">
        <v>645</v>
      </c>
      <c r="K7" s="661"/>
      <c r="L7" s="661">
        <v>645</v>
      </c>
      <c r="M7" s="664"/>
      <c r="N7" s="664"/>
      <c r="O7" s="677"/>
      <c r="P7" s="665"/>
    </row>
    <row r="8" spans="1:16" ht="14.4" customHeight="1" x14ac:dyDescent="0.3">
      <c r="A8" s="660" t="s">
        <v>3410</v>
      </c>
      <c r="B8" s="661" t="s">
        <v>3411</v>
      </c>
      <c r="C8" s="661" t="s">
        <v>3416</v>
      </c>
      <c r="D8" s="661" t="s">
        <v>3417</v>
      </c>
      <c r="E8" s="664"/>
      <c r="F8" s="664"/>
      <c r="G8" s="661"/>
      <c r="H8" s="661"/>
      <c r="I8" s="664">
        <v>22</v>
      </c>
      <c r="J8" s="664">
        <v>2178</v>
      </c>
      <c r="K8" s="661"/>
      <c r="L8" s="661">
        <v>99</v>
      </c>
      <c r="M8" s="664">
        <v>33</v>
      </c>
      <c r="N8" s="664">
        <v>3300</v>
      </c>
      <c r="O8" s="677"/>
      <c r="P8" s="665">
        <v>100</v>
      </c>
    </row>
    <row r="9" spans="1:16" ht="14.4" customHeight="1" x14ac:dyDescent="0.3">
      <c r="A9" s="660" t="s">
        <v>3410</v>
      </c>
      <c r="B9" s="661" t="s">
        <v>3411</v>
      </c>
      <c r="C9" s="661" t="s">
        <v>3418</v>
      </c>
      <c r="D9" s="661" t="s">
        <v>3419</v>
      </c>
      <c r="E9" s="664">
        <v>4</v>
      </c>
      <c r="F9" s="664">
        <v>3760</v>
      </c>
      <c r="G9" s="661">
        <v>1</v>
      </c>
      <c r="H9" s="661">
        <v>940</v>
      </c>
      <c r="I9" s="664">
        <v>7</v>
      </c>
      <c r="J9" s="664">
        <v>6580</v>
      </c>
      <c r="K9" s="661">
        <v>1.75</v>
      </c>
      <c r="L9" s="661">
        <v>940</v>
      </c>
      <c r="M9" s="664">
        <v>7</v>
      </c>
      <c r="N9" s="664">
        <v>6636</v>
      </c>
      <c r="O9" s="677">
        <v>1.7648936170212766</v>
      </c>
      <c r="P9" s="665">
        <v>948</v>
      </c>
    </row>
    <row r="10" spans="1:16" ht="14.4" customHeight="1" x14ac:dyDescent="0.3">
      <c r="A10" s="660" t="s">
        <v>3410</v>
      </c>
      <c r="B10" s="661" t="s">
        <v>3411</v>
      </c>
      <c r="C10" s="661" t="s">
        <v>3420</v>
      </c>
      <c r="D10" s="661" t="s">
        <v>3421</v>
      </c>
      <c r="E10" s="664">
        <v>4</v>
      </c>
      <c r="F10" s="664">
        <v>1644</v>
      </c>
      <c r="G10" s="661">
        <v>1</v>
      </c>
      <c r="H10" s="661">
        <v>411</v>
      </c>
      <c r="I10" s="664">
        <v>2</v>
      </c>
      <c r="J10" s="664">
        <v>822</v>
      </c>
      <c r="K10" s="661">
        <v>0.5</v>
      </c>
      <c r="L10" s="661">
        <v>411</v>
      </c>
      <c r="M10" s="664">
        <v>3</v>
      </c>
      <c r="N10" s="664">
        <v>1245</v>
      </c>
      <c r="O10" s="677">
        <v>0.75729927007299269</v>
      </c>
      <c r="P10" s="665">
        <v>415</v>
      </c>
    </row>
    <row r="11" spans="1:16" ht="14.4" customHeight="1" x14ac:dyDescent="0.3">
      <c r="A11" s="660" t="s">
        <v>3410</v>
      </c>
      <c r="B11" s="661" t="s">
        <v>3411</v>
      </c>
      <c r="C11" s="661" t="s">
        <v>3422</v>
      </c>
      <c r="D11" s="661" t="s">
        <v>3423</v>
      </c>
      <c r="E11" s="664">
        <v>54</v>
      </c>
      <c r="F11" s="664">
        <v>52920</v>
      </c>
      <c r="G11" s="661">
        <v>1</v>
      </c>
      <c r="H11" s="661">
        <v>980</v>
      </c>
      <c r="I11" s="664">
        <v>96</v>
      </c>
      <c r="J11" s="664">
        <v>94080</v>
      </c>
      <c r="K11" s="661">
        <v>1.7777777777777777</v>
      </c>
      <c r="L11" s="661">
        <v>980</v>
      </c>
      <c r="M11" s="664">
        <v>133</v>
      </c>
      <c r="N11" s="664">
        <v>131005</v>
      </c>
      <c r="O11" s="677">
        <v>2.4755291005291005</v>
      </c>
      <c r="P11" s="665">
        <v>985</v>
      </c>
    </row>
    <row r="12" spans="1:16" ht="14.4" customHeight="1" x14ac:dyDescent="0.3">
      <c r="A12" s="660" t="s">
        <v>3410</v>
      </c>
      <c r="B12" s="661" t="s">
        <v>3411</v>
      </c>
      <c r="C12" s="661" t="s">
        <v>3424</v>
      </c>
      <c r="D12" s="661" t="s">
        <v>3425</v>
      </c>
      <c r="E12" s="664">
        <v>1</v>
      </c>
      <c r="F12" s="664">
        <v>2077</v>
      </c>
      <c r="G12" s="661">
        <v>1</v>
      </c>
      <c r="H12" s="661">
        <v>2077</v>
      </c>
      <c r="I12" s="664">
        <v>9</v>
      </c>
      <c r="J12" s="664">
        <v>18693</v>
      </c>
      <c r="K12" s="661">
        <v>9</v>
      </c>
      <c r="L12" s="661">
        <v>2077</v>
      </c>
      <c r="M12" s="664">
        <v>8</v>
      </c>
      <c r="N12" s="664">
        <v>16688</v>
      </c>
      <c r="O12" s="677">
        <v>8.0346653827636008</v>
      </c>
      <c r="P12" s="665">
        <v>2086</v>
      </c>
    </row>
    <row r="13" spans="1:16" ht="14.4" customHeight="1" x14ac:dyDescent="0.3">
      <c r="A13" s="660" t="s">
        <v>3410</v>
      </c>
      <c r="B13" s="661" t="s">
        <v>3411</v>
      </c>
      <c r="C13" s="661" t="s">
        <v>3426</v>
      </c>
      <c r="D13" s="661" t="s">
        <v>3427</v>
      </c>
      <c r="E13" s="664"/>
      <c r="F13" s="664"/>
      <c r="G13" s="661"/>
      <c r="H13" s="661"/>
      <c r="I13" s="664">
        <v>1</v>
      </c>
      <c r="J13" s="664">
        <v>831</v>
      </c>
      <c r="K13" s="661"/>
      <c r="L13" s="661">
        <v>831</v>
      </c>
      <c r="M13" s="664">
        <v>2</v>
      </c>
      <c r="N13" s="664">
        <v>1674</v>
      </c>
      <c r="O13" s="677"/>
      <c r="P13" s="665">
        <v>837</v>
      </c>
    </row>
    <row r="14" spans="1:16" ht="14.4" customHeight="1" x14ac:dyDescent="0.3">
      <c r="A14" s="660" t="s">
        <v>3410</v>
      </c>
      <c r="B14" s="661" t="s">
        <v>3411</v>
      </c>
      <c r="C14" s="661" t="s">
        <v>3428</v>
      </c>
      <c r="D14" s="661" t="s">
        <v>3429</v>
      </c>
      <c r="E14" s="664">
        <v>32</v>
      </c>
      <c r="F14" s="664">
        <v>0</v>
      </c>
      <c r="G14" s="661"/>
      <c r="H14" s="661">
        <v>0</v>
      </c>
      <c r="I14" s="664">
        <v>86</v>
      </c>
      <c r="J14" s="664">
        <v>0</v>
      </c>
      <c r="K14" s="661"/>
      <c r="L14" s="661">
        <v>0</v>
      </c>
      <c r="M14" s="664">
        <v>114</v>
      </c>
      <c r="N14" s="664">
        <v>0</v>
      </c>
      <c r="O14" s="677"/>
      <c r="P14" s="665">
        <v>0</v>
      </c>
    </row>
    <row r="15" spans="1:16" ht="14.4" customHeight="1" x14ac:dyDescent="0.3">
      <c r="A15" s="660" t="s">
        <v>3410</v>
      </c>
      <c r="B15" s="661" t="s">
        <v>3411</v>
      </c>
      <c r="C15" s="661" t="s">
        <v>3430</v>
      </c>
      <c r="D15" s="661" t="s">
        <v>3431</v>
      </c>
      <c r="E15" s="664"/>
      <c r="F15" s="664"/>
      <c r="G15" s="661"/>
      <c r="H15" s="661"/>
      <c r="I15" s="664">
        <v>39</v>
      </c>
      <c r="J15" s="664">
        <v>1365</v>
      </c>
      <c r="K15" s="661"/>
      <c r="L15" s="661">
        <v>35</v>
      </c>
      <c r="M15" s="664">
        <v>31</v>
      </c>
      <c r="N15" s="664">
        <v>1116</v>
      </c>
      <c r="O15" s="677"/>
      <c r="P15" s="665">
        <v>36</v>
      </c>
    </row>
    <row r="16" spans="1:16" ht="14.4" customHeight="1" x14ac:dyDescent="0.3">
      <c r="A16" s="660" t="s">
        <v>3410</v>
      </c>
      <c r="B16" s="661" t="s">
        <v>3411</v>
      </c>
      <c r="C16" s="661" t="s">
        <v>3432</v>
      </c>
      <c r="D16" s="661" t="s">
        <v>3433</v>
      </c>
      <c r="E16" s="664">
        <v>3</v>
      </c>
      <c r="F16" s="664">
        <v>5718</v>
      </c>
      <c r="G16" s="661">
        <v>1</v>
      </c>
      <c r="H16" s="661">
        <v>1906</v>
      </c>
      <c r="I16" s="664">
        <v>7</v>
      </c>
      <c r="J16" s="664">
        <v>13342</v>
      </c>
      <c r="K16" s="661">
        <v>2.3333333333333335</v>
      </c>
      <c r="L16" s="661">
        <v>1906</v>
      </c>
      <c r="M16" s="664">
        <v>12</v>
      </c>
      <c r="N16" s="664">
        <v>22944</v>
      </c>
      <c r="O16" s="677">
        <v>4.0125918153200422</v>
      </c>
      <c r="P16" s="665">
        <v>1912</v>
      </c>
    </row>
    <row r="17" spans="1:16" ht="14.4" customHeight="1" x14ac:dyDescent="0.3">
      <c r="A17" s="660" t="s">
        <v>3410</v>
      </c>
      <c r="B17" s="661" t="s">
        <v>3411</v>
      </c>
      <c r="C17" s="661" t="s">
        <v>3434</v>
      </c>
      <c r="D17" s="661" t="s">
        <v>3435</v>
      </c>
      <c r="E17" s="664">
        <v>46</v>
      </c>
      <c r="F17" s="664">
        <v>15042</v>
      </c>
      <c r="G17" s="661">
        <v>1</v>
      </c>
      <c r="H17" s="661">
        <v>327</v>
      </c>
      <c r="I17" s="664">
        <v>80</v>
      </c>
      <c r="J17" s="664">
        <v>26160</v>
      </c>
      <c r="K17" s="661">
        <v>1.7391304347826086</v>
      </c>
      <c r="L17" s="661">
        <v>327</v>
      </c>
      <c r="M17" s="664">
        <v>106</v>
      </c>
      <c r="N17" s="664">
        <v>35086</v>
      </c>
      <c r="O17" s="677">
        <v>2.3325355670788457</v>
      </c>
      <c r="P17" s="665">
        <v>331</v>
      </c>
    </row>
    <row r="18" spans="1:16" ht="14.4" customHeight="1" x14ac:dyDescent="0.3">
      <c r="A18" s="660" t="s">
        <v>3410</v>
      </c>
      <c r="B18" s="661" t="s">
        <v>3411</v>
      </c>
      <c r="C18" s="661" t="s">
        <v>3436</v>
      </c>
      <c r="D18" s="661" t="s">
        <v>3437</v>
      </c>
      <c r="E18" s="664"/>
      <c r="F18" s="664"/>
      <c r="G18" s="661"/>
      <c r="H18" s="661"/>
      <c r="I18" s="664">
        <v>2</v>
      </c>
      <c r="J18" s="664">
        <v>412</v>
      </c>
      <c r="K18" s="661"/>
      <c r="L18" s="661">
        <v>206</v>
      </c>
      <c r="M18" s="664"/>
      <c r="N18" s="664"/>
      <c r="O18" s="677"/>
      <c r="P18" s="665"/>
    </row>
    <row r="19" spans="1:16" ht="14.4" customHeight="1" x14ac:dyDescent="0.3">
      <c r="A19" s="660" t="s">
        <v>3410</v>
      </c>
      <c r="B19" s="661" t="s">
        <v>3411</v>
      </c>
      <c r="C19" s="661" t="s">
        <v>3438</v>
      </c>
      <c r="D19" s="661" t="s">
        <v>3439</v>
      </c>
      <c r="E19" s="664">
        <v>9</v>
      </c>
      <c r="F19" s="664">
        <v>1467</v>
      </c>
      <c r="G19" s="661">
        <v>1</v>
      </c>
      <c r="H19" s="661">
        <v>163</v>
      </c>
      <c r="I19" s="664">
        <v>13</v>
      </c>
      <c r="J19" s="664">
        <v>2119</v>
      </c>
      <c r="K19" s="661">
        <v>1.4444444444444444</v>
      </c>
      <c r="L19" s="661">
        <v>163</v>
      </c>
      <c r="M19" s="664">
        <v>15</v>
      </c>
      <c r="N19" s="664">
        <v>2475</v>
      </c>
      <c r="O19" s="677">
        <v>1.6871165644171779</v>
      </c>
      <c r="P19" s="665">
        <v>165</v>
      </c>
    </row>
    <row r="20" spans="1:16" ht="14.4" customHeight="1" x14ac:dyDescent="0.3">
      <c r="A20" s="660" t="s">
        <v>3410</v>
      </c>
      <c r="B20" s="661" t="s">
        <v>3411</v>
      </c>
      <c r="C20" s="661" t="s">
        <v>3440</v>
      </c>
      <c r="D20" s="661" t="s">
        <v>3441</v>
      </c>
      <c r="E20" s="664"/>
      <c r="F20" s="664"/>
      <c r="G20" s="661"/>
      <c r="H20" s="661"/>
      <c r="I20" s="664">
        <v>2</v>
      </c>
      <c r="J20" s="664">
        <v>112</v>
      </c>
      <c r="K20" s="661"/>
      <c r="L20" s="661">
        <v>56</v>
      </c>
      <c r="M20" s="664">
        <v>4</v>
      </c>
      <c r="N20" s="664">
        <v>228</v>
      </c>
      <c r="O20" s="677"/>
      <c r="P20" s="665">
        <v>57</v>
      </c>
    </row>
    <row r="21" spans="1:16" ht="14.4" customHeight="1" x14ac:dyDescent="0.3">
      <c r="A21" s="660" t="s">
        <v>3410</v>
      </c>
      <c r="B21" s="661" t="s">
        <v>3411</v>
      </c>
      <c r="C21" s="661" t="s">
        <v>3442</v>
      </c>
      <c r="D21" s="661" t="s">
        <v>3443</v>
      </c>
      <c r="E21" s="664"/>
      <c r="F21" s="664"/>
      <c r="G21" s="661"/>
      <c r="H21" s="661"/>
      <c r="I21" s="664">
        <v>1</v>
      </c>
      <c r="J21" s="664">
        <v>487</v>
      </c>
      <c r="K21" s="661"/>
      <c r="L21" s="661">
        <v>487</v>
      </c>
      <c r="M21" s="664">
        <v>1</v>
      </c>
      <c r="N21" s="664">
        <v>490</v>
      </c>
      <c r="O21" s="677"/>
      <c r="P21" s="665">
        <v>490</v>
      </c>
    </row>
    <row r="22" spans="1:16" ht="14.4" customHeight="1" x14ac:dyDescent="0.3">
      <c r="A22" s="660" t="s">
        <v>3410</v>
      </c>
      <c r="B22" s="661" t="s">
        <v>3411</v>
      </c>
      <c r="C22" s="661" t="s">
        <v>3444</v>
      </c>
      <c r="D22" s="661" t="s">
        <v>3445</v>
      </c>
      <c r="E22" s="664">
        <v>1</v>
      </c>
      <c r="F22" s="664">
        <v>529</v>
      </c>
      <c r="G22" s="661">
        <v>1</v>
      </c>
      <c r="H22" s="661">
        <v>529</v>
      </c>
      <c r="I22" s="664">
        <v>7</v>
      </c>
      <c r="J22" s="664">
        <v>3703</v>
      </c>
      <c r="K22" s="661">
        <v>7</v>
      </c>
      <c r="L22" s="661">
        <v>529</v>
      </c>
      <c r="M22" s="664">
        <v>5</v>
      </c>
      <c r="N22" s="664">
        <v>2660</v>
      </c>
      <c r="O22" s="677">
        <v>5.0283553875236295</v>
      </c>
      <c r="P22" s="665">
        <v>532</v>
      </c>
    </row>
    <row r="23" spans="1:16" ht="14.4" customHeight="1" x14ac:dyDescent="0.3">
      <c r="A23" s="660" t="s">
        <v>3446</v>
      </c>
      <c r="B23" s="661" t="s">
        <v>3411</v>
      </c>
      <c r="C23" s="661" t="s">
        <v>3447</v>
      </c>
      <c r="D23" s="661" t="s">
        <v>3448</v>
      </c>
      <c r="E23" s="664"/>
      <c r="F23" s="664"/>
      <c r="G23" s="661"/>
      <c r="H23" s="661"/>
      <c r="I23" s="664">
        <v>4</v>
      </c>
      <c r="J23" s="664">
        <v>320</v>
      </c>
      <c r="K23" s="661"/>
      <c r="L23" s="661">
        <v>80</v>
      </c>
      <c r="M23" s="664">
        <v>8</v>
      </c>
      <c r="N23" s="664">
        <v>648</v>
      </c>
      <c r="O23" s="677"/>
      <c r="P23" s="665">
        <v>81</v>
      </c>
    </row>
    <row r="24" spans="1:16" ht="14.4" customHeight="1" x14ac:dyDescent="0.3">
      <c r="A24" s="660" t="s">
        <v>3446</v>
      </c>
      <c r="B24" s="661" t="s">
        <v>3411</v>
      </c>
      <c r="C24" s="661" t="s">
        <v>3449</v>
      </c>
      <c r="D24" s="661" t="s">
        <v>3450</v>
      </c>
      <c r="E24" s="664">
        <v>3</v>
      </c>
      <c r="F24" s="664">
        <v>309</v>
      </c>
      <c r="G24" s="661">
        <v>1</v>
      </c>
      <c r="H24" s="661">
        <v>103</v>
      </c>
      <c r="I24" s="664"/>
      <c r="J24" s="664"/>
      <c r="K24" s="661"/>
      <c r="L24" s="661"/>
      <c r="M24" s="664">
        <v>4</v>
      </c>
      <c r="N24" s="664">
        <v>416</v>
      </c>
      <c r="O24" s="677">
        <v>1.3462783171521036</v>
      </c>
      <c r="P24" s="665">
        <v>104</v>
      </c>
    </row>
    <row r="25" spans="1:16" ht="14.4" customHeight="1" x14ac:dyDescent="0.3">
      <c r="A25" s="660" t="s">
        <v>3446</v>
      </c>
      <c r="B25" s="661" t="s">
        <v>3411</v>
      </c>
      <c r="C25" s="661" t="s">
        <v>3412</v>
      </c>
      <c r="D25" s="661" t="s">
        <v>3413</v>
      </c>
      <c r="E25" s="664">
        <v>63</v>
      </c>
      <c r="F25" s="664">
        <v>2142</v>
      </c>
      <c r="G25" s="661">
        <v>1</v>
      </c>
      <c r="H25" s="661">
        <v>34</v>
      </c>
      <c r="I25" s="664">
        <v>14</v>
      </c>
      <c r="J25" s="664">
        <v>476</v>
      </c>
      <c r="K25" s="661">
        <v>0.22222222222222221</v>
      </c>
      <c r="L25" s="661">
        <v>34</v>
      </c>
      <c r="M25" s="664">
        <v>5</v>
      </c>
      <c r="N25" s="664">
        <v>175</v>
      </c>
      <c r="O25" s="677">
        <v>8.1699346405228759E-2</v>
      </c>
      <c r="P25" s="665">
        <v>35</v>
      </c>
    </row>
    <row r="26" spans="1:16" ht="14.4" customHeight="1" x14ac:dyDescent="0.3">
      <c r="A26" s="660" t="s">
        <v>3446</v>
      </c>
      <c r="B26" s="661" t="s">
        <v>3411</v>
      </c>
      <c r="C26" s="661" t="s">
        <v>3416</v>
      </c>
      <c r="D26" s="661" t="s">
        <v>3417</v>
      </c>
      <c r="E26" s="664"/>
      <c r="F26" s="664"/>
      <c r="G26" s="661"/>
      <c r="H26" s="661"/>
      <c r="I26" s="664"/>
      <c r="J26" s="664"/>
      <c r="K26" s="661"/>
      <c r="L26" s="661"/>
      <c r="M26" s="664">
        <v>1</v>
      </c>
      <c r="N26" s="664">
        <v>100</v>
      </c>
      <c r="O26" s="677"/>
      <c r="P26" s="665">
        <v>100</v>
      </c>
    </row>
    <row r="27" spans="1:16" ht="14.4" customHeight="1" x14ac:dyDescent="0.3">
      <c r="A27" s="660" t="s">
        <v>3446</v>
      </c>
      <c r="B27" s="661" t="s">
        <v>3411</v>
      </c>
      <c r="C27" s="661" t="s">
        <v>3418</v>
      </c>
      <c r="D27" s="661" t="s">
        <v>3419</v>
      </c>
      <c r="E27" s="664">
        <v>7</v>
      </c>
      <c r="F27" s="664">
        <v>6580</v>
      </c>
      <c r="G27" s="661">
        <v>1</v>
      </c>
      <c r="H27" s="661">
        <v>940</v>
      </c>
      <c r="I27" s="664"/>
      <c r="J27" s="664"/>
      <c r="K27" s="661"/>
      <c r="L27" s="661"/>
      <c r="M27" s="664"/>
      <c r="N27" s="664"/>
      <c r="O27" s="677"/>
      <c r="P27" s="665"/>
    </row>
    <row r="28" spans="1:16" ht="14.4" customHeight="1" x14ac:dyDescent="0.3">
      <c r="A28" s="660" t="s">
        <v>3446</v>
      </c>
      <c r="B28" s="661" t="s">
        <v>3411</v>
      </c>
      <c r="C28" s="661" t="s">
        <v>3422</v>
      </c>
      <c r="D28" s="661" t="s">
        <v>3423</v>
      </c>
      <c r="E28" s="664">
        <v>47</v>
      </c>
      <c r="F28" s="664">
        <v>46060</v>
      </c>
      <c r="G28" s="661">
        <v>1</v>
      </c>
      <c r="H28" s="661">
        <v>980</v>
      </c>
      <c r="I28" s="664">
        <v>6</v>
      </c>
      <c r="J28" s="664">
        <v>5880</v>
      </c>
      <c r="K28" s="661">
        <v>0.1276595744680851</v>
      </c>
      <c r="L28" s="661">
        <v>980</v>
      </c>
      <c r="M28" s="664"/>
      <c r="N28" s="664"/>
      <c r="O28" s="677"/>
      <c r="P28" s="665"/>
    </row>
    <row r="29" spans="1:16" ht="14.4" customHeight="1" x14ac:dyDescent="0.3">
      <c r="A29" s="660" t="s">
        <v>3446</v>
      </c>
      <c r="B29" s="661" t="s">
        <v>3411</v>
      </c>
      <c r="C29" s="661" t="s">
        <v>3424</v>
      </c>
      <c r="D29" s="661" t="s">
        <v>3425</v>
      </c>
      <c r="E29" s="664">
        <v>5</v>
      </c>
      <c r="F29" s="664">
        <v>10385</v>
      </c>
      <c r="G29" s="661">
        <v>1</v>
      </c>
      <c r="H29" s="661">
        <v>2077</v>
      </c>
      <c r="I29" s="664">
        <v>3</v>
      </c>
      <c r="J29" s="664">
        <v>6231</v>
      </c>
      <c r="K29" s="661">
        <v>0.6</v>
      </c>
      <c r="L29" s="661">
        <v>2077</v>
      </c>
      <c r="M29" s="664"/>
      <c r="N29" s="664"/>
      <c r="O29" s="677"/>
      <c r="P29" s="665"/>
    </row>
    <row r="30" spans="1:16" ht="14.4" customHeight="1" x14ac:dyDescent="0.3">
      <c r="A30" s="660" t="s">
        <v>3446</v>
      </c>
      <c r="B30" s="661" t="s">
        <v>3411</v>
      </c>
      <c r="C30" s="661" t="s">
        <v>3451</v>
      </c>
      <c r="D30" s="661" t="s">
        <v>3452</v>
      </c>
      <c r="E30" s="664">
        <v>12</v>
      </c>
      <c r="F30" s="664">
        <v>1392</v>
      </c>
      <c r="G30" s="661">
        <v>1</v>
      </c>
      <c r="H30" s="661">
        <v>116</v>
      </c>
      <c r="I30" s="664"/>
      <c r="J30" s="664"/>
      <c r="K30" s="661"/>
      <c r="L30" s="661"/>
      <c r="M30" s="664"/>
      <c r="N30" s="664"/>
      <c r="O30" s="677"/>
      <c r="P30" s="665"/>
    </row>
    <row r="31" spans="1:16" ht="14.4" customHeight="1" x14ac:dyDescent="0.3">
      <c r="A31" s="660" t="s">
        <v>3446</v>
      </c>
      <c r="B31" s="661" t="s">
        <v>3411</v>
      </c>
      <c r="C31" s="661" t="s">
        <v>3453</v>
      </c>
      <c r="D31" s="661" t="s">
        <v>3454</v>
      </c>
      <c r="E31" s="664"/>
      <c r="F31" s="664"/>
      <c r="G31" s="661"/>
      <c r="H31" s="661"/>
      <c r="I31" s="664">
        <v>7</v>
      </c>
      <c r="J31" s="664">
        <v>812</v>
      </c>
      <c r="K31" s="661"/>
      <c r="L31" s="661">
        <v>116</v>
      </c>
      <c r="M31" s="664">
        <v>17</v>
      </c>
      <c r="N31" s="664">
        <v>2006</v>
      </c>
      <c r="O31" s="677"/>
      <c r="P31" s="665">
        <v>118</v>
      </c>
    </row>
    <row r="32" spans="1:16" ht="14.4" customHeight="1" x14ac:dyDescent="0.3">
      <c r="A32" s="660" t="s">
        <v>3446</v>
      </c>
      <c r="B32" s="661" t="s">
        <v>3411</v>
      </c>
      <c r="C32" s="661" t="s">
        <v>3455</v>
      </c>
      <c r="D32" s="661" t="s">
        <v>3456</v>
      </c>
      <c r="E32" s="664">
        <v>1</v>
      </c>
      <c r="F32" s="664">
        <v>411</v>
      </c>
      <c r="G32" s="661">
        <v>1</v>
      </c>
      <c r="H32" s="661">
        <v>411</v>
      </c>
      <c r="I32" s="664"/>
      <c r="J32" s="664"/>
      <c r="K32" s="661"/>
      <c r="L32" s="661"/>
      <c r="M32" s="664"/>
      <c r="N32" s="664"/>
      <c r="O32" s="677"/>
      <c r="P32" s="665"/>
    </row>
    <row r="33" spans="1:16" ht="14.4" customHeight="1" x14ac:dyDescent="0.3">
      <c r="A33" s="660" t="s">
        <v>3446</v>
      </c>
      <c r="B33" s="661" t="s">
        <v>3411</v>
      </c>
      <c r="C33" s="661" t="s">
        <v>3426</v>
      </c>
      <c r="D33" s="661" t="s">
        <v>3427</v>
      </c>
      <c r="E33" s="664"/>
      <c r="F33" s="664"/>
      <c r="G33" s="661"/>
      <c r="H33" s="661"/>
      <c r="I33" s="664">
        <v>1</v>
      </c>
      <c r="J33" s="664">
        <v>831</v>
      </c>
      <c r="K33" s="661"/>
      <c r="L33" s="661">
        <v>831</v>
      </c>
      <c r="M33" s="664">
        <v>2</v>
      </c>
      <c r="N33" s="664">
        <v>1674</v>
      </c>
      <c r="O33" s="677"/>
      <c r="P33" s="665">
        <v>837</v>
      </c>
    </row>
    <row r="34" spans="1:16" ht="14.4" customHeight="1" x14ac:dyDescent="0.3">
      <c r="A34" s="660" t="s">
        <v>3446</v>
      </c>
      <c r="B34" s="661" t="s">
        <v>3411</v>
      </c>
      <c r="C34" s="661" t="s">
        <v>3457</v>
      </c>
      <c r="D34" s="661" t="s">
        <v>3458</v>
      </c>
      <c r="E34" s="664">
        <v>3</v>
      </c>
      <c r="F34" s="664">
        <v>981</v>
      </c>
      <c r="G34" s="661">
        <v>1</v>
      </c>
      <c r="H34" s="661">
        <v>327</v>
      </c>
      <c r="I34" s="664"/>
      <c r="J34" s="664"/>
      <c r="K34" s="661"/>
      <c r="L34" s="661"/>
      <c r="M34" s="664"/>
      <c r="N34" s="664"/>
      <c r="O34" s="677"/>
      <c r="P34" s="665"/>
    </row>
    <row r="35" spans="1:16" ht="14.4" customHeight="1" x14ac:dyDescent="0.3">
      <c r="A35" s="660" t="s">
        <v>3446</v>
      </c>
      <c r="B35" s="661" t="s">
        <v>3411</v>
      </c>
      <c r="C35" s="661" t="s">
        <v>3428</v>
      </c>
      <c r="D35" s="661" t="s">
        <v>3429</v>
      </c>
      <c r="E35" s="664">
        <v>88</v>
      </c>
      <c r="F35" s="664">
        <v>0</v>
      </c>
      <c r="G35" s="661"/>
      <c r="H35" s="661">
        <v>0</v>
      </c>
      <c r="I35" s="664">
        <v>15</v>
      </c>
      <c r="J35" s="664">
        <v>0</v>
      </c>
      <c r="K35" s="661"/>
      <c r="L35" s="661">
        <v>0</v>
      </c>
      <c r="M35" s="664"/>
      <c r="N35" s="664"/>
      <c r="O35" s="677"/>
      <c r="P35" s="665"/>
    </row>
    <row r="36" spans="1:16" ht="14.4" customHeight="1" x14ac:dyDescent="0.3">
      <c r="A36" s="660" t="s">
        <v>3446</v>
      </c>
      <c r="B36" s="661" t="s">
        <v>3411</v>
      </c>
      <c r="C36" s="661" t="s">
        <v>3430</v>
      </c>
      <c r="D36" s="661" t="s">
        <v>3431</v>
      </c>
      <c r="E36" s="664">
        <v>41</v>
      </c>
      <c r="F36" s="664">
        <v>1435</v>
      </c>
      <c r="G36" s="661">
        <v>1</v>
      </c>
      <c r="H36" s="661">
        <v>35</v>
      </c>
      <c r="I36" s="664">
        <v>15</v>
      </c>
      <c r="J36" s="664">
        <v>525</v>
      </c>
      <c r="K36" s="661">
        <v>0.36585365853658536</v>
      </c>
      <c r="L36" s="661">
        <v>35</v>
      </c>
      <c r="M36" s="664">
        <v>12</v>
      </c>
      <c r="N36" s="664">
        <v>432</v>
      </c>
      <c r="O36" s="677">
        <v>0.3010452961672474</v>
      </c>
      <c r="P36" s="665">
        <v>36</v>
      </c>
    </row>
    <row r="37" spans="1:16" ht="14.4" customHeight="1" x14ac:dyDescent="0.3">
      <c r="A37" s="660" t="s">
        <v>3446</v>
      </c>
      <c r="B37" s="661" t="s">
        <v>3411</v>
      </c>
      <c r="C37" s="661" t="s">
        <v>3459</v>
      </c>
      <c r="D37" s="661" t="s">
        <v>3460</v>
      </c>
      <c r="E37" s="664">
        <v>3</v>
      </c>
      <c r="F37" s="664">
        <v>243</v>
      </c>
      <c r="G37" s="661">
        <v>1</v>
      </c>
      <c r="H37" s="661">
        <v>81</v>
      </c>
      <c r="I37" s="664">
        <v>1</v>
      </c>
      <c r="J37" s="664">
        <v>81</v>
      </c>
      <c r="K37" s="661">
        <v>0.33333333333333331</v>
      </c>
      <c r="L37" s="661">
        <v>81</v>
      </c>
      <c r="M37" s="664"/>
      <c r="N37" s="664"/>
      <c r="O37" s="677"/>
      <c r="P37" s="665"/>
    </row>
    <row r="38" spans="1:16" ht="14.4" customHeight="1" x14ac:dyDescent="0.3">
      <c r="A38" s="660" t="s">
        <v>3446</v>
      </c>
      <c r="B38" s="661" t="s">
        <v>3411</v>
      </c>
      <c r="C38" s="661" t="s">
        <v>3432</v>
      </c>
      <c r="D38" s="661" t="s">
        <v>3433</v>
      </c>
      <c r="E38" s="664">
        <v>1</v>
      </c>
      <c r="F38" s="664">
        <v>1906</v>
      </c>
      <c r="G38" s="661">
        <v>1</v>
      </c>
      <c r="H38" s="661">
        <v>1906</v>
      </c>
      <c r="I38" s="664"/>
      <c r="J38" s="664"/>
      <c r="K38" s="661"/>
      <c r="L38" s="661"/>
      <c r="M38" s="664"/>
      <c r="N38" s="664"/>
      <c r="O38" s="677"/>
      <c r="P38" s="665"/>
    </row>
    <row r="39" spans="1:16" ht="14.4" customHeight="1" x14ac:dyDescent="0.3">
      <c r="A39" s="660" t="s">
        <v>3446</v>
      </c>
      <c r="B39" s="661" t="s">
        <v>3411</v>
      </c>
      <c r="C39" s="661" t="s">
        <v>3461</v>
      </c>
      <c r="D39" s="661" t="s">
        <v>3462</v>
      </c>
      <c r="E39" s="664"/>
      <c r="F39" s="664"/>
      <c r="G39" s="661"/>
      <c r="H39" s="661"/>
      <c r="I39" s="664">
        <v>2</v>
      </c>
      <c r="J39" s="664">
        <v>0</v>
      </c>
      <c r="K39" s="661"/>
      <c r="L39" s="661">
        <v>0</v>
      </c>
      <c r="M39" s="664"/>
      <c r="N39" s="664"/>
      <c r="O39" s="677"/>
      <c r="P39" s="665"/>
    </row>
    <row r="40" spans="1:16" ht="14.4" customHeight="1" x14ac:dyDescent="0.3">
      <c r="A40" s="660" t="s">
        <v>3446</v>
      </c>
      <c r="B40" s="661" t="s">
        <v>3411</v>
      </c>
      <c r="C40" s="661" t="s">
        <v>3434</v>
      </c>
      <c r="D40" s="661" t="s">
        <v>3435</v>
      </c>
      <c r="E40" s="664">
        <v>39</v>
      </c>
      <c r="F40" s="664">
        <v>12753</v>
      </c>
      <c r="G40" s="661">
        <v>1</v>
      </c>
      <c r="H40" s="661">
        <v>327</v>
      </c>
      <c r="I40" s="664">
        <v>4</v>
      </c>
      <c r="J40" s="664">
        <v>1308</v>
      </c>
      <c r="K40" s="661">
        <v>0.10256410256410256</v>
      </c>
      <c r="L40" s="661">
        <v>327</v>
      </c>
      <c r="M40" s="664"/>
      <c r="N40" s="664"/>
      <c r="O40" s="677"/>
      <c r="P40" s="665"/>
    </row>
    <row r="41" spans="1:16" ht="14.4" customHeight="1" x14ac:dyDescent="0.3">
      <c r="A41" s="660" t="s">
        <v>3446</v>
      </c>
      <c r="B41" s="661" t="s">
        <v>3411</v>
      </c>
      <c r="C41" s="661" t="s">
        <v>3436</v>
      </c>
      <c r="D41" s="661" t="s">
        <v>3437</v>
      </c>
      <c r="E41" s="664"/>
      <c r="F41" s="664"/>
      <c r="G41" s="661"/>
      <c r="H41" s="661"/>
      <c r="I41" s="664"/>
      <c r="J41" s="664"/>
      <c r="K41" s="661"/>
      <c r="L41" s="661"/>
      <c r="M41" s="664">
        <v>1</v>
      </c>
      <c r="N41" s="664">
        <v>210</v>
      </c>
      <c r="O41" s="677"/>
      <c r="P41" s="665">
        <v>210</v>
      </c>
    </row>
    <row r="42" spans="1:16" ht="14.4" customHeight="1" x14ac:dyDescent="0.3">
      <c r="A42" s="660" t="s">
        <v>3446</v>
      </c>
      <c r="B42" s="661" t="s">
        <v>3411</v>
      </c>
      <c r="C42" s="661" t="s">
        <v>3438</v>
      </c>
      <c r="D42" s="661" t="s">
        <v>3439</v>
      </c>
      <c r="E42" s="664">
        <v>7</v>
      </c>
      <c r="F42" s="664">
        <v>1141</v>
      </c>
      <c r="G42" s="661">
        <v>1</v>
      </c>
      <c r="H42" s="661">
        <v>163</v>
      </c>
      <c r="I42" s="664">
        <v>2</v>
      </c>
      <c r="J42" s="664">
        <v>326</v>
      </c>
      <c r="K42" s="661">
        <v>0.2857142857142857</v>
      </c>
      <c r="L42" s="661">
        <v>163</v>
      </c>
      <c r="M42" s="664"/>
      <c r="N42" s="664"/>
      <c r="O42" s="677"/>
      <c r="P42" s="665"/>
    </row>
    <row r="43" spans="1:16" ht="14.4" customHeight="1" x14ac:dyDescent="0.3">
      <c r="A43" s="660" t="s">
        <v>3446</v>
      </c>
      <c r="B43" s="661" t="s">
        <v>3411</v>
      </c>
      <c r="C43" s="661" t="s">
        <v>3463</v>
      </c>
      <c r="D43" s="661" t="s">
        <v>3464</v>
      </c>
      <c r="E43" s="664">
        <v>1</v>
      </c>
      <c r="F43" s="664">
        <v>431</v>
      </c>
      <c r="G43" s="661">
        <v>1</v>
      </c>
      <c r="H43" s="661">
        <v>431</v>
      </c>
      <c r="I43" s="664"/>
      <c r="J43" s="664"/>
      <c r="K43" s="661"/>
      <c r="L43" s="661"/>
      <c r="M43" s="664"/>
      <c r="N43" s="664"/>
      <c r="O43" s="677"/>
      <c r="P43" s="665"/>
    </row>
    <row r="44" spans="1:16" ht="14.4" customHeight="1" x14ac:dyDescent="0.3">
      <c r="A44" s="660" t="s">
        <v>3446</v>
      </c>
      <c r="B44" s="661" t="s">
        <v>3411</v>
      </c>
      <c r="C44" s="661" t="s">
        <v>3465</v>
      </c>
      <c r="D44" s="661" t="s">
        <v>3466</v>
      </c>
      <c r="E44" s="664"/>
      <c r="F44" s="664"/>
      <c r="G44" s="661"/>
      <c r="H44" s="661"/>
      <c r="I44" s="664">
        <v>1</v>
      </c>
      <c r="J44" s="664">
        <v>118</v>
      </c>
      <c r="K44" s="661"/>
      <c r="L44" s="661">
        <v>118</v>
      </c>
      <c r="M44" s="664">
        <v>1</v>
      </c>
      <c r="N44" s="664">
        <v>120</v>
      </c>
      <c r="O44" s="677"/>
      <c r="P44" s="665">
        <v>120</v>
      </c>
    </row>
    <row r="45" spans="1:16" ht="14.4" customHeight="1" x14ac:dyDescent="0.3">
      <c r="A45" s="660" t="s">
        <v>3446</v>
      </c>
      <c r="B45" s="661" t="s">
        <v>3411</v>
      </c>
      <c r="C45" s="661" t="s">
        <v>3467</v>
      </c>
      <c r="D45" s="661" t="s">
        <v>3468</v>
      </c>
      <c r="E45" s="664">
        <v>1</v>
      </c>
      <c r="F45" s="664">
        <v>344</v>
      </c>
      <c r="G45" s="661">
        <v>1</v>
      </c>
      <c r="H45" s="661">
        <v>344</v>
      </c>
      <c r="I45" s="664"/>
      <c r="J45" s="664"/>
      <c r="K45" s="661"/>
      <c r="L45" s="661"/>
      <c r="M45" s="664"/>
      <c r="N45" s="664"/>
      <c r="O45" s="677"/>
      <c r="P45" s="665"/>
    </row>
    <row r="46" spans="1:16" ht="14.4" customHeight="1" x14ac:dyDescent="0.3">
      <c r="A46" s="660" t="s">
        <v>3446</v>
      </c>
      <c r="B46" s="661" t="s">
        <v>3411</v>
      </c>
      <c r="C46" s="661" t="s">
        <v>3440</v>
      </c>
      <c r="D46" s="661" t="s">
        <v>3441</v>
      </c>
      <c r="E46" s="664">
        <v>4</v>
      </c>
      <c r="F46" s="664">
        <v>224</v>
      </c>
      <c r="G46" s="661">
        <v>1</v>
      </c>
      <c r="H46" s="661">
        <v>56</v>
      </c>
      <c r="I46" s="664"/>
      <c r="J46" s="664"/>
      <c r="K46" s="661"/>
      <c r="L46" s="661"/>
      <c r="M46" s="664">
        <v>1</v>
      </c>
      <c r="N46" s="664">
        <v>57</v>
      </c>
      <c r="O46" s="677">
        <v>0.2544642857142857</v>
      </c>
      <c r="P46" s="665">
        <v>57</v>
      </c>
    </row>
    <row r="47" spans="1:16" ht="14.4" customHeight="1" x14ac:dyDescent="0.3">
      <c r="A47" s="660" t="s">
        <v>3446</v>
      </c>
      <c r="B47" s="661" t="s">
        <v>3411</v>
      </c>
      <c r="C47" s="661" t="s">
        <v>3469</v>
      </c>
      <c r="D47" s="661" t="s">
        <v>3470</v>
      </c>
      <c r="E47" s="664">
        <v>1</v>
      </c>
      <c r="F47" s="664">
        <v>628</v>
      </c>
      <c r="G47" s="661">
        <v>1</v>
      </c>
      <c r="H47" s="661">
        <v>628</v>
      </c>
      <c r="I47" s="664"/>
      <c r="J47" s="664"/>
      <c r="K47" s="661"/>
      <c r="L47" s="661"/>
      <c r="M47" s="664"/>
      <c r="N47" s="664"/>
      <c r="O47" s="677"/>
      <c r="P47" s="665"/>
    </row>
    <row r="48" spans="1:16" ht="14.4" customHeight="1" thickBot="1" x14ac:dyDescent="0.35">
      <c r="A48" s="666" t="s">
        <v>3446</v>
      </c>
      <c r="B48" s="667" t="s">
        <v>3411</v>
      </c>
      <c r="C48" s="667" t="s">
        <v>3444</v>
      </c>
      <c r="D48" s="667" t="s">
        <v>3445</v>
      </c>
      <c r="E48" s="670">
        <v>4</v>
      </c>
      <c r="F48" s="670">
        <v>2116</v>
      </c>
      <c r="G48" s="667">
        <v>1</v>
      </c>
      <c r="H48" s="667">
        <v>529</v>
      </c>
      <c r="I48" s="670">
        <v>2</v>
      </c>
      <c r="J48" s="670">
        <v>1058</v>
      </c>
      <c r="K48" s="667">
        <v>0.5</v>
      </c>
      <c r="L48" s="667">
        <v>529</v>
      </c>
      <c r="M48" s="670"/>
      <c r="N48" s="670"/>
      <c r="O48" s="678"/>
      <c r="P48" s="671"/>
    </row>
  </sheetData>
  <autoFilter ref="A5:P5"/>
  <mergeCells count="10">
    <mergeCell ref="P4:P5"/>
    <mergeCell ref="A1:P1"/>
    <mergeCell ref="A4:A5"/>
    <mergeCell ref="B4:B5"/>
    <mergeCell ref="D4:D5"/>
    <mergeCell ref="E4:F4"/>
    <mergeCell ref="I4:J4"/>
    <mergeCell ref="M4:N4"/>
    <mergeCell ref="O4:O5"/>
    <mergeCell ref="C4:C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7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54" bestFit="1" customWidth="1"/>
    <col min="2" max="2" width="7.77734375" style="219" customWidth="1"/>
    <col min="3" max="3" width="0.109375" style="254" hidden="1" customWidth="1"/>
    <col min="4" max="4" width="7.77734375" style="219" customWidth="1"/>
    <col min="5" max="5" width="5.4414062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5.44140625" style="254" hidden="1" customWidth="1"/>
    <col min="10" max="10" width="7.77734375" style="219" customWidth="1"/>
    <col min="11" max="11" width="5.44140625" style="254" hidden="1" customWidth="1"/>
    <col min="12" max="12" width="7.77734375" style="219" customWidth="1"/>
    <col min="13" max="13" width="7.77734375" style="340" customWidth="1"/>
    <col min="14" max="14" width="7.77734375" style="219" customWidth="1"/>
    <col min="15" max="15" width="5" style="254" hidden="1" customWidth="1"/>
    <col min="16" max="16" width="7.77734375" style="219" customWidth="1"/>
    <col min="17" max="17" width="5" style="254" hidden="1" customWidth="1"/>
    <col min="18" max="18" width="7.77734375" style="219" customWidth="1"/>
    <col min="19" max="19" width="7.77734375" style="340" customWidth="1"/>
    <col min="20" max="16384" width="8.88671875" style="254"/>
  </cols>
  <sheetData>
    <row r="1" spans="1:19" ht="18.600000000000001" customHeight="1" thickBot="1" x14ac:dyDescent="0.4">
      <c r="A1" s="487" t="s">
        <v>158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  <c r="R1" s="478"/>
      <c r="S1" s="478"/>
    </row>
    <row r="2" spans="1:19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  <c r="N2" s="356"/>
      <c r="O2" s="224"/>
      <c r="P2" s="356"/>
      <c r="Q2" s="224"/>
      <c r="R2" s="356"/>
      <c r="S2" s="357"/>
    </row>
    <row r="3" spans="1:19" ht="14.4" customHeight="1" thickBot="1" x14ac:dyDescent="0.35">
      <c r="A3" s="350" t="s">
        <v>160</v>
      </c>
      <c r="B3" s="351">
        <f>SUBTOTAL(9,B6:B1048576)</f>
        <v>14689621</v>
      </c>
      <c r="C3" s="352">
        <f t="shared" ref="C3:R3" si="0">SUBTOTAL(9,C6:C1048576)</f>
        <v>10</v>
      </c>
      <c r="D3" s="352">
        <f t="shared" si="0"/>
        <v>15184522</v>
      </c>
      <c r="E3" s="352">
        <f t="shared" si="0"/>
        <v>4.2296772342690669</v>
      </c>
      <c r="F3" s="352">
        <f t="shared" si="0"/>
        <v>13646844</v>
      </c>
      <c r="G3" s="355">
        <f>IF(B3&lt;&gt;0,F3/B3,"")</f>
        <v>0.92901266819613659</v>
      </c>
      <c r="H3" s="351">
        <f t="shared" si="0"/>
        <v>6047044.0299999984</v>
      </c>
      <c r="I3" s="352">
        <f t="shared" si="0"/>
        <v>1</v>
      </c>
      <c r="J3" s="352">
        <f t="shared" si="0"/>
        <v>6357144.1899999967</v>
      </c>
      <c r="K3" s="352">
        <f t="shared" si="0"/>
        <v>1.0512812803183771</v>
      </c>
      <c r="L3" s="352">
        <f t="shared" si="0"/>
        <v>5297875</v>
      </c>
      <c r="M3" s="353">
        <f>IF(H3&lt;&gt;0,L3/H3,"")</f>
        <v>0.87610987677891961</v>
      </c>
      <c r="N3" s="354">
        <f t="shared" si="0"/>
        <v>0</v>
      </c>
      <c r="O3" s="352">
        <f t="shared" si="0"/>
        <v>0</v>
      </c>
      <c r="P3" s="352">
        <f t="shared" si="0"/>
        <v>0</v>
      </c>
      <c r="Q3" s="352">
        <f t="shared" si="0"/>
        <v>0</v>
      </c>
      <c r="R3" s="352">
        <f t="shared" si="0"/>
        <v>0</v>
      </c>
      <c r="S3" s="353" t="str">
        <f>IF(N3&lt;&gt;0,R3/N3,"")</f>
        <v/>
      </c>
    </row>
    <row r="4" spans="1:19" ht="14.4" customHeight="1" x14ac:dyDescent="0.3">
      <c r="A4" s="552" t="s">
        <v>130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  <c r="N4" s="553" t="s">
        <v>126</v>
      </c>
      <c r="O4" s="554"/>
      <c r="P4" s="554"/>
      <c r="Q4" s="554"/>
      <c r="R4" s="554"/>
      <c r="S4" s="555"/>
    </row>
    <row r="5" spans="1:19" ht="14.4" customHeight="1" thickBot="1" x14ac:dyDescent="0.35">
      <c r="A5" s="783"/>
      <c r="B5" s="784">
        <v>2013</v>
      </c>
      <c r="C5" s="785"/>
      <c r="D5" s="785">
        <v>2014</v>
      </c>
      <c r="E5" s="785"/>
      <c r="F5" s="785">
        <v>2015</v>
      </c>
      <c r="G5" s="786" t="s">
        <v>2</v>
      </c>
      <c r="H5" s="784">
        <v>2013</v>
      </c>
      <c r="I5" s="785"/>
      <c r="J5" s="785">
        <v>2014</v>
      </c>
      <c r="K5" s="785"/>
      <c r="L5" s="785">
        <v>2015</v>
      </c>
      <c r="M5" s="786" t="s">
        <v>2</v>
      </c>
      <c r="N5" s="784">
        <v>2013</v>
      </c>
      <c r="O5" s="785"/>
      <c r="P5" s="785">
        <v>2014</v>
      </c>
      <c r="Q5" s="785"/>
      <c r="R5" s="785">
        <v>2015</v>
      </c>
      <c r="S5" s="786" t="s">
        <v>2</v>
      </c>
    </row>
    <row r="6" spans="1:19" ht="14.4" customHeight="1" x14ac:dyDescent="0.3">
      <c r="A6" s="748" t="s">
        <v>3472</v>
      </c>
      <c r="B6" s="787">
        <v>8264</v>
      </c>
      <c r="C6" s="734">
        <v>1</v>
      </c>
      <c r="D6" s="787">
        <v>980</v>
      </c>
      <c r="E6" s="734">
        <v>0.11858664085188771</v>
      </c>
      <c r="F6" s="787">
        <v>3635</v>
      </c>
      <c r="G6" s="739">
        <v>0.43985963213939983</v>
      </c>
      <c r="H6" s="787"/>
      <c r="I6" s="734"/>
      <c r="J6" s="787"/>
      <c r="K6" s="734"/>
      <c r="L6" s="787"/>
      <c r="M6" s="739"/>
      <c r="N6" s="787"/>
      <c r="O6" s="734"/>
      <c r="P6" s="787"/>
      <c r="Q6" s="734"/>
      <c r="R6" s="787"/>
      <c r="S6" s="235"/>
    </row>
    <row r="7" spans="1:19" ht="14.4" customHeight="1" x14ac:dyDescent="0.3">
      <c r="A7" s="687" t="s">
        <v>3473</v>
      </c>
      <c r="B7" s="794">
        <v>1960</v>
      </c>
      <c r="C7" s="661">
        <v>1</v>
      </c>
      <c r="D7" s="794"/>
      <c r="E7" s="661"/>
      <c r="F7" s="794">
        <v>985</v>
      </c>
      <c r="G7" s="677">
        <v>0.50255102040816324</v>
      </c>
      <c r="H7" s="794"/>
      <c r="I7" s="661"/>
      <c r="J7" s="794"/>
      <c r="K7" s="661"/>
      <c r="L7" s="794"/>
      <c r="M7" s="677"/>
      <c r="N7" s="794"/>
      <c r="O7" s="661"/>
      <c r="P7" s="794"/>
      <c r="Q7" s="661"/>
      <c r="R7" s="794"/>
      <c r="S7" s="700"/>
    </row>
    <row r="8" spans="1:19" ht="14.4" customHeight="1" x14ac:dyDescent="0.3">
      <c r="A8" s="687" t="s">
        <v>3474</v>
      </c>
      <c r="B8" s="794"/>
      <c r="C8" s="661"/>
      <c r="D8" s="794">
        <v>980</v>
      </c>
      <c r="E8" s="661"/>
      <c r="F8" s="794"/>
      <c r="G8" s="677"/>
      <c r="H8" s="794"/>
      <c r="I8" s="661"/>
      <c r="J8" s="794"/>
      <c r="K8" s="661"/>
      <c r="L8" s="794"/>
      <c r="M8" s="677"/>
      <c r="N8" s="794"/>
      <c r="O8" s="661"/>
      <c r="P8" s="794"/>
      <c r="Q8" s="661"/>
      <c r="R8" s="794"/>
      <c r="S8" s="700"/>
    </row>
    <row r="9" spans="1:19" ht="14.4" customHeight="1" x14ac:dyDescent="0.3">
      <c r="A9" s="687" t="s">
        <v>3475</v>
      </c>
      <c r="B9" s="794">
        <v>980</v>
      </c>
      <c r="C9" s="661">
        <v>1</v>
      </c>
      <c r="D9" s="794"/>
      <c r="E9" s="661"/>
      <c r="F9" s="794"/>
      <c r="G9" s="677"/>
      <c r="H9" s="794"/>
      <c r="I9" s="661"/>
      <c r="J9" s="794"/>
      <c r="K9" s="661"/>
      <c r="L9" s="794"/>
      <c r="M9" s="677"/>
      <c r="N9" s="794"/>
      <c r="O9" s="661"/>
      <c r="P9" s="794"/>
      <c r="Q9" s="661"/>
      <c r="R9" s="794"/>
      <c r="S9" s="700"/>
    </row>
    <row r="10" spans="1:19" ht="14.4" customHeight="1" x14ac:dyDescent="0.3">
      <c r="A10" s="687" t="s">
        <v>3476</v>
      </c>
      <c r="B10" s="794">
        <v>1960</v>
      </c>
      <c r="C10" s="661">
        <v>1</v>
      </c>
      <c r="D10" s="794"/>
      <c r="E10" s="661"/>
      <c r="F10" s="794">
        <v>985</v>
      </c>
      <c r="G10" s="677">
        <v>0.50255102040816324</v>
      </c>
      <c r="H10" s="794"/>
      <c r="I10" s="661"/>
      <c r="J10" s="794"/>
      <c r="K10" s="661"/>
      <c r="L10" s="794"/>
      <c r="M10" s="677"/>
      <c r="N10" s="794"/>
      <c r="O10" s="661"/>
      <c r="P10" s="794"/>
      <c r="Q10" s="661"/>
      <c r="R10" s="794"/>
      <c r="S10" s="700"/>
    </row>
    <row r="11" spans="1:19" ht="14.4" customHeight="1" x14ac:dyDescent="0.3">
      <c r="A11" s="687" t="s">
        <v>3477</v>
      </c>
      <c r="B11" s="794">
        <v>3172</v>
      </c>
      <c r="C11" s="661">
        <v>1</v>
      </c>
      <c r="D11" s="794">
        <v>6058</v>
      </c>
      <c r="E11" s="661">
        <v>1.9098360655737705</v>
      </c>
      <c r="F11" s="794">
        <v>4000</v>
      </c>
      <c r="G11" s="677">
        <v>1.2610340479192939</v>
      </c>
      <c r="H11" s="794"/>
      <c r="I11" s="661"/>
      <c r="J11" s="794"/>
      <c r="K11" s="661"/>
      <c r="L11" s="794"/>
      <c r="M11" s="677"/>
      <c r="N11" s="794"/>
      <c r="O11" s="661"/>
      <c r="P11" s="794"/>
      <c r="Q11" s="661"/>
      <c r="R11" s="794"/>
      <c r="S11" s="700"/>
    </row>
    <row r="12" spans="1:19" ht="14.4" customHeight="1" x14ac:dyDescent="0.3">
      <c r="A12" s="687" t="s">
        <v>3478</v>
      </c>
      <c r="B12" s="794">
        <v>1960</v>
      </c>
      <c r="C12" s="661">
        <v>1</v>
      </c>
      <c r="D12" s="794">
        <v>327</v>
      </c>
      <c r="E12" s="661">
        <v>0.16683673469387755</v>
      </c>
      <c r="F12" s="794"/>
      <c r="G12" s="677"/>
      <c r="H12" s="794"/>
      <c r="I12" s="661"/>
      <c r="J12" s="794"/>
      <c r="K12" s="661"/>
      <c r="L12" s="794"/>
      <c r="M12" s="677"/>
      <c r="N12" s="794"/>
      <c r="O12" s="661"/>
      <c r="P12" s="794"/>
      <c r="Q12" s="661"/>
      <c r="R12" s="794"/>
      <c r="S12" s="700"/>
    </row>
    <row r="13" spans="1:19" ht="14.4" customHeight="1" x14ac:dyDescent="0.3">
      <c r="A13" s="687" t="s">
        <v>3479</v>
      </c>
      <c r="B13" s="794">
        <v>34</v>
      </c>
      <c r="C13" s="661">
        <v>1</v>
      </c>
      <c r="D13" s="794"/>
      <c r="E13" s="661"/>
      <c r="F13" s="794"/>
      <c r="G13" s="677"/>
      <c r="H13" s="794"/>
      <c r="I13" s="661"/>
      <c r="J13" s="794"/>
      <c r="K13" s="661"/>
      <c r="L13" s="794"/>
      <c r="M13" s="677"/>
      <c r="N13" s="794"/>
      <c r="O13" s="661"/>
      <c r="P13" s="794"/>
      <c r="Q13" s="661"/>
      <c r="R13" s="794"/>
      <c r="S13" s="700"/>
    </row>
    <row r="14" spans="1:19" ht="14.4" customHeight="1" x14ac:dyDescent="0.3">
      <c r="A14" s="687" t="s">
        <v>3480</v>
      </c>
      <c r="B14" s="794">
        <v>980</v>
      </c>
      <c r="C14" s="661">
        <v>1</v>
      </c>
      <c r="D14" s="794"/>
      <c r="E14" s="661"/>
      <c r="F14" s="794"/>
      <c r="G14" s="677"/>
      <c r="H14" s="794"/>
      <c r="I14" s="661"/>
      <c r="J14" s="794"/>
      <c r="K14" s="661"/>
      <c r="L14" s="794"/>
      <c r="M14" s="677"/>
      <c r="N14" s="794"/>
      <c r="O14" s="661"/>
      <c r="P14" s="794"/>
      <c r="Q14" s="661"/>
      <c r="R14" s="794"/>
      <c r="S14" s="700"/>
    </row>
    <row r="15" spans="1:19" ht="14.4" customHeight="1" x14ac:dyDescent="0.3">
      <c r="A15" s="687" t="s">
        <v>3481</v>
      </c>
      <c r="B15" s="794">
        <v>980</v>
      </c>
      <c r="C15" s="661">
        <v>1</v>
      </c>
      <c r="D15" s="794">
        <v>980</v>
      </c>
      <c r="E15" s="661">
        <v>1</v>
      </c>
      <c r="F15" s="794">
        <v>985</v>
      </c>
      <c r="G15" s="677">
        <v>1.0051020408163265</v>
      </c>
      <c r="H15" s="794"/>
      <c r="I15" s="661"/>
      <c r="J15" s="794"/>
      <c r="K15" s="661"/>
      <c r="L15" s="794"/>
      <c r="M15" s="677"/>
      <c r="N15" s="794"/>
      <c r="O15" s="661"/>
      <c r="P15" s="794"/>
      <c r="Q15" s="661"/>
      <c r="R15" s="794"/>
      <c r="S15" s="700"/>
    </row>
    <row r="16" spans="1:19" ht="14.4" customHeight="1" x14ac:dyDescent="0.3">
      <c r="A16" s="687" t="s">
        <v>1902</v>
      </c>
      <c r="B16" s="794">
        <v>14669331</v>
      </c>
      <c r="C16" s="661">
        <v>1</v>
      </c>
      <c r="D16" s="794">
        <v>15174217</v>
      </c>
      <c r="E16" s="661">
        <v>1.0344177931495309</v>
      </c>
      <c r="F16" s="794">
        <v>13636254</v>
      </c>
      <c r="G16" s="677">
        <v>0.92957572502795116</v>
      </c>
      <c r="H16" s="794">
        <v>6047044.0299999984</v>
      </c>
      <c r="I16" s="661">
        <v>1</v>
      </c>
      <c r="J16" s="794">
        <v>6357144.1899999967</v>
      </c>
      <c r="K16" s="661">
        <v>1.0512812803183771</v>
      </c>
      <c r="L16" s="794">
        <v>5297875</v>
      </c>
      <c r="M16" s="677">
        <v>0.87610987677891961</v>
      </c>
      <c r="N16" s="794"/>
      <c r="O16" s="661"/>
      <c r="P16" s="794"/>
      <c r="Q16" s="661"/>
      <c r="R16" s="794"/>
      <c r="S16" s="700"/>
    </row>
    <row r="17" spans="1:19" ht="14.4" customHeight="1" thickBot="1" x14ac:dyDescent="0.35">
      <c r="A17" s="789" t="s">
        <v>3482</v>
      </c>
      <c r="B17" s="788"/>
      <c r="C17" s="667"/>
      <c r="D17" s="788">
        <v>980</v>
      </c>
      <c r="E17" s="667"/>
      <c r="F17" s="788"/>
      <c r="G17" s="678"/>
      <c r="H17" s="788"/>
      <c r="I17" s="667"/>
      <c r="J17" s="788"/>
      <c r="K17" s="667"/>
      <c r="L17" s="788"/>
      <c r="M17" s="678"/>
      <c r="N17" s="788"/>
      <c r="O17" s="667"/>
      <c r="P17" s="788"/>
      <c r="Q17" s="667"/>
      <c r="R17" s="788"/>
      <c r="S17" s="701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398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78" t="s">
        <v>3999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55"/>
      <c r="C2" s="255"/>
      <c r="D2" s="255"/>
      <c r="E2" s="255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359"/>
      <c r="Q2" s="358"/>
    </row>
    <row r="3" spans="1:17" ht="14.4" customHeight="1" thickBot="1" x14ac:dyDescent="0.35">
      <c r="E3" s="112" t="s">
        <v>160</v>
      </c>
      <c r="F3" s="211">
        <f t="shared" ref="F3:O3" si="0">SUBTOTAL(9,F6:F1048576)</f>
        <v>9351.82</v>
      </c>
      <c r="G3" s="212">
        <f t="shared" si="0"/>
        <v>20736665.030000001</v>
      </c>
      <c r="H3" s="212"/>
      <c r="I3" s="212"/>
      <c r="J3" s="212">
        <f t="shared" si="0"/>
        <v>8176.9499999999989</v>
      </c>
      <c r="K3" s="212">
        <f t="shared" si="0"/>
        <v>21541666.189999998</v>
      </c>
      <c r="L3" s="212"/>
      <c r="M3" s="212"/>
      <c r="N3" s="212">
        <f t="shared" si="0"/>
        <v>7420.57</v>
      </c>
      <c r="O3" s="212">
        <f t="shared" si="0"/>
        <v>18944719</v>
      </c>
      <c r="P3" s="79">
        <f>IF(G3=0,0,O3/G3)</f>
        <v>0.91358562105297214</v>
      </c>
      <c r="Q3" s="213">
        <f>IF(N3=0,0,O3/N3)</f>
        <v>2553.0005107424363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121</v>
      </c>
      <c r="E4" s="562" t="s">
        <v>81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798"/>
      <c r="B5" s="797"/>
      <c r="C5" s="798"/>
      <c r="D5" s="806"/>
      <c r="E5" s="800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05"/>
    </row>
    <row r="6" spans="1:17" ht="14.4" customHeight="1" x14ac:dyDescent="0.3">
      <c r="A6" s="733" t="s">
        <v>3483</v>
      </c>
      <c r="B6" s="734" t="s">
        <v>3410</v>
      </c>
      <c r="C6" s="734" t="s">
        <v>3411</v>
      </c>
      <c r="D6" s="734" t="s">
        <v>3412</v>
      </c>
      <c r="E6" s="734" t="s">
        <v>3413</v>
      </c>
      <c r="F6" s="229">
        <v>1</v>
      </c>
      <c r="G6" s="229">
        <v>34</v>
      </c>
      <c r="H6" s="229">
        <v>1</v>
      </c>
      <c r="I6" s="229">
        <v>34</v>
      </c>
      <c r="J6" s="229"/>
      <c r="K6" s="229"/>
      <c r="L6" s="229"/>
      <c r="M6" s="229"/>
      <c r="N6" s="229"/>
      <c r="O6" s="229"/>
      <c r="P6" s="739"/>
      <c r="Q6" s="747"/>
    </row>
    <row r="7" spans="1:17" ht="14.4" customHeight="1" x14ac:dyDescent="0.3">
      <c r="A7" s="660" t="s">
        <v>3483</v>
      </c>
      <c r="B7" s="661" t="s">
        <v>3410</v>
      </c>
      <c r="C7" s="661" t="s">
        <v>3411</v>
      </c>
      <c r="D7" s="661" t="s">
        <v>3422</v>
      </c>
      <c r="E7" s="661" t="s">
        <v>3423</v>
      </c>
      <c r="F7" s="664">
        <v>2</v>
      </c>
      <c r="G7" s="664">
        <v>1960</v>
      </c>
      <c r="H7" s="664">
        <v>1</v>
      </c>
      <c r="I7" s="664">
        <v>980</v>
      </c>
      <c r="J7" s="664">
        <v>1</v>
      </c>
      <c r="K7" s="664">
        <v>980</v>
      </c>
      <c r="L7" s="664">
        <v>0.5</v>
      </c>
      <c r="M7" s="664">
        <v>980</v>
      </c>
      <c r="N7" s="664">
        <v>3</v>
      </c>
      <c r="O7" s="664">
        <v>2955</v>
      </c>
      <c r="P7" s="677">
        <v>1.5076530612244898</v>
      </c>
      <c r="Q7" s="665">
        <v>985</v>
      </c>
    </row>
    <row r="8" spans="1:17" ht="14.4" customHeight="1" x14ac:dyDescent="0.3">
      <c r="A8" s="660" t="s">
        <v>3483</v>
      </c>
      <c r="B8" s="661" t="s">
        <v>3410</v>
      </c>
      <c r="C8" s="661" t="s">
        <v>3411</v>
      </c>
      <c r="D8" s="661" t="s">
        <v>3432</v>
      </c>
      <c r="E8" s="661" t="s">
        <v>3433</v>
      </c>
      <c r="F8" s="664">
        <v>2</v>
      </c>
      <c r="G8" s="664">
        <v>3812</v>
      </c>
      <c r="H8" s="664">
        <v>1</v>
      </c>
      <c r="I8" s="664">
        <v>1906</v>
      </c>
      <c r="J8" s="664"/>
      <c r="K8" s="664"/>
      <c r="L8" s="664"/>
      <c r="M8" s="664"/>
      <c r="N8" s="664"/>
      <c r="O8" s="664"/>
      <c r="P8" s="677"/>
      <c r="Q8" s="665"/>
    </row>
    <row r="9" spans="1:17" ht="14.4" customHeight="1" x14ac:dyDescent="0.3">
      <c r="A9" s="660" t="s">
        <v>3483</v>
      </c>
      <c r="B9" s="661" t="s">
        <v>3410</v>
      </c>
      <c r="C9" s="661" t="s">
        <v>3411</v>
      </c>
      <c r="D9" s="661" t="s">
        <v>3434</v>
      </c>
      <c r="E9" s="661" t="s">
        <v>3435</v>
      </c>
      <c r="F9" s="664"/>
      <c r="G9" s="664"/>
      <c r="H9" s="664"/>
      <c r="I9" s="664"/>
      <c r="J9" s="664"/>
      <c r="K9" s="664"/>
      <c r="L9" s="664"/>
      <c r="M9" s="664"/>
      <c r="N9" s="664">
        <v>1</v>
      </c>
      <c r="O9" s="664">
        <v>331</v>
      </c>
      <c r="P9" s="677"/>
      <c r="Q9" s="665">
        <v>331</v>
      </c>
    </row>
    <row r="10" spans="1:17" ht="14.4" customHeight="1" x14ac:dyDescent="0.3">
      <c r="A10" s="660" t="s">
        <v>3483</v>
      </c>
      <c r="B10" s="661" t="s">
        <v>3446</v>
      </c>
      <c r="C10" s="661" t="s">
        <v>3411</v>
      </c>
      <c r="D10" s="661" t="s">
        <v>3412</v>
      </c>
      <c r="E10" s="661" t="s">
        <v>3413</v>
      </c>
      <c r="F10" s="664">
        <v>1</v>
      </c>
      <c r="G10" s="664">
        <v>34</v>
      </c>
      <c r="H10" s="664">
        <v>1</v>
      </c>
      <c r="I10" s="664">
        <v>34</v>
      </c>
      <c r="J10" s="664"/>
      <c r="K10" s="664"/>
      <c r="L10" s="664"/>
      <c r="M10" s="664"/>
      <c r="N10" s="664"/>
      <c r="O10" s="664"/>
      <c r="P10" s="677"/>
      <c r="Q10" s="665"/>
    </row>
    <row r="11" spans="1:17" ht="14.4" customHeight="1" x14ac:dyDescent="0.3">
      <c r="A11" s="660" t="s">
        <v>3483</v>
      </c>
      <c r="B11" s="661" t="s">
        <v>3446</v>
      </c>
      <c r="C11" s="661" t="s">
        <v>3411</v>
      </c>
      <c r="D11" s="661" t="s">
        <v>3422</v>
      </c>
      <c r="E11" s="661" t="s">
        <v>3423</v>
      </c>
      <c r="F11" s="664">
        <v>2</v>
      </c>
      <c r="G11" s="664">
        <v>1960</v>
      </c>
      <c r="H11" s="664">
        <v>1</v>
      </c>
      <c r="I11" s="664">
        <v>980</v>
      </c>
      <c r="J11" s="664"/>
      <c r="K11" s="664"/>
      <c r="L11" s="664"/>
      <c r="M11" s="664"/>
      <c r="N11" s="664"/>
      <c r="O11" s="664"/>
      <c r="P11" s="677"/>
      <c r="Q11" s="665"/>
    </row>
    <row r="12" spans="1:17" ht="14.4" customHeight="1" x14ac:dyDescent="0.3">
      <c r="A12" s="660" t="s">
        <v>3483</v>
      </c>
      <c r="B12" s="661" t="s">
        <v>3446</v>
      </c>
      <c r="C12" s="661" t="s">
        <v>3411</v>
      </c>
      <c r="D12" s="661" t="s">
        <v>3484</v>
      </c>
      <c r="E12" s="661" t="s">
        <v>3485</v>
      </c>
      <c r="F12" s="664">
        <v>2</v>
      </c>
      <c r="G12" s="664">
        <v>464</v>
      </c>
      <c r="H12" s="664">
        <v>1</v>
      </c>
      <c r="I12" s="664">
        <v>232</v>
      </c>
      <c r="J12" s="664"/>
      <c r="K12" s="664"/>
      <c r="L12" s="664"/>
      <c r="M12" s="664"/>
      <c r="N12" s="664"/>
      <c r="O12" s="664"/>
      <c r="P12" s="677"/>
      <c r="Q12" s="665"/>
    </row>
    <row r="13" spans="1:17" ht="14.4" customHeight="1" x14ac:dyDescent="0.3">
      <c r="A13" s="660" t="s">
        <v>3483</v>
      </c>
      <c r="B13" s="661" t="s">
        <v>3446</v>
      </c>
      <c r="C13" s="661" t="s">
        <v>3411</v>
      </c>
      <c r="D13" s="661" t="s">
        <v>3486</v>
      </c>
      <c r="E13" s="661" t="s">
        <v>3487</v>
      </c>
      <c r="F13" s="664"/>
      <c r="G13" s="664"/>
      <c r="H13" s="664"/>
      <c r="I13" s="664"/>
      <c r="J13" s="664"/>
      <c r="K13" s="664"/>
      <c r="L13" s="664"/>
      <c r="M13" s="664"/>
      <c r="N13" s="664">
        <v>1</v>
      </c>
      <c r="O13" s="664">
        <v>349</v>
      </c>
      <c r="P13" s="677"/>
      <c r="Q13" s="665">
        <v>349</v>
      </c>
    </row>
    <row r="14" spans="1:17" ht="14.4" customHeight="1" x14ac:dyDescent="0.3">
      <c r="A14" s="660" t="s">
        <v>3488</v>
      </c>
      <c r="B14" s="661" t="s">
        <v>3410</v>
      </c>
      <c r="C14" s="661" t="s">
        <v>3411</v>
      </c>
      <c r="D14" s="661" t="s">
        <v>3422</v>
      </c>
      <c r="E14" s="661" t="s">
        <v>3423</v>
      </c>
      <c r="F14" s="664"/>
      <c r="G14" s="664"/>
      <c r="H14" s="664"/>
      <c r="I14" s="664"/>
      <c r="J14" s="664"/>
      <c r="K14" s="664"/>
      <c r="L14" s="664"/>
      <c r="M14" s="664"/>
      <c r="N14" s="664">
        <v>1</v>
      </c>
      <c r="O14" s="664">
        <v>985</v>
      </c>
      <c r="P14" s="677"/>
      <c r="Q14" s="665">
        <v>985</v>
      </c>
    </row>
    <row r="15" spans="1:17" ht="14.4" customHeight="1" x14ac:dyDescent="0.3">
      <c r="A15" s="660" t="s">
        <v>3488</v>
      </c>
      <c r="B15" s="661" t="s">
        <v>3446</v>
      </c>
      <c r="C15" s="661" t="s">
        <v>3411</v>
      </c>
      <c r="D15" s="661" t="s">
        <v>3422</v>
      </c>
      <c r="E15" s="661" t="s">
        <v>3423</v>
      </c>
      <c r="F15" s="664">
        <v>2</v>
      </c>
      <c r="G15" s="664">
        <v>1960</v>
      </c>
      <c r="H15" s="664">
        <v>1</v>
      </c>
      <c r="I15" s="664">
        <v>980</v>
      </c>
      <c r="J15" s="664"/>
      <c r="K15" s="664"/>
      <c r="L15" s="664"/>
      <c r="M15" s="664"/>
      <c r="N15" s="664"/>
      <c r="O15" s="664"/>
      <c r="P15" s="677"/>
      <c r="Q15" s="665"/>
    </row>
    <row r="16" spans="1:17" ht="14.4" customHeight="1" x14ac:dyDescent="0.3">
      <c r="A16" s="660" t="s">
        <v>3489</v>
      </c>
      <c r="B16" s="661" t="s">
        <v>3410</v>
      </c>
      <c r="C16" s="661" t="s">
        <v>3411</v>
      </c>
      <c r="D16" s="661" t="s">
        <v>3422</v>
      </c>
      <c r="E16" s="661" t="s">
        <v>3423</v>
      </c>
      <c r="F16" s="664"/>
      <c r="G16" s="664"/>
      <c r="H16" s="664"/>
      <c r="I16" s="664"/>
      <c r="J16" s="664">
        <v>1</v>
      </c>
      <c r="K16" s="664">
        <v>980</v>
      </c>
      <c r="L16" s="664"/>
      <c r="M16" s="664">
        <v>980</v>
      </c>
      <c r="N16" s="664"/>
      <c r="O16" s="664"/>
      <c r="P16" s="677"/>
      <c r="Q16" s="665"/>
    </row>
    <row r="17" spans="1:17" ht="14.4" customHeight="1" x14ac:dyDescent="0.3">
      <c r="A17" s="660" t="s">
        <v>3490</v>
      </c>
      <c r="B17" s="661" t="s">
        <v>3446</v>
      </c>
      <c r="C17" s="661" t="s">
        <v>3411</v>
      </c>
      <c r="D17" s="661" t="s">
        <v>3422</v>
      </c>
      <c r="E17" s="661" t="s">
        <v>3423</v>
      </c>
      <c r="F17" s="664">
        <v>1</v>
      </c>
      <c r="G17" s="664">
        <v>980</v>
      </c>
      <c r="H17" s="664">
        <v>1</v>
      </c>
      <c r="I17" s="664">
        <v>980</v>
      </c>
      <c r="J17" s="664"/>
      <c r="K17" s="664"/>
      <c r="L17" s="664"/>
      <c r="M17" s="664"/>
      <c r="N17" s="664"/>
      <c r="O17" s="664"/>
      <c r="P17" s="677"/>
      <c r="Q17" s="665"/>
    </row>
    <row r="18" spans="1:17" ht="14.4" customHeight="1" x14ac:dyDescent="0.3">
      <c r="A18" s="660" t="s">
        <v>3491</v>
      </c>
      <c r="B18" s="661" t="s">
        <v>3410</v>
      </c>
      <c r="C18" s="661" t="s">
        <v>3411</v>
      </c>
      <c r="D18" s="661" t="s">
        <v>3422</v>
      </c>
      <c r="E18" s="661" t="s">
        <v>3423</v>
      </c>
      <c r="F18" s="664">
        <v>2</v>
      </c>
      <c r="G18" s="664">
        <v>1960</v>
      </c>
      <c r="H18" s="664">
        <v>1</v>
      </c>
      <c r="I18" s="664">
        <v>980</v>
      </c>
      <c r="J18" s="664"/>
      <c r="K18" s="664"/>
      <c r="L18" s="664"/>
      <c r="M18" s="664"/>
      <c r="N18" s="664">
        <v>1</v>
      </c>
      <c r="O18" s="664">
        <v>985</v>
      </c>
      <c r="P18" s="677">
        <v>0.50255102040816324</v>
      </c>
      <c r="Q18" s="665">
        <v>985</v>
      </c>
    </row>
    <row r="19" spans="1:17" ht="14.4" customHeight="1" x14ac:dyDescent="0.3">
      <c r="A19" s="660" t="s">
        <v>3492</v>
      </c>
      <c r="B19" s="661" t="s">
        <v>3410</v>
      </c>
      <c r="C19" s="661" t="s">
        <v>3411</v>
      </c>
      <c r="D19" s="661" t="s">
        <v>3422</v>
      </c>
      <c r="E19" s="661" t="s">
        <v>3423</v>
      </c>
      <c r="F19" s="664">
        <v>2</v>
      </c>
      <c r="G19" s="664">
        <v>1960</v>
      </c>
      <c r="H19" s="664">
        <v>1</v>
      </c>
      <c r="I19" s="664">
        <v>980</v>
      </c>
      <c r="J19" s="664">
        <v>3</v>
      </c>
      <c r="K19" s="664">
        <v>2940</v>
      </c>
      <c r="L19" s="664">
        <v>1.5</v>
      </c>
      <c r="M19" s="664">
        <v>980</v>
      </c>
      <c r="N19" s="664">
        <v>2</v>
      </c>
      <c r="O19" s="664">
        <v>1970</v>
      </c>
      <c r="P19" s="677">
        <v>1.0051020408163265</v>
      </c>
      <c r="Q19" s="665">
        <v>985</v>
      </c>
    </row>
    <row r="20" spans="1:17" ht="14.4" customHeight="1" x14ac:dyDescent="0.3">
      <c r="A20" s="660" t="s">
        <v>3492</v>
      </c>
      <c r="B20" s="661" t="s">
        <v>3410</v>
      </c>
      <c r="C20" s="661" t="s">
        <v>3411</v>
      </c>
      <c r="D20" s="661" t="s">
        <v>3432</v>
      </c>
      <c r="E20" s="661" t="s">
        <v>3433</v>
      </c>
      <c r="F20" s="664"/>
      <c r="G20" s="664"/>
      <c r="H20" s="664"/>
      <c r="I20" s="664"/>
      <c r="J20" s="664">
        <v>1</v>
      </c>
      <c r="K20" s="664">
        <v>1906</v>
      </c>
      <c r="L20" s="664"/>
      <c r="M20" s="664">
        <v>1906</v>
      </c>
      <c r="N20" s="664">
        <v>1</v>
      </c>
      <c r="O20" s="664">
        <v>1912</v>
      </c>
      <c r="P20" s="677"/>
      <c r="Q20" s="665">
        <v>1912</v>
      </c>
    </row>
    <row r="21" spans="1:17" ht="14.4" customHeight="1" x14ac:dyDescent="0.3">
      <c r="A21" s="660" t="s">
        <v>3492</v>
      </c>
      <c r="B21" s="661" t="s">
        <v>3446</v>
      </c>
      <c r="C21" s="661" t="s">
        <v>3411</v>
      </c>
      <c r="D21" s="661" t="s">
        <v>3422</v>
      </c>
      <c r="E21" s="661" t="s">
        <v>3423</v>
      </c>
      <c r="F21" s="664">
        <v>1</v>
      </c>
      <c r="G21" s="664">
        <v>980</v>
      </c>
      <c r="H21" s="664">
        <v>1</v>
      </c>
      <c r="I21" s="664">
        <v>980</v>
      </c>
      <c r="J21" s="664">
        <v>1</v>
      </c>
      <c r="K21" s="664">
        <v>980</v>
      </c>
      <c r="L21" s="664">
        <v>1</v>
      </c>
      <c r="M21" s="664">
        <v>980</v>
      </c>
      <c r="N21" s="664"/>
      <c r="O21" s="664"/>
      <c r="P21" s="677"/>
      <c r="Q21" s="665"/>
    </row>
    <row r="22" spans="1:17" ht="14.4" customHeight="1" x14ac:dyDescent="0.3">
      <c r="A22" s="660" t="s">
        <v>3492</v>
      </c>
      <c r="B22" s="661" t="s">
        <v>3446</v>
      </c>
      <c r="C22" s="661" t="s">
        <v>3411</v>
      </c>
      <c r="D22" s="661" t="s">
        <v>3484</v>
      </c>
      <c r="E22" s="661" t="s">
        <v>3485</v>
      </c>
      <c r="F22" s="664">
        <v>1</v>
      </c>
      <c r="G22" s="664">
        <v>232</v>
      </c>
      <c r="H22" s="664">
        <v>1</v>
      </c>
      <c r="I22" s="664">
        <v>232</v>
      </c>
      <c r="J22" s="664"/>
      <c r="K22" s="664"/>
      <c r="L22" s="664"/>
      <c r="M22" s="664"/>
      <c r="N22" s="664"/>
      <c r="O22" s="664"/>
      <c r="P22" s="677"/>
      <c r="Q22" s="665"/>
    </row>
    <row r="23" spans="1:17" ht="14.4" customHeight="1" x14ac:dyDescent="0.3">
      <c r="A23" s="660" t="s">
        <v>3492</v>
      </c>
      <c r="B23" s="661" t="s">
        <v>3446</v>
      </c>
      <c r="C23" s="661" t="s">
        <v>3411</v>
      </c>
      <c r="D23" s="661" t="s">
        <v>3453</v>
      </c>
      <c r="E23" s="661" t="s">
        <v>3454</v>
      </c>
      <c r="F23" s="664"/>
      <c r="G23" s="664"/>
      <c r="H23" s="664"/>
      <c r="I23" s="664"/>
      <c r="J23" s="664"/>
      <c r="K23" s="664"/>
      <c r="L23" s="664"/>
      <c r="M23" s="664"/>
      <c r="N23" s="664">
        <v>1</v>
      </c>
      <c r="O23" s="664">
        <v>118</v>
      </c>
      <c r="P23" s="677"/>
      <c r="Q23" s="665">
        <v>118</v>
      </c>
    </row>
    <row r="24" spans="1:17" ht="14.4" customHeight="1" x14ac:dyDescent="0.3">
      <c r="A24" s="660" t="s">
        <v>3492</v>
      </c>
      <c r="B24" s="661" t="s">
        <v>3446</v>
      </c>
      <c r="C24" s="661" t="s">
        <v>3411</v>
      </c>
      <c r="D24" s="661" t="s">
        <v>3493</v>
      </c>
      <c r="E24" s="661" t="s">
        <v>3494</v>
      </c>
      <c r="F24" s="664"/>
      <c r="G24" s="664"/>
      <c r="H24" s="664"/>
      <c r="I24" s="664"/>
      <c r="J24" s="664">
        <v>1</v>
      </c>
      <c r="K24" s="664">
        <v>232</v>
      </c>
      <c r="L24" s="664"/>
      <c r="M24" s="664">
        <v>232</v>
      </c>
      <c r="N24" s="664"/>
      <c r="O24" s="664"/>
      <c r="P24" s="677"/>
      <c r="Q24" s="665"/>
    </row>
    <row r="25" spans="1:17" ht="14.4" customHeight="1" x14ac:dyDescent="0.3">
      <c r="A25" s="660" t="s">
        <v>3495</v>
      </c>
      <c r="B25" s="661" t="s">
        <v>3410</v>
      </c>
      <c r="C25" s="661" t="s">
        <v>3411</v>
      </c>
      <c r="D25" s="661" t="s">
        <v>3428</v>
      </c>
      <c r="E25" s="661" t="s">
        <v>3429</v>
      </c>
      <c r="F25" s="664"/>
      <c r="G25" s="664"/>
      <c r="H25" s="664"/>
      <c r="I25" s="664"/>
      <c r="J25" s="664">
        <v>1</v>
      </c>
      <c r="K25" s="664">
        <v>0</v>
      </c>
      <c r="L25" s="664"/>
      <c r="M25" s="664">
        <v>0</v>
      </c>
      <c r="N25" s="664"/>
      <c r="O25" s="664"/>
      <c r="P25" s="677"/>
      <c r="Q25" s="665"/>
    </row>
    <row r="26" spans="1:17" ht="14.4" customHeight="1" x14ac:dyDescent="0.3">
      <c r="A26" s="660" t="s">
        <v>3495</v>
      </c>
      <c r="B26" s="661" t="s">
        <v>3410</v>
      </c>
      <c r="C26" s="661" t="s">
        <v>3411</v>
      </c>
      <c r="D26" s="661" t="s">
        <v>3434</v>
      </c>
      <c r="E26" s="661" t="s">
        <v>3435</v>
      </c>
      <c r="F26" s="664"/>
      <c r="G26" s="664"/>
      <c r="H26" s="664"/>
      <c r="I26" s="664"/>
      <c r="J26" s="664">
        <v>1</v>
      </c>
      <c r="K26" s="664">
        <v>327</v>
      </c>
      <c r="L26" s="664"/>
      <c r="M26" s="664">
        <v>327</v>
      </c>
      <c r="N26" s="664"/>
      <c r="O26" s="664"/>
      <c r="P26" s="677"/>
      <c r="Q26" s="665"/>
    </row>
    <row r="27" spans="1:17" ht="14.4" customHeight="1" x14ac:dyDescent="0.3">
      <c r="A27" s="660" t="s">
        <v>3495</v>
      </c>
      <c r="B27" s="661" t="s">
        <v>3446</v>
      </c>
      <c r="C27" s="661" t="s">
        <v>3411</v>
      </c>
      <c r="D27" s="661" t="s">
        <v>3422</v>
      </c>
      <c r="E27" s="661" t="s">
        <v>3423</v>
      </c>
      <c r="F27" s="664">
        <v>2</v>
      </c>
      <c r="G27" s="664">
        <v>1960</v>
      </c>
      <c r="H27" s="664">
        <v>1</v>
      </c>
      <c r="I27" s="664">
        <v>980</v>
      </c>
      <c r="J27" s="664"/>
      <c r="K27" s="664"/>
      <c r="L27" s="664"/>
      <c r="M27" s="664"/>
      <c r="N27" s="664"/>
      <c r="O27" s="664"/>
      <c r="P27" s="677"/>
      <c r="Q27" s="665"/>
    </row>
    <row r="28" spans="1:17" ht="14.4" customHeight="1" x14ac:dyDescent="0.3">
      <c r="A28" s="660" t="s">
        <v>3496</v>
      </c>
      <c r="B28" s="661" t="s">
        <v>3446</v>
      </c>
      <c r="C28" s="661" t="s">
        <v>3411</v>
      </c>
      <c r="D28" s="661" t="s">
        <v>3412</v>
      </c>
      <c r="E28" s="661" t="s">
        <v>3413</v>
      </c>
      <c r="F28" s="664">
        <v>1</v>
      </c>
      <c r="G28" s="664">
        <v>34</v>
      </c>
      <c r="H28" s="664">
        <v>1</v>
      </c>
      <c r="I28" s="664">
        <v>34</v>
      </c>
      <c r="J28" s="664"/>
      <c r="K28" s="664"/>
      <c r="L28" s="664"/>
      <c r="M28" s="664"/>
      <c r="N28" s="664"/>
      <c r="O28" s="664"/>
      <c r="P28" s="677"/>
      <c r="Q28" s="665"/>
    </row>
    <row r="29" spans="1:17" ht="14.4" customHeight="1" x14ac:dyDescent="0.3">
      <c r="A29" s="660" t="s">
        <v>3497</v>
      </c>
      <c r="B29" s="661" t="s">
        <v>3446</v>
      </c>
      <c r="C29" s="661" t="s">
        <v>3411</v>
      </c>
      <c r="D29" s="661" t="s">
        <v>3422</v>
      </c>
      <c r="E29" s="661" t="s">
        <v>3423</v>
      </c>
      <c r="F29" s="664">
        <v>1</v>
      </c>
      <c r="G29" s="664">
        <v>980</v>
      </c>
      <c r="H29" s="664">
        <v>1</v>
      </c>
      <c r="I29" s="664">
        <v>980</v>
      </c>
      <c r="J29" s="664"/>
      <c r="K29" s="664"/>
      <c r="L29" s="664"/>
      <c r="M29" s="664"/>
      <c r="N29" s="664"/>
      <c r="O29" s="664"/>
      <c r="P29" s="677"/>
      <c r="Q29" s="665"/>
    </row>
    <row r="30" spans="1:17" ht="14.4" customHeight="1" x14ac:dyDescent="0.3">
      <c r="A30" s="660" t="s">
        <v>3498</v>
      </c>
      <c r="B30" s="661" t="s">
        <v>3410</v>
      </c>
      <c r="C30" s="661" t="s">
        <v>3411</v>
      </c>
      <c r="D30" s="661" t="s">
        <v>3422</v>
      </c>
      <c r="E30" s="661" t="s">
        <v>3423</v>
      </c>
      <c r="F30" s="664"/>
      <c r="G30" s="664"/>
      <c r="H30" s="664"/>
      <c r="I30" s="664"/>
      <c r="J30" s="664">
        <v>1</v>
      </c>
      <c r="K30" s="664">
        <v>980</v>
      </c>
      <c r="L30" s="664"/>
      <c r="M30" s="664">
        <v>980</v>
      </c>
      <c r="N30" s="664">
        <v>1</v>
      </c>
      <c r="O30" s="664">
        <v>985</v>
      </c>
      <c r="P30" s="677"/>
      <c r="Q30" s="665">
        <v>985</v>
      </c>
    </row>
    <row r="31" spans="1:17" ht="14.4" customHeight="1" x14ac:dyDescent="0.3">
      <c r="A31" s="660" t="s">
        <v>3498</v>
      </c>
      <c r="B31" s="661" t="s">
        <v>3446</v>
      </c>
      <c r="C31" s="661" t="s">
        <v>3411</v>
      </c>
      <c r="D31" s="661" t="s">
        <v>3422</v>
      </c>
      <c r="E31" s="661" t="s">
        <v>3423</v>
      </c>
      <c r="F31" s="664">
        <v>1</v>
      </c>
      <c r="G31" s="664">
        <v>980</v>
      </c>
      <c r="H31" s="664">
        <v>1</v>
      </c>
      <c r="I31" s="664">
        <v>980</v>
      </c>
      <c r="J31" s="664"/>
      <c r="K31" s="664"/>
      <c r="L31" s="664"/>
      <c r="M31" s="664"/>
      <c r="N31" s="664"/>
      <c r="O31" s="664"/>
      <c r="P31" s="677"/>
      <c r="Q31" s="665"/>
    </row>
    <row r="32" spans="1:17" ht="14.4" customHeight="1" x14ac:dyDescent="0.3">
      <c r="A32" s="660" t="s">
        <v>552</v>
      </c>
      <c r="B32" s="661" t="s">
        <v>3410</v>
      </c>
      <c r="C32" s="661" t="s">
        <v>3411</v>
      </c>
      <c r="D32" s="661" t="s">
        <v>3414</v>
      </c>
      <c r="E32" s="661" t="s">
        <v>3415</v>
      </c>
      <c r="F32" s="664">
        <v>1</v>
      </c>
      <c r="G32" s="664">
        <v>645</v>
      </c>
      <c r="H32" s="664">
        <v>1</v>
      </c>
      <c r="I32" s="664">
        <v>645</v>
      </c>
      <c r="J32" s="664"/>
      <c r="K32" s="664"/>
      <c r="L32" s="664"/>
      <c r="M32" s="664"/>
      <c r="N32" s="664"/>
      <c r="O32" s="664"/>
      <c r="P32" s="677"/>
      <c r="Q32" s="665"/>
    </row>
    <row r="33" spans="1:17" ht="14.4" customHeight="1" x14ac:dyDescent="0.3">
      <c r="A33" s="660" t="s">
        <v>552</v>
      </c>
      <c r="B33" s="661" t="s">
        <v>3410</v>
      </c>
      <c r="C33" s="661" t="s">
        <v>3411</v>
      </c>
      <c r="D33" s="661" t="s">
        <v>3420</v>
      </c>
      <c r="E33" s="661" t="s">
        <v>3421</v>
      </c>
      <c r="F33" s="664">
        <v>7</v>
      </c>
      <c r="G33" s="664">
        <v>2877</v>
      </c>
      <c r="H33" s="664">
        <v>1</v>
      </c>
      <c r="I33" s="664">
        <v>411</v>
      </c>
      <c r="J33" s="664">
        <v>9</v>
      </c>
      <c r="K33" s="664">
        <v>3699</v>
      </c>
      <c r="L33" s="664">
        <v>1.2857142857142858</v>
      </c>
      <c r="M33" s="664">
        <v>411</v>
      </c>
      <c r="N33" s="664">
        <v>3</v>
      </c>
      <c r="O33" s="664">
        <v>1245</v>
      </c>
      <c r="P33" s="677">
        <v>0.43274244004171014</v>
      </c>
      <c r="Q33" s="665">
        <v>415</v>
      </c>
    </row>
    <row r="34" spans="1:17" ht="14.4" customHeight="1" x14ac:dyDescent="0.3">
      <c r="A34" s="660" t="s">
        <v>552</v>
      </c>
      <c r="B34" s="661" t="s">
        <v>3410</v>
      </c>
      <c r="C34" s="661" t="s">
        <v>3411</v>
      </c>
      <c r="D34" s="661" t="s">
        <v>3422</v>
      </c>
      <c r="E34" s="661" t="s">
        <v>3423</v>
      </c>
      <c r="F34" s="664">
        <v>81</v>
      </c>
      <c r="G34" s="664">
        <v>79380</v>
      </c>
      <c r="H34" s="664">
        <v>1</v>
      </c>
      <c r="I34" s="664">
        <v>980</v>
      </c>
      <c r="J34" s="664">
        <v>147</v>
      </c>
      <c r="K34" s="664">
        <v>144060</v>
      </c>
      <c r="L34" s="664">
        <v>1.8148148148148149</v>
      </c>
      <c r="M34" s="664">
        <v>980</v>
      </c>
      <c r="N34" s="664">
        <v>101</v>
      </c>
      <c r="O34" s="664">
        <v>99485</v>
      </c>
      <c r="P34" s="677">
        <v>1.2532753842277651</v>
      </c>
      <c r="Q34" s="665">
        <v>985</v>
      </c>
    </row>
    <row r="35" spans="1:17" ht="14.4" customHeight="1" x14ac:dyDescent="0.3">
      <c r="A35" s="660" t="s">
        <v>552</v>
      </c>
      <c r="B35" s="661" t="s">
        <v>3410</v>
      </c>
      <c r="C35" s="661" t="s">
        <v>3411</v>
      </c>
      <c r="D35" s="661" t="s">
        <v>3424</v>
      </c>
      <c r="E35" s="661" t="s">
        <v>3425</v>
      </c>
      <c r="F35" s="664"/>
      <c r="G35" s="664"/>
      <c r="H35" s="664"/>
      <c r="I35" s="664"/>
      <c r="J35" s="664">
        <v>1</v>
      </c>
      <c r="K35" s="664">
        <v>2077</v>
      </c>
      <c r="L35" s="664"/>
      <c r="M35" s="664">
        <v>2077</v>
      </c>
      <c r="N35" s="664"/>
      <c r="O35" s="664"/>
      <c r="P35" s="677"/>
      <c r="Q35" s="665"/>
    </row>
    <row r="36" spans="1:17" ht="14.4" customHeight="1" x14ac:dyDescent="0.3">
      <c r="A36" s="660" t="s">
        <v>552</v>
      </c>
      <c r="B36" s="661" t="s">
        <v>3410</v>
      </c>
      <c r="C36" s="661" t="s">
        <v>3411</v>
      </c>
      <c r="D36" s="661" t="s">
        <v>3499</v>
      </c>
      <c r="E36" s="661" t="s">
        <v>3500</v>
      </c>
      <c r="F36" s="664">
        <v>5</v>
      </c>
      <c r="G36" s="664">
        <v>1510</v>
      </c>
      <c r="H36" s="664">
        <v>1</v>
      </c>
      <c r="I36" s="664">
        <v>302</v>
      </c>
      <c r="J36" s="664">
        <v>3</v>
      </c>
      <c r="K36" s="664">
        <v>906</v>
      </c>
      <c r="L36" s="664">
        <v>0.6</v>
      </c>
      <c r="M36" s="664">
        <v>302</v>
      </c>
      <c r="N36" s="664">
        <v>5</v>
      </c>
      <c r="O36" s="664">
        <v>1530</v>
      </c>
      <c r="P36" s="677">
        <v>1.0132450331125828</v>
      </c>
      <c r="Q36" s="665">
        <v>306</v>
      </c>
    </row>
    <row r="37" spans="1:17" ht="14.4" customHeight="1" x14ac:dyDescent="0.3">
      <c r="A37" s="660" t="s">
        <v>552</v>
      </c>
      <c r="B37" s="661" t="s">
        <v>3410</v>
      </c>
      <c r="C37" s="661" t="s">
        <v>3411</v>
      </c>
      <c r="D37" s="661" t="s">
        <v>3432</v>
      </c>
      <c r="E37" s="661" t="s">
        <v>3433</v>
      </c>
      <c r="F37" s="664">
        <v>9</v>
      </c>
      <c r="G37" s="664">
        <v>17154</v>
      </c>
      <c r="H37" s="664">
        <v>1</v>
      </c>
      <c r="I37" s="664">
        <v>1906</v>
      </c>
      <c r="J37" s="664">
        <v>16</v>
      </c>
      <c r="K37" s="664">
        <v>30496</v>
      </c>
      <c r="L37" s="664">
        <v>1.7777777777777777</v>
      </c>
      <c r="M37" s="664">
        <v>1906</v>
      </c>
      <c r="N37" s="664">
        <v>4</v>
      </c>
      <c r="O37" s="664">
        <v>7648</v>
      </c>
      <c r="P37" s="677">
        <v>0.44584353503556023</v>
      </c>
      <c r="Q37" s="665">
        <v>1912</v>
      </c>
    </row>
    <row r="38" spans="1:17" ht="14.4" customHeight="1" x14ac:dyDescent="0.3">
      <c r="A38" s="660" t="s">
        <v>552</v>
      </c>
      <c r="B38" s="661" t="s">
        <v>3410</v>
      </c>
      <c r="C38" s="661" t="s">
        <v>3411</v>
      </c>
      <c r="D38" s="661" t="s">
        <v>3501</v>
      </c>
      <c r="E38" s="661" t="s">
        <v>3502</v>
      </c>
      <c r="F38" s="664">
        <v>7</v>
      </c>
      <c r="G38" s="664">
        <v>62118</v>
      </c>
      <c r="H38" s="664">
        <v>1</v>
      </c>
      <c r="I38" s="664">
        <v>8874</v>
      </c>
      <c r="J38" s="664">
        <v>8</v>
      </c>
      <c r="K38" s="664">
        <v>70992</v>
      </c>
      <c r="L38" s="664">
        <v>1.1428571428571428</v>
      </c>
      <c r="M38" s="664">
        <v>8874</v>
      </c>
      <c r="N38" s="664">
        <v>5</v>
      </c>
      <c r="O38" s="664">
        <v>44430</v>
      </c>
      <c r="P38" s="677">
        <v>0.71525161788853475</v>
      </c>
      <c r="Q38" s="665">
        <v>8886</v>
      </c>
    </row>
    <row r="39" spans="1:17" ht="14.4" customHeight="1" x14ac:dyDescent="0.3">
      <c r="A39" s="660" t="s">
        <v>552</v>
      </c>
      <c r="B39" s="661" t="s">
        <v>3410</v>
      </c>
      <c r="C39" s="661" t="s">
        <v>3411</v>
      </c>
      <c r="D39" s="661" t="s">
        <v>3434</v>
      </c>
      <c r="E39" s="661" t="s">
        <v>3435</v>
      </c>
      <c r="F39" s="664">
        <v>1</v>
      </c>
      <c r="G39" s="664">
        <v>327</v>
      </c>
      <c r="H39" s="664">
        <v>1</v>
      </c>
      <c r="I39" s="664">
        <v>327</v>
      </c>
      <c r="J39" s="664"/>
      <c r="K39" s="664"/>
      <c r="L39" s="664"/>
      <c r="M39" s="664"/>
      <c r="N39" s="664"/>
      <c r="O39" s="664"/>
      <c r="P39" s="677"/>
      <c r="Q39" s="665"/>
    </row>
    <row r="40" spans="1:17" ht="14.4" customHeight="1" x14ac:dyDescent="0.3">
      <c r="A40" s="660" t="s">
        <v>552</v>
      </c>
      <c r="B40" s="661" t="s">
        <v>3410</v>
      </c>
      <c r="C40" s="661" t="s">
        <v>3411</v>
      </c>
      <c r="D40" s="661" t="s">
        <v>3503</v>
      </c>
      <c r="E40" s="661" t="s">
        <v>3504</v>
      </c>
      <c r="F40" s="664">
        <v>201</v>
      </c>
      <c r="G40" s="664">
        <v>145725</v>
      </c>
      <c r="H40" s="664">
        <v>1</v>
      </c>
      <c r="I40" s="664">
        <v>725</v>
      </c>
      <c r="J40" s="664">
        <v>286</v>
      </c>
      <c r="K40" s="664">
        <v>207350</v>
      </c>
      <c r="L40" s="664">
        <v>1.4228855721393034</v>
      </c>
      <c r="M40" s="664">
        <v>725</v>
      </c>
      <c r="N40" s="664">
        <v>249</v>
      </c>
      <c r="O40" s="664">
        <v>182513</v>
      </c>
      <c r="P40" s="677">
        <v>1.252448104306056</v>
      </c>
      <c r="Q40" s="665">
        <v>732.98393574297188</v>
      </c>
    </row>
    <row r="41" spans="1:17" ht="14.4" customHeight="1" x14ac:dyDescent="0.3">
      <c r="A41" s="660" t="s">
        <v>552</v>
      </c>
      <c r="B41" s="661" t="s">
        <v>3410</v>
      </c>
      <c r="C41" s="661" t="s">
        <v>3411</v>
      </c>
      <c r="D41" s="661" t="s">
        <v>3505</v>
      </c>
      <c r="E41" s="661" t="s">
        <v>3506</v>
      </c>
      <c r="F41" s="664"/>
      <c r="G41" s="664"/>
      <c r="H41" s="664"/>
      <c r="I41" s="664"/>
      <c r="J41" s="664">
        <v>2</v>
      </c>
      <c r="K41" s="664">
        <v>7258</v>
      </c>
      <c r="L41" s="664"/>
      <c r="M41" s="664">
        <v>3629</v>
      </c>
      <c r="N41" s="664"/>
      <c r="O41" s="664"/>
      <c r="P41" s="677"/>
      <c r="Q41" s="665"/>
    </row>
    <row r="42" spans="1:17" ht="14.4" customHeight="1" x14ac:dyDescent="0.3">
      <c r="A42" s="660" t="s">
        <v>552</v>
      </c>
      <c r="B42" s="661" t="s">
        <v>3410</v>
      </c>
      <c r="C42" s="661" t="s">
        <v>3411</v>
      </c>
      <c r="D42" s="661" t="s">
        <v>3507</v>
      </c>
      <c r="E42" s="661" t="s">
        <v>3508</v>
      </c>
      <c r="F42" s="664"/>
      <c r="G42" s="664"/>
      <c r="H42" s="664"/>
      <c r="I42" s="664"/>
      <c r="J42" s="664">
        <v>1</v>
      </c>
      <c r="K42" s="664">
        <v>1211</v>
      </c>
      <c r="L42" s="664"/>
      <c r="M42" s="664">
        <v>1211</v>
      </c>
      <c r="N42" s="664">
        <v>1</v>
      </c>
      <c r="O42" s="664">
        <v>1217</v>
      </c>
      <c r="P42" s="677"/>
      <c r="Q42" s="665">
        <v>1217</v>
      </c>
    </row>
    <row r="43" spans="1:17" ht="14.4" customHeight="1" x14ac:dyDescent="0.3">
      <c r="A43" s="660" t="s">
        <v>552</v>
      </c>
      <c r="B43" s="661" t="s">
        <v>3446</v>
      </c>
      <c r="C43" s="661" t="s">
        <v>3411</v>
      </c>
      <c r="D43" s="661" t="s">
        <v>3420</v>
      </c>
      <c r="E43" s="661" t="s">
        <v>3421</v>
      </c>
      <c r="F43" s="664">
        <v>3</v>
      </c>
      <c r="G43" s="664">
        <v>1233</v>
      </c>
      <c r="H43" s="664">
        <v>1</v>
      </c>
      <c r="I43" s="664">
        <v>411</v>
      </c>
      <c r="J43" s="664">
        <v>1</v>
      </c>
      <c r="K43" s="664">
        <v>411</v>
      </c>
      <c r="L43" s="664">
        <v>0.33333333333333331</v>
      </c>
      <c r="M43" s="664">
        <v>411</v>
      </c>
      <c r="N43" s="664"/>
      <c r="O43" s="664"/>
      <c r="P43" s="677"/>
      <c r="Q43" s="665"/>
    </row>
    <row r="44" spans="1:17" ht="14.4" customHeight="1" x14ac:dyDescent="0.3">
      <c r="A44" s="660" t="s">
        <v>552</v>
      </c>
      <c r="B44" s="661" t="s">
        <v>3446</v>
      </c>
      <c r="C44" s="661" t="s">
        <v>3411</v>
      </c>
      <c r="D44" s="661" t="s">
        <v>3422</v>
      </c>
      <c r="E44" s="661" t="s">
        <v>3423</v>
      </c>
      <c r="F44" s="664">
        <v>55</v>
      </c>
      <c r="G44" s="664">
        <v>53900</v>
      </c>
      <c r="H44" s="664">
        <v>1</v>
      </c>
      <c r="I44" s="664">
        <v>980</v>
      </c>
      <c r="J44" s="664">
        <v>14</v>
      </c>
      <c r="K44" s="664">
        <v>13720</v>
      </c>
      <c r="L44" s="664">
        <v>0.25454545454545452</v>
      </c>
      <c r="M44" s="664">
        <v>980</v>
      </c>
      <c r="N44" s="664"/>
      <c r="O44" s="664"/>
      <c r="P44" s="677"/>
      <c r="Q44" s="665"/>
    </row>
    <row r="45" spans="1:17" ht="14.4" customHeight="1" x14ac:dyDescent="0.3">
      <c r="A45" s="660" t="s">
        <v>552</v>
      </c>
      <c r="B45" s="661" t="s">
        <v>3446</v>
      </c>
      <c r="C45" s="661" t="s">
        <v>3411</v>
      </c>
      <c r="D45" s="661" t="s">
        <v>3424</v>
      </c>
      <c r="E45" s="661" t="s">
        <v>3425</v>
      </c>
      <c r="F45" s="664"/>
      <c r="G45" s="664"/>
      <c r="H45" s="664"/>
      <c r="I45" s="664"/>
      <c r="J45" s="664">
        <v>1</v>
      </c>
      <c r="K45" s="664">
        <v>2077</v>
      </c>
      <c r="L45" s="664"/>
      <c r="M45" s="664">
        <v>2077</v>
      </c>
      <c r="N45" s="664"/>
      <c r="O45" s="664"/>
      <c r="P45" s="677"/>
      <c r="Q45" s="665"/>
    </row>
    <row r="46" spans="1:17" ht="14.4" customHeight="1" x14ac:dyDescent="0.3">
      <c r="A46" s="660" t="s">
        <v>552</v>
      </c>
      <c r="B46" s="661" t="s">
        <v>3446</v>
      </c>
      <c r="C46" s="661" t="s">
        <v>3411</v>
      </c>
      <c r="D46" s="661" t="s">
        <v>3432</v>
      </c>
      <c r="E46" s="661" t="s">
        <v>3433</v>
      </c>
      <c r="F46" s="664">
        <v>2</v>
      </c>
      <c r="G46" s="664">
        <v>3812</v>
      </c>
      <c r="H46" s="664">
        <v>1</v>
      </c>
      <c r="I46" s="664">
        <v>1906</v>
      </c>
      <c r="J46" s="664">
        <v>1</v>
      </c>
      <c r="K46" s="664">
        <v>1906</v>
      </c>
      <c r="L46" s="664">
        <v>0.5</v>
      </c>
      <c r="M46" s="664">
        <v>1906</v>
      </c>
      <c r="N46" s="664"/>
      <c r="O46" s="664"/>
      <c r="P46" s="677"/>
      <c r="Q46" s="665"/>
    </row>
    <row r="47" spans="1:17" ht="14.4" customHeight="1" x14ac:dyDescent="0.3">
      <c r="A47" s="660" t="s">
        <v>552</v>
      </c>
      <c r="B47" s="661" t="s">
        <v>3446</v>
      </c>
      <c r="C47" s="661" t="s">
        <v>3411</v>
      </c>
      <c r="D47" s="661" t="s">
        <v>3509</v>
      </c>
      <c r="E47" s="661" t="s">
        <v>3510</v>
      </c>
      <c r="F47" s="664"/>
      <c r="G47" s="664"/>
      <c r="H47" s="664"/>
      <c r="I47" s="664"/>
      <c r="J47" s="664"/>
      <c r="K47" s="664"/>
      <c r="L47" s="664"/>
      <c r="M47" s="664"/>
      <c r="N47" s="664">
        <v>1</v>
      </c>
      <c r="O47" s="664">
        <v>179</v>
      </c>
      <c r="P47" s="677"/>
      <c r="Q47" s="665">
        <v>179</v>
      </c>
    </row>
    <row r="48" spans="1:17" ht="14.4" customHeight="1" x14ac:dyDescent="0.3">
      <c r="A48" s="660" t="s">
        <v>552</v>
      </c>
      <c r="B48" s="661" t="s">
        <v>3511</v>
      </c>
      <c r="C48" s="661" t="s">
        <v>3411</v>
      </c>
      <c r="D48" s="661" t="s">
        <v>3512</v>
      </c>
      <c r="E48" s="661" t="s">
        <v>3513</v>
      </c>
      <c r="F48" s="664">
        <v>1</v>
      </c>
      <c r="G48" s="664">
        <v>2961</v>
      </c>
      <c r="H48" s="664">
        <v>1</v>
      </c>
      <c r="I48" s="664">
        <v>2961</v>
      </c>
      <c r="J48" s="664"/>
      <c r="K48" s="664"/>
      <c r="L48" s="664"/>
      <c r="M48" s="664"/>
      <c r="N48" s="664"/>
      <c r="O48" s="664"/>
      <c r="P48" s="677"/>
      <c r="Q48" s="665"/>
    </row>
    <row r="49" spans="1:17" ht="14.4" customHeight="1" x14ac:dyDescent="0.3">
      <c r="A49" s="660" t="s">
        <v>552</v>
      </c>
      <c r="B49" s="661" t="s">
        <v>3511</v>
      </c>
      <c r="C49" s="661" t="s">
        <v>3411</v>
      </c>
      <c r="D49" s="661" t="s">
        <v>3514</v>
      </c>
      <c r="E49" s="661" t="s">
        <v>3515</v>
      </c>
      <c r="F49" s="664"/>
      <c r="G49" s="664"/>
      <c r="H49" s="664"/>
      <c r="I49" s="664"/>
      <c r="J49" s="664"/>
      <c r="K49" s="664"/>
      <c r="L49" s="664"/>
      <c r="M49" s="664"/>
      <c r="N49" s="664">
        <v>1</v>
      </c>
      <c r="O49" s="664">
        <v>0</v>
      </c>
      <c r="P49" s="677"/>
      <c r="Q49" s="665">
        <v>0</v>
      </c>
    </row>
    <row r="50" spans="1:17" ht="14.4" customHeight="1" x14ac:dyDescent="0.3">
      <c r="A50" s="660" t="s">
        <v>552</v>
      </c>
      <c r="B50" s="661" t="s">
        <v>3511</v>
      </c>
      <c r="C50" s="661" t="s">
        <v>3411</v>
      </c>
      <c r="D50" s="661" t="s">
        <v>3516</v>
      </c>
      <c r="E50" s="661" t="s">
        <v>3517</v>
      </c>
      <c r="F50" s="664"/>
      <c r="G50" s="664"/>
      <c r="H50" s="664"/>
      <c r="I50" s="664"/>
      <c r="J50" s="664"/>
      <c r="K50" s="664"/>
      <c r="L50" s="664"/>
      <c r="M50" s="664"/>
      <c r="N50" s="664">
        <v>1</v>
      </c>
      <c r="O50" s="664">
        <v>0</v>
      </c>
      <c r="P50" s="677"/>
      <c r="Q50" s="665">
        <v>0</v>
      </c>
    </row>
    <row r="51" spans="1:17" ht="14.4" customHeight="1" x14ac:dyDescent="0.3">
      <c r="A51" s="660" t="s">
        <v>552</v>
      </c>
      <c r="B51" s="661" t="s">
        <v>3511</v>
      </c>
      <c r="C51" s="661" t="s">
        <v>3411</v>
      </c>
      <c r="D51" s="661" t="s">
        <v>3463</v>
      </c>
      <c r="E51" s="661" t="s">
        <v>3464</v>
      </c>
      <c r="F51" s="664"/>
      <c r="G51" s="664"/>
      <c r="H51" s="664"/>
      <c r="I51" s="664"/>
      <c r="J51" s="664"/>
      <c r="K51" s="664"/>
      <c r="L51" s="664"/>
      <c r="M51" s="664"/>
      <c r="N51" s="664">
        <v>1</v>
      </c>
      <c r="O51" s="664">
        <v>436</v>
      </c>
      <c r="P51" s="677"/>
      <c r="Q51" s="665">
        <v>436</v>
      </c>
    </row>
    <row r="52" spans="1:17" ht="14.4" customHeight="1" x14ac:dyDescent="0.3">
      <c r="A52" s="660" t="s">
        <v>552</v>
      </c>
      <c r="B52" s="661" t="s">
        <v>3511</v>
      </c>
      <c r="C52" s="661" t="s">
        <v>3411</v>
      </c>
      <c r="D52" s="661" t="s">
        <v>3518</v>
      </c>
      <c r="E52" s="661" t="s">
        <v>3519</v>
      </c>
      <c r="F52" s="664"/>
      <c r="G52" s="664"/>
      <c r="H52" s="664"/>
      <c r="I52" s="664"/>
      <c r="J52" s="664"/>
      <c r="K52" s="664"/>
      <c r="L52" s="664"/>
      <c r="M52" s="664"/>
      <c r="N52" s="664">
        <v>1</v>
      </c>
      <c r="O52" s="664">
        <v>15515</v>
      </c>
      <c r="P52" s="677"/>
      <c r="Q52" s="665">
        <v>15515</v>
      </c>
    </row>
    <row r="53" spans="1:17" ht="14.4" customHeight="1" x14ac:dyDescent="0.3">
      <c r="A53" s="660" t="s">
        <v>552</v>
      </c>
      <c r="B53" s="661" t="s">
        <v>3511</v>
      </c>
      <c r="C53" s="661" t="s">
        <v>3411</v>
      </c>
      <c r="D53" s="661" t="s">
        <v>3520</v>
      </c>
      <c r="E53" s="661" t="s">
        <v>3521</v>
      </c>
      <c r="F53" s="664"/>
      <c r="G53" s="664"/>
      <c r="H53" s="664"/>
      <c r="I53" s="664"/>
      <c r="J53" s="664"/>
      <c r="K53" s="664"/>
      <c r="L53" s="664"/>
      <c r="M53" s="664"/>
      <c r="N53" s="664">
        <v>1</v>
      </c>
      <c r="O53" s="664">
        <v>0</v>
      </c>
      <c r="P53" s="677"/>
      <c r="Q53" s="665">
        <v>0</v>
      </c>
    </row>
    <row r="54" spans="1:17" ht="14.4" customHeight="1" x14ac:dyDescent="0.3">
      <c r="A54" s="660" t="s">
        <v>552</v>
      </c>
      <c r="B54" s="661" t="s">
        <v>3511</v>
      </c>
      <c r="C54" s="661" t="s">
        <v>3411</v>
      </c>
      <c r="D54" s="661" t="s">
        <v>3522</v>
      </c>
      <c r="E54" s="661" t="s">
        <v>3523</v>
      </c>
      <c r="F54" s="664"/>
      <c r="G54" s="664"/>
      <c r="H54" s="664"/>
      <c r="I54" s="664"/>
      <c r="J54" s="664"/>
      <c r="K54" s="664"/>
      <c r="L54" s="664"/>
      <c r="M54" s="664"/>
      <c r="N54" s="664">
        <v>1</v>
      </c>
      <c r="O54" s="664">
        <v>0</v>
      </c>
      <c r="P54" s="677"/>
      <c r="Q54" s="665">
        <v>0</v>
      </c>
    </row>
    <row r="55" spans="1:17" ht="14.4" customHeight="1" x14ac:dyDescent="0.3">
      <c r="A55" s="660" t="s">
        <v>552</v>
      </c>
      <c r="B55" s="661" t="s">
        <v>3511</v>
      </c>
      <c r="C55" s="661" t="s">
        <v>3411</v>
      </c>
      <c r="D55" s="661" t="s">
        <v>3524</v>
      </c>
      <c r="E55" s="661" t="s">
        <v>3525</v>
      </c>
      <c r="F55" s="664"/>
      <c r="G55" s="664"/>
      <c r="H55" s="664"/>
      <c r="I55" s="664"/>
      <c r="J55" s="664"/>
      <c r="K55" s="664"/>
      <c r="L55" s="664"/>
      <c r="M55" s="664"/>
      <c r="N55" s="664">
        <v>1</v>
      </c>
      <c r="O55" s="664">
        <v>4389</v>
      </c>
      <c r="P55" s="677"/>
      <c r="Q55" s="665">
        <v>4389</v>
      </c>
    </row>
    <row r="56" spans="1:17" ht="14.4" customHeight="1" x14ac:dyDescent="0.3">
      <c r="A56" s="660" t="s">
        <v>552</v>
      </c>
      <c r="B56" s="661" t="s">
        <v>3526</v>
      </c>
      <c r="C56" s="661" t="s">
        <v>3527</v>
      </c>
      <c r="D56" s="661" t="s">
        <v>3528</v>
      </c>
      <c r="E56" s="661" t="s">
        <v>3529</v>
      </c>
      <c r="F56" s="664">
        <v>2.6</v>
      </c>
      <c r="G56" s="664">
        <v>31562.31</v>
      </c>
      <c r="H56" s="664">
        <v>1</v>
      </c>
      <c r="I56" s="664">
        <v>12139.35</v>
      </c>
      <c r="J56" s="664"/>
      <c r="K56" s="664"/>
      <c r="L56" s="664"/>
      <c r="M56" s="664"/>
      <c r="N56" s="664">
        <v>0.6</v>
      </c>
      <c r="O56" s="664">
        <v>6878.98</v>
      </c>
      <c r="P56" s="677">
        <v>0.21794919319910358</v>
      </c>
      <c r="Q56" s="665">
        <v>11464.966666666667</v>
      </c>
    </row>
    <row r="57" spans="1:17" ht="14.4" customHeight="1" x14ac:dyDescent="0.3">
      <c r="A57" s="660" t="s">
        <v>552</v>
      </c>
      <c r="B57" s="661" t="s">
        <v>3526</v>
      </c>
      <c r="C57" s="661" t="s">
        <v>3527</v>
      </c>
      <c r="D57" s="661" t="s">
        <v>3530</v>
      </c>
      <c r="E57" s="661" t="s">
        <v>3531</v>
      </c>
      <c r="F57" s="664">
        <v>14</v>
      </c>
      <c r="G57" s="664">
        <v>1934.79</v>
      </c>
      <c r="H57" s="664">
        <v>1</v>
      </c>
      <c r="I57" s="664">
        <v>138.19928571428571</v>
      </c>
      <c r="J57" s="664"/>
      <c r="K57" s="664"/>
      <c r="L57" s="664"/>
      <c r="M57" s="664"/>
      <c r="N57" s="664"/>
      <c r="O57" s="664"/>
      <c r="P57" s="677"/>
      <c r="Q57" s="665"/>
    </row>
    <row r="58" spans="1:17" ht="14.4" customHeight="1" x14ac:dyDescent="0.3">
      <c r="A58" s="660" t="s">
        <v>552</v>
      </c>
      <c r="B58" s="661" t="s">
        <v>3526</v>
      </c>
      <c r="C58" s="661" t="s">
        <v>3527</v>
      </c>
      <c r="D58" s="661" t="s">
        <v>3532</v>
      </c>
      <c r="E58" s="661" t="s">
        <v>3531</v>
      </c>
      <c r="F58" s="664">
        <v>33</v>
      </c>
      <c r="G58" s="664">
        <v>7487.37</v>
      </c>
      <c r="H58" s="664">
        <v>1</v>
      </c>
      <c r="I58" s="664">
        <v>226.89</v>
      </c>
      <c r="J58" s="664"/>
      <c r="K58" s="664"/>
      <c r="L58" s="664"/>
      <c r="M58" s="664"/>
      <c r="N58" s="664"/>
      <c r="O58" s="664"/>
      <c r="P58" s="677"/>
      <c r="Q58" s="665"/>
    </row>
    <row r="59" spans="1:17" ht="14.4" customHeight="1" x14ac:dyDescent="0.3">
      <c r="A59" s="660" t="s">
        <v>552</v>
      </c>
      <c r="B59" s="661" t="s">
        <v>3526</v>
      </c>
      <c r="C59" s="661" t="s">
        <v>3527</v>
      </c>
      <c r="D59" s="661" t="s">
        <v>3533</v>
      </c>
      <c r="E59" s="661" t="s">
        <v>1228</v>
      </c>
      <c r="F59" s="664"/>
      <c r="G59" s="664"/>
      <c r="H59" s="664"/>
      <c r="I59" s="664"/>
      <c r="J59" s="664"/>
      <c r="K59" s="664"/>
      <c r="L59" s="664"/>
      <c r="M59" s="664"/>
      <c r="N59" s="664">
        <v>3.1999999999999997</v>
      </c>
      <c r="O59" s="664">
        <v>996.23</v>
      </c>
      <c r="P59" s="677"/>
      <c r="Q59" s="665">
        <v>311.32187500000003</v>
      </c>
    </row>
    <row r="60" spans="1:17" ht="14.4" customHeight="1" x14ac:dyDescent="0.3">
      <c r="A60" s="660" t="s">
        <v>552</v>
      </c>
      <c r="B60" s="661" t="s">
        <v>3526</v>
      </c>
      <c r="C60" s="661" t="s">
        <v>3527</v>
      </c>
      <c r="D60" s="661" t="s">
        <v>3534</v>
      </c>
      <c r="E60" s="661" t="s">
        <v>3403</v>
      </c>
      <c r="F60" s="664">
        <v>5</v>
      </c>
      <c r="G60" s="664">
        <v>5396.56</v>
      </c>
      <c r="H60" s="664">
        <v>1</v>
      </c>
      <c r="I60" s="664">
        <v>1079.3120000000001</v>
      </c>
      <c r="J60" s="664">
        <v>3.4</v>
      </c>
      <c r="K60" s="664">
        <v>3669.67</v>
      </c>
      <c r="L60" s="664">
        <v>0.68000170478971789</v>
      </c>
      <c r="M60" s="664">
        <v>1079.3147058823529</v>
      </c>
      <c r="N60" s="664"/>
      <c r="O60" s="664"/>
      <c r="P60" s="677"/>
      <c r="Q60" s="665"/>
    </row>
    <row r="61" spans="1:17" ht="14.4" customHeight="1" x14ac:dyDescent="0.3">
      <c r="A61" s="660" t="s">
        <v>552</v>
      </c>
      <c r="B61" s="661" t="s">
        <v>3526</v>
      </c>
      <c r="C61" s="661" t="s">
        <v>3527</v>
      </c>
      <c r="D61" s="661" t="s">
        <v>3535</v>
      </c>
      <c r="E61" s="661" t="s">
        <v>1220</v>
      </c>
      <c r="F61" s="664">
        <v>100</v>
      </c>
      <c r="G61" s="664">
        <v>6502.34</v>
      </c>
      <c r="H61" s="664">
        <v>1</v>
      </c>
      <c r="I61" s="664">
        <v>65.023399999999995</v>
      </c>
      <c r="J61" s="664">
        <v>161</v>
      </c>
      <c r="K61" s="664">
        <v>9829.0500000000011</v>
      </c>
      <c r="L61" s="664">
        <v>1.5116173562133017</v>
      </c>
      <c r="M61" s="664">
        <v>61.050000000000004</v>
      </c>
      <c r="N61" s="664">
        <v>70</v>
      </c>
      <c r="O61" s="664">
        <v>4088.0000000000005</v>
      </c>
      <c r="P61" s="677">
        <v>0.62869674609448301</v>
      </c>
      <c r="Q61" s="665">
        <v>58.400000000000006</v>
      </c>
    </row>
    <row r="62" spans="1:17" ht="14.4" customHeight="1" x14ac:dyDescent="0.3">
      <c r="A62" s="660" t="s">
        <v>552</v>
      </c>
      <c r="B62" s="661" t="s">
        <v>3526</v>
      </c>
      <c r="C62" s="661" t="s">
        <v>3527</v>
      </c>
      <c r="D62" s="661" t="s">
        <v>3536</v>
      </c>
      <c r="E62" s="661" t="s">
        <v>1616</v>
      </c>
      <c r="F62" s="664"/>
      <c r="G62" s="664"/>
      <c r="H62" s="664"/>
      <c r="I62" s="664"/>
      <c r="J62" s="664"/>
      <c r="K62" s="664"/>
      <c r="L62" s="664"/>
      <c r="M62" s="664"/>
      <c r="N62" s="664">
        <v>1.5</v>
      </c>
      <c r="O62" s="664">
        <v>18020.099999999999</v>
      </c>
      <c r="P62" s="677"/>
      <c r="Q62" s="665">
        <v>12013.4</v>
      </c>
    </row>
    <row r="63" spans="1:17" ht="14.4" customHeight="1" x14ac:dyDescent="0.3">
      <c r="A63" s="660" t="s">
        <v>552</v>
      </c>
      <c r="B63" s="661" t="s">
        <v>3526</v>
      </c>
      <c r="C63" s="661" t="s">
        <v>3527</v>
      </c>
      <c r="D63" s="661" t="s">
        <v>3537</v>
      </c>
      <c r="E63" s="661" t="s">
        <v>3403</v>
      </c>
      <c r="F63" s="664">
        <v>0.2</v>
      </c>
      <c r="G63" s="664">
        <v>87.52</v>
      </c>
      <c r="H63" s="664">
        <v>1</v>
      </c>
      <c r="I63" s="664">
        <v>437.59999999999997</v>
      </c>
      <c r="J63" s="664">
        <v>0.8</v>
      </c>
      <c r="K63" s="664">
        <v>353.16</v>
      </c>
      <c r="L63" s="664">
        <v>4.035191956124315</v>
      </c>
      <c r="M63" s="664">
        <v>441.45</v>
      </c>
      <c r="N63" s="664"/>
      <c r="O63" s="664"/>
      <c r="P63" s="677"/>
      <c r="Q63" s="665"/>
    </row>
    <row r="64" spans="1:17" ht="14.4" customHeight="1" x14ac:dyDescent="0.3">
      <c r="A64" s="660" t="s">
        <v>552</v>
      </c>
      <c r="B64" s="661" t="s">
        <v>3526</v>
      </c>
      <c r="C64" s="661" t="s">
        <v>3527</v>
      </c>
      <c r="D64" s="661" t="s">
        <v>3538</v>
      </c>
      <c r="E64" s="661" t="s">
        <v>1865</v>
      </c>
      <c r="F64" s="664">
        <v>91</v>
      </c>
      <c r="G64" s="664">
        <v>5250.9100000000008</v>
      </c>
      <c r="H64" s="664">
        <v>1</v>
      </c>
      <c r="I64" s="664">
        <v>57.702307692307699</v>
      </c>
      <c r="J64" s="664">
        <v>26</v>
      </c>
      <c r="K64" s="664">
        <v>1049.3599999999999</v>
      </c>
      <c r="L64" s="664">
        <v>0.19984345570577286</v>
      </c>
      <c r="M64" s="664">
        <v>40.36</v>
      </c>
      <c r="N64" s="664">
        <v>6</v>
      </c>
      <c r="O64" s="664">
        <v>231.66</v>
      </c>
      <c r="P64" s="677">
        <v>4.4118067154074236E-2</v>
      </c>
      <c r="Q64" s="665">
        <v>38.61</v>
      </c>
    </row>
    <row r="65" spans="1:17" ht="14.4" customHeight="1" x14ac:dyDescent="0.3">
      <c r="A65" s="660" t="s">
        <v>552</v>
      </c>
      <c r="B65" s="661" t="s">
        <v>3526</v>
      </c>
      <c r="C65" s="661" t="s">
        <v>3527</v>
      </c>
      <c r="D65" s="661" t="s">
        <v>3539</v>
      </c>
      <c r="E65" s="661" t="s">
        <v>1242</v>
      </c>
      <c r="F65" s="664">
        <v>13.399999999999999</v>
      </c>
      <c r="G65" s="664">
        <v>5416.28</v>
      </c>
      <c r="H65" s="664">
        <v>1</v>
      </c>
      <c r="I65" s="664">
        <v>404.20000000000005</v>
      </c>
      <c r="J65" s="664">
        <v>18</v>
      </c>
      <c r="K65" s="664">
        <v>7275.6</v>
      </c>
      <c r="L65" s="664">
        <v>1.3432835820895523</v>
      </c>
      <c r="M65" s="664">
        <v>404.20000000000005</v>
      </c>
      <c r="N65" s="664">
        <v>20.399999999999999</v>
      </c>
      <c r="O65" s="664">
        <v>7887.1500000000005</v>
      </c>
      <c r="P65" s="677">
        <v>1.4561931805593509</v>
      </c>
      <c r="Q65" s="665">
        <v>386.62500000000006</v>
      </c>
    </row>
    <row r="66" spans="1:17" ht="14.4" customHeight="1" x14ac:dyDescent="0.3">
      <c r="A66" s="660" t="s">
        <v>552</v>
      </c>
      <c r="B66" s="661" t="s">
        <v>3526</v>
      </c>
      <c r="C66" s="661" t="s">
        <v>3527</v>
      </c>
      <c r="D66" s="661" t="s">
        <v>3540</v>
      </c>
      <c r="E66" s="661" t="s">
        <v>3541</v>
      </c>
      <c r="F66" s="664"/>
      <c r="G66" s="664"/>
      <c r="H66" s="664"/>
      <c r="I66" s="664"/>
      <c r="J66" s="664">
        <v>32</v>
      </c>
      <c r="K66" s="664">
        <v>1291.52</v>
      </c>
      <c r="L66" s="664"/>
      <c r="M66" s="664">
        <v>40.36</v>
      </c>
      <c r="N66" s="664"/>
      <c r="O66" s="664"/>
      <c r="P66" s="677"/>
      <c r="Q66" s="665"/>
    </row>
    <row r="67" spans="1:17" ht="14.4" customHeight="1" x14ac:dyDescent="0.3">
      <c r="A67" s="660" t="s">
        <v>552</v>
      </c>
      <c r="B67" s="661" t="s">
        <v>3526</v>
      </c>
      <c r="C67" s="661" t="s">
        <v>3527</v>
      </c>
      <c r="D67" s="661" t="s">
        <v>3542</v>
      </c>
      <c r="E67" s="661" t="s">
        <v>1892</v>
      </c>
      <c r="F67" s="664">
        <v>3</v>
      </c>
      <c r="G67" s="664">
        <v>142.5</v>
      </c>
      <c r="H67" s="664">
        <v>1</v>
      </c>
      <c r="I67" s="664">
        <v>47.5</v>
      </c>
      <c r="J67" s="664"/>
      <c r="K67" s="664"/>
      <c r="L67" s="664"/>
      <c r="M67" s="664"/>
      <c r="N67" s="664"/>
      <c r="O67" s="664"/>
      <c r="P67" s="677"/>
      <c r="Q67" s="665"/>
    </row>
    <row r="68" spans="1:17" ht="14.4" customHeight="1" x14ac:dyDescent="0.3">
      <c r="A68" s="660" t="s">
        <v>552</v>
      </c>
      <c r="B68" s="661" t="s">
        <v>3526</v>
      </c>
      <c r="C68" s="661" t="s">
        <v>3527</v>
      </c>
      <c r="D68" s="661" t="s">
        <v>3543</v>
      </c>
      <c r="E68" s="661" t="s">
        <v>3544</v>
      </c>
      <c r="F68" s="664">
        <v>4.3</v>
      </c>
      <c r="G68" s="664">
        <v>2473.79</v>
      </c>
      <c r="H68" s="664">
        <v>1</v>
      </c>
      <c r="I68" s="664">
        <v>575.30000000000007</v>
      </c>
      <c r="J68" s="664">
        <v>3.7</v>
      </c>
      <c r="K68" s="664">
        <v>2128.61</v>
      </c>
      <c r="L68" s="664">
        <v>0.86046511627906985</v>
      </c>
      <c r="M68" s="664">
        <v>575.29999999999995</v>
      </c>
      <c r="N68" s="664">
        <v>0.3</v>
      </c>
      <c r="O68" s="664">
        <v>165.09</v>
      </c>
      <c r="P68" s="677">
        <v>6.6735656624046499E-2</v>
      </c>
      <c r="Q68" s="665">
        <v>550.30000000000007</v>
      </c>
    </row>
    <row r="69" spans="1:17" ht="14.4" customHeight="1" x14ac:dyDescent="0.3">
      <c r="A69" s="660" t="s">
        <v>552</v>
      </c>
      <c r="B69" s="661" t="s">
        <v>3526</v>
      </c>
      <c r="C69" s="661" t="s">
        <v>3527</v>
      </c>
      <c r="D69" s="661" t="s">
        <v>3545</v>
      </c>
      <c r="E69" s="661" t="s">
        <v>1859</v>
      </c>
      <c r="F69" s="664">
        <v>10.5</v>
      </c>
      <c r="G69" s="664">
        <v>3967.25</v>
      </c>
      <c r="H69" s="664">
        <v>1</v>
      </c>
      <c r="I69" s="664">
        <v>377.83333333333331</v>
      </c>
      <c r="J69" s="664">
        <v>4.8000000000000007</v>
      </c>
      <c r="K69" s="664">
        <v>1822.8000000000002</v>
      </c>
      <c r="L69" s="664">
        <v>0.45946184384649319</v>
      </c>
      <c r="M69" s="664">
        <v>379.75</v>
      </c>
      <c r="N69" s="664">
        <v>5.4</v>
      </c>
      <c r="O69" s="664">
        <v>1961.55</v>
      </c>
      <c r="P69" s="677">
        <v>0.49443569223013423</v>
      </c>
      <c r="Q69" s="665">
        <v>363.24999999999994</v>
      </c>
    </row>
    <row r="70" spans="1:17" ht="14.4" customHeight="1" x14ac:dyDescent="0.3">
      <c r="A70" s="660" t="s">
        <v>552</v>
      </c>
      <c r="B70" s="661" t="s">
        <v>3526</v>
      </c>
      <c r="C70" s="661" t="s">
        <v>3527</v>
      </c>
      <c r="D70" s="661" t="s">
        <v>3546</v>
      </c>
      <c r="E70" s="661" t="s">
        <v>3547</v>
      </c>
      <c r="F70" s="664">
        <v>1</v>
      </c>
      <c r="G70" s="664">
        <v>40.950000000000003</v>
      </c>
      <c r="H70" s="664">
        <v>1</v>
      </c>
      <c r="I70" s="664">
        <v>40.950000000000003</v>
      </c>
      <c r="J70" s="664"/>
      <c r="K70" s="664"/>
      <c r="L70" s="664"/>
      <c r="M70" s="664"/>
      <c r="N70" s="664"/>
      <c r="O70" s="664"/>
      <c r="P70" s="677"/>
      <c r="Q70" s="665"/>
    </row>
    <row r="71" spans="1:17" ht="14.4" customHeight="1" x14ac:dyDescent="0.3">
      <c r="A71" s="660" t="s">
        <v>552</v>
      </c>
      <c r="B71" s="661" t="s">
        <v>3526</v>
      </c>
      <c r="C71" s="661" t="s">
        <v>3527</v>
      </c>
      <c r="D71" s="661" t="s">
        <v>3548</v>
      </c>
      <c r="E71" s="661" t="s">
        <v>3549</v>
      </c>
      <c r="F71" s="664">
        <v>2</v>
      </c>
      <c r="G71" s="664">
        <v>458.32</v>
      </c>
      <c r="H71" s="664">
        <v>1</v>
      </c>
      <c r="I71" s="664">
        <v>229.16</v>
      </c>
      <c r="J71" s="664"/>
      <c r="K71" s="664"/>
      <c r="L71" s="664"/>
      <c r="M71" s="664"/>
      <c r="N71" s="664">
        <v>10</v>
      </c>
      <c r="O71" s="664">
        <v>2192</v>
      </c>
      <c r="P71" s="677">
        <v>4.7826845871879913</v>
      </c>
      <c r="Q71" s="665">
        <v>219.2</v>
      </c>
    </row>
    <row r="72" spans="1:17" ht="14.4" customHeight="1" x14ac:dyDescent="0.3">
      <c r="A72" s="660" t="s">
        <v>552</v>
      </c>
      <c r="B72" s="661" t="s">
        <v>3526</v>
      </c>
      <c r="C72" s="661" t="s">
        <v>3527</v>
      </c>
      <c r="D72" s="661" t="s">
        <v>3550</v>
      </c>
      <c r="E72" s="661" t="s">
        <v>3551</v>
      </c>
      <c r="F72" s="664">
        <v>1</v>
      </c>
      <c r="G72" s="664">
        <v>3535.84</v>
      </c>
      <c r="H72" s="664">
        <v>1</v>
      </c>
      <c r="I72" s="664">
        <v>3535.84</v>
      </c>
      <c r="J72" s="664"/>
      <c r="K72" s="664"/>
      <c r="L72" s="664"/>
      <c r="M72" s="664"/>
      <c r="N72" s="664"/>
      <c r="O72" s="664"/>
      <c r="P72" s="677"/>
      <c r="Q72" s="665"/>
    </row>
    <row r="73" spans="1:17" ht="14.4" customHeight="1" x14ac:dyDescent="0.3">
      <c r="A73" s="660" t="s">
        <v>552</v>
      </c>
      <c r="B73" s="661" t="s">
        <v>3526</v>
      </c>
      <c r="C73" s="661" t="s">
        <v>3527</v>
      </c>
      <c r="D73" s="661" t="s">
        <v>3552</v>
      </c>
      <c r="E73" s="661" t="s">
        <v>3553</v>
      </c>
      <c r="F73" s="664">
        <v>3</v>
      </c>
      <c r="G73" s="664">
        <v>290.38</v>
      </c>
      <c r="H73" s="664">
        <v>1</v>
      </c>
      <c r="I73" s="664">
        <v>96.793333333333337</v>
      </c>
      <c r="J73" s="664"/>
      <c r="K73" s="664"/>
      <c r="L73" s="664"/>
      <c r="M73" s="664"/>
      <c r="N73" s="664">
        <v>0.2</v>
      </c>
      <c r="O73" s="664">
        <v>18.55</v>
      </c>
      <c r="P73" s="677">
        <v>6.3881810042013917E-2</v>
      </c>
      <c r="Q73" s="665">
        <v>92.75</v>
      </c>
    </row>
    <row r="74" spans="1:17" ht="14.4" customHeight="1" x14ac:dyDescent="0.3">
      <c r="A74" s="660" t="s">
        <v>552</v>
      </c>
      <c r="B74" s="661" t="s">
        <v>3526</v>
      </c>
      <c r="C74" s="661" t="s">
        <v>3527</v>
      </c>
      <c r="D74" s="661" t="s">
        <v>3554</v>
      </c>
      <c r="E74" s="661" t="s">
        <v>3555</v>
      </c>
      <c r="F74" s="664">
        <v>1</v>
      </c>
      <c r="G74" s="664">
        <v>1345.88</v>
      </c>
      <c r="H74" s="664">
        <v>1</v>
      </c>
      <c r="I74" s="664">
        <v>1345.88</v>
      </c>
      <c r="J74" s="664"/>
      <c r="K74" s="664"/>
      <c r="L74" s="664"/>
      <c r="M74" s="664"/>
      <c r="N74" s="664"/>
      <c r="O74" s="664"/>
      <c r="P74" s="677"/>
      <c r="Q74" s="665"/>
    </row>
    <row r="75" spans="1:17" ht="14.4" customHeight="1" x14ac:dyDescent="0.3">
      <c r="A75" s="660" t="s">
        <v>552</v>
      </c>
      <c r="B75" s="661" t="s">
        <v>3526</v>
      </c>
      <c r="C75" s="661" t="s">
        <v>3527</v>
      </c>
      <c r="D75" s="661" t="s">
        <v>3556</v>
      </c>
      <c r="E75" s="661" t="s">
        <v>1253</v>
      </c>
      <c r="F75" s="664"/>
      <c r="G75" s="664"/>
      <c r="H75" s="664"/>
      <c r="I75" s="664"/>
      <c r="J75" s="664"/>
      <c r="K75" s="664"/>
      <c r="L75" s="664"/>
      <c r="M75" s="664"/>
      <c r="N75" s="664">
        <v>1.3</v>
      </c>
      <c r="O75" s="664">
        <v>501.85999999999996</v>
      </c>
      <c r="P75" s="677"/>
      <c r="Q75" s="665">
        <v>386.0461538461538</v>
      </c>
    </row>
    <row r="76" spans="1:17" ht="14.4" customHeight="1" x14ac:dyDescent="0.3">
      <c r="A76" s="660" t="s">
        <v>552</v>
      </c>
      <c r="B76" s="661" t="s">
        <v>3526</v>
      </c>
      <c r="C76" s="661" t="s">
        <v>3527</v>
      </c>
      <c r="D76" s="661" t="s">
        <v>3557</v>
      </c>
      <c r="E76" s="661" t="s">
        <v>1231</v>
      </c>
      <c r="F76" s="664">
        <v>0.2</v>
      </c>
      <c r="G76" s="664">
        <v>229.99</v>
      </c>
      <c r="H76" s="664">
        <v>1</v>
      </c>
      <c r="I76" s="664">
        <v>1149.95</v>
      </c>
      <c r="J76" s="664"/>
      <c r="K76" s="664"/>
      <c r="L76" s="664"/>
      <c r="M76" s="664"/>
      <c r="N76" s="664">
        <v>0.9</v>
      </c>
      <c r="O76" s="664">
        <v>694.93</v>
      </c>
      <c r="P76" s="677">
        <v>3.0215661550502193</v>
      </c>
      <c r="Q76" s="665">
        <v>772.14444444444439</v>
      </c>
    </row>
    <row r="77" spans="1:17" ht="14.4" customHeight="1" x14ac:dyDescent="0.3">
      <c r="A77" s="660" t="s">
        <v>552</v>
      </c>
      <c r="B77" s="661" t="s">
        <v>3526</v>
      </c>
      <c r="C77" s="661" t="s">
        <v>3527</v>
      </c>
      <c r="D77" s="661" t="s">
        <v>3558</v>
      </c>
      <c r="E77" s="661" t="s">
        <v>3559</v>
      </c>
      <c r="F77" s="664">
        <v>0.7</v>
      </c>
      <c r="G77" s="664">
        <v>438.97</v>
      </c>
      <c r="H77" s="664">
        <v>1</v>
      </c>
      <c r="I77" s="664">
        <v>627.1</v>
      </c>
      <c r="J77" s="664"/>
      <c r="K77" s="664"/>
      <c r="L77" s="664"/>
      <c r="M77" s="664"/>
      <c r="N77" s="664"/>
      <c r="O77" s="664"/>
      <c r="P77" s="677"/>
      <c r="Q77" s="665"/>
    </row>
    <row r="78" spans="1:17" ht="14.4" customHeight="1" x14ac:dyDescent="0.3">
      <c r="A78" s="660" t="s">
        <v>552</v>
      </c>
      <c r="B78" s="661" t="s">
        <v>3526</v>
      </c>
      <c r="C78" s="661" t="s">
        <v>3527</v>
      </c>
      <c r="D78" s="661" t="s">
        <v>3560</v>
      </c>
      <c r="E78" s="661" t="s">
        <v>577</v>
      </c>
      <c r="F78" s="664"/>
      <c r="G78" s="664"/>
      <c r="H78" s="664"/>
      <c r="I78" s="664"/>
      <c r="J78" s="664"/>
      <c r="K78" s="664"/>
      <c r="L78" s="664"/>
      <c r="M78" s="664"/>
      <c r="N78" s="664">
        <v>3</v>
      </c>
      <c r="O78" s="664">
        <v>1751.85</v>
      </c>
      <c r="P78" s="677"/>
      <c r="Q78" s="665">
        <v>583.94999999999993</v>
      </c>
    </row>
    <row r="79" spans="1:17" ht="14.4" customHeight="1" x14ac:dyDescent="0.3">
      <c r="A79" s="660" t="s">
        <v>552</v>
      </c>
      <c r="B79" s="661" t="s">
        <v>3526</v>
      </c>
      <c r="C79" s="661" t="s">
        <v>3561</v>
      </c>
      <c r="D79" s="661" t="s">
        <v>3562</v>
      </c>
      <c r="E79" s="661" t="s">
        <v>3563</v>
      </c>
      <c r="F79" s="664">
        <v>41</v>
      </c>
      <c r="G79" s="664">
        <v>109378.77</v>
      </c>
      <c r="H79" s="664">
        <v>1</v>
      </c>
      <c r="I79" s="664">
        <v>2667.7748780487805</v>
      </c>
      <c r="J79" s="664">
        <v>43</v>
      </c>
      <c r="K79" s="664">
        <v>117334.53</v>
      </c>
      <c r="L79" s="664">
        <v>1.0727358700413252</v>
      </c>
      <c r="M79" s="664">
        <v>2728.71</v>
      </c>
      <c r="N79" s="664">
        <v>39</v>
      </c>
      <c r="O79" s="664">
        <v>106419.69</v>
      </c>
      <c r="P79" s="677">
        <v>0.97294648678166706</v>
      </c>
      <c r="Q79" s="665">
        <v>2728.71</v>
      </c>
    </row>
    <row r="80" spans="1:17" ht="14.4" customHeight="1" x14ac:dyDescent="0.3">
      <c r="A80" s="660" t="s">
        <v>552</v>
      </c>
      <c r="B80" s="661" t="s">
        <v>3526</v>
      </c>
      <c r="C80" s="661" t="s">
        <v>3561</v>
      </c>
      <c r="D80" s="661" t="s">
        <v>3564</v>
      </c>
      <c r="E80" s="661" t="s">
        <v>3565</v>
      </c>
      <c r="F80" s="664">
        <v>7</v>
      </c>
      <c r="G80" s="664">
        <v>6332.35</v>
      </c>
      <c r="H80" s="664">
        <v>1</v>
      </c>
      <c r="I80" s="664">
        <v>904.62142857142862</v>
      </c>
      <c r="J80" s="664">
        <v>11</v>
      </c>
      <c r="K80" s="664">
        <v>10181.27</v>
      </c>
      <c r="L80" s="664">
        <v>1.60781858235884</v>
      </c>
      <c r="M80" s="664">
        <v>925.57</v>
      </c>
      <c r="N80" s="664">
        <v>7</v>
      </c>
      <c r="O80" s="664">
        <v>6478.99</v>
      </c>
      <c r="P80" s="677">
        <v>1.023157279682898</v>
      </c>
      <c r="Q80" s="665">
        <v>925.56999999999994</v>
      </c>
    </row>
    <row r="81" spans="1:17" ht="14.4" customHeight="1" x14ac:dyDescent="0.3">
      <c r="A81" s="660" t="s">
        <v>552</v>
      </c>
      <c r="B81" s="661" t="s">
        <v>3526</v>
      </c>
      <c r="C81" s="661" t="s">
        <v>3566</v>
      </c>
      <c r="D81" s="661" t="s">
        <v>3567</v>
      </c>
      <c r="E81" s="661" t="s">
        <v>3568</v>
      </c>
      <c r="F81" s="664"/>
      <c r="G81" s="664"/>
      <c r="H81" s="664"/>
      <c r="I81" s="664"/>
      <c r="J81" s="664"/>
      <c r="K81" s="664"/>
      <c r="L81" s="664"/>
      <c r="M81" s="664"/>
      <c r="N81" s="664">
        <v>1</v>
      </c>
      <c r="O81" s="664">
        <v>2310</v>
      </c>
      <c r="P81" s="677"/>
      <c r="Q81" s="665">
        <v>2310</v>
      </c>
    </row>
    <row r="82" spans="1:17" ht="14.4" customHeight="1" x14ac:dyDescent="0.3">
      <c r="A82" s="660" t="s">
        <v>552</v>
      </c>
      <c r="B82" s="661" t="s">
        <v>3526</v>
      </c>
      <c r="C82" s="661" t="s">
        <v>3566</v>
      </c>
      <c r="D82" s="661" t="s">
        <v>3569</v>
      </c>
      <c r="E82" s="661" t="s">
        <v>3570</v>
      </c>
      <c r="F82" s="664">
        <v>5</v>
      </c>
      <c r="G82" s="664">
        <v>225107.35</v>
      </c>
      <c r="H82" s="664">
        <v>1</v>
      </c>
      <c r="I82" s="664">
        <v>45021.47</v>
      </c>
      <c r="J82" s="664">
        <v>3</v>
      </c>
      <c r="K82" s="664">
        <v>135064.41</v>
      </c>
      <c r="L82" s="664">
        <v>0.6</v>
      </c>
      <c r="M82" s="664">
        <v>45021.47</v>
      </c>
      <c r="N82" s="664">
        <v>3</v>
      </c>
      <c r="O82" s="664">
        <v>135064.41</v>
      </c>
      <c r="P82" s="677">
        <v>0.6</v>
      </c>
      <c r="Q82" s="665">
        <v>45021.47</v>
      </c>
    </row>
    <row r="83" spans="1:17" ht="14.4" customHeight="1" x14ac:dyDescent="0.3">
      <c r="A83" s="660" t="s">
        <v>552</v>
      </c>
      <c r="B83" s="661" t="s">
        <v>3526</v>
      </c>
      <c r="C83" s="661" t="s">
        <v>3566</v>
      </c>
      <c r="D83" s="661" t="s">
        <v>3571</v>
      </c>
      <c r="E83" s="661" t="s">
        <v>3572</v>
      </c>
      <c r="F83" s="664">
        <v>2</v>
      </c>
      <c r="G83" s="664">
        <v>142751.01999999999</v>
      </c>
      <c r="H83" s="664">
        <v>1</v>
      </c>
      <c r="I83" s="664">
        <v>71375.509999999995</v>
      </c>
      <c r="J83" s="664"/>
      <c r="K83" s="664"/>
      <c r="L83" s="664"/>
      <c r="M83" s="664"/>
      <c r="N83" s="664"/>
      <c r="O83" s="664"/>
      <c r="P83" s="677"/>
      <c r="Q83" s="665"/>
    </row>
    <row r="84" spans="1:17" ht="14.4" customHeight="1" x14ac:dyDescent="0.3">
      <c r="A84" s="660" t="s">
        <v>552</v>
      </c>
      <c r="B84" s="661" t="s">
        <v>3526</v>
      </c>
      <c r="C84" s="661" t="s">
        <v>3566</v>
      </c>
      <c r="D84" s="661" t="s">
        <v>3573</v>
      </c>
      <c r="E84" s="661" t="s">
        <v>3574</v>
      </c>
      <c r="F84" s="664">
        <v>1</v>
      </c>
      <c r="G84" s="664">
        <v>44581.25</v>
      </c>
      <c r="H84" s="664">
        <v>1</v>
      </c>
      <c r="I84" s="664">
        <v>44581.25</v>
      </c>
      <c r="J84" s="664">
        <v>1</v>
      </c>
      <c r="K84" s="664">
        <v>44581.25</v>
      </c>
      <c r="L84" s="664">
        <v>1</v>
      </c>
      <c r="M84" s="664">
        <v>44581.25</v>
      </c>
      <c r="N84" s="664">
        <v>2</v>
      </c>
      <c r="O84" s="664">
        <v>89162.5</v>
      </c>
      <c r="P84" s="677">
        <v>2</v>
      </c>
      <c r="Q84" s="665">
        <v>44581.25</v>
      </c>
    </row>
    <row r="85" spans="1:17" ht="14.4" customHeight="1" x14ac:dyDescent="0.3">
      <c r="A85" s="660" t="s">
        <v>552</v>
      </c>
      <c r="B85" s="661" t="s">
        <v>3526</v>
      </c>
      <c r="C85" s="661" t="s">
        <v>3566</v>
      </c>
      <c r="D85" s="661" t="s">
        <v>3575</v>
      </c>
      <c r="E85" s="661" t="s">
        <v>3576</v>
      </c>
      <c r="F85" s="664"/>
      <c r="G85" s="664"/>
      <c r="H85" s="664"/>
      <c r="I85" s="664"/>
      <c r="J85" s="664"/>
      <c r="K85" s="664"/>
      <c r="L85" s="664"/>
      <c r="M85" s="664"/>
      <c r="N85" s="664">
        <v>1</v>
      </c>
      <c r="O85" s="664">
        <v>129657</v>
      </c>
      <c r="P85" s="677"/>
      <c r="Q85" s="665">
        <v>129657</v>
      </c>
    </row>
    <row r="86" spans="1:17" ht="14.4" customHeight="1" x14ac:dyDescent="0.3">
      <c r="A86" s="660" t="s">
        <v>552</v>
      </c>
      <c r="B86" s="661" t="s">
        <v>3526</v>
      </c>
      <c r="C86" s="661" t="s">
        <v>3566</v>
      </c>
      <c r="D86" s="661" t="s">
        <v>3577</v>
      </c>
      <c r="E86" s="661" t="s">
        <v>3578</v>
      </c>
      <c r="F86" s="664">
        <v>2</v>
      </c>
      <c r="G86" s="664">
        <v>20828.84</v>
      </c>
      <c r="H86" s="664">
        <v>1</v>
      </c>
      <c r="I86" s="664">
        <v>10414.42</v>
      </c>
      <c r="J86" s="664"/>
      <c r="K86" s="664"/>
      <c r="L86" s="664"/>
      <c r="M86" s="664"/>
      <c r="N86" s="664"/>
      <c r="O86" s="664"/>
      <c r="P86" s="677"/>
      <c r="Q86" s="665"/>
    </row>
    <row r="87" spans="1:17" ht="14.4" customHeight="1" x14ac:dyDescent="0.3">
      <c r="A87" s="660" t="s">
        <v>552</v>
      </c>
      <c r="B87" s="661" t="s">
        <v>3526</v>
      </c>
      <c r="C87" s="661" t="s">
        <v>3566</v>
      </c>
      <c r="D87" s="661" t="s">
        <v>3579</v>
      </c>
      <c r="E87" s="661" t="s">
        <v>3580</v>
      </c>
      <c r="F87" s="664">
        <v>17</v>
      </c>
      <c r="G87" s="664">
        <v>300084</v>
      </c>
      <c r="H87" s="664">
        <v>1</v>
      </c>
      <c r="I87" s="664">
        <v>17652</v>
      </c>
      <c r="J87" s="664">
        <v>26</v>
      </c>
      <c r="K87" s="664">
        <v>458952</v>
      </c>
      <c r="L87" s="664">
        <v>1.5294117647058822</v>
      </c>
      <c r="M87" s="664">
        <v>17652</v>
      </c>
      <c r="N87" s="664">
        <v>21</v>
      </c>
      <c r="O87" s="664">
        <v>370692</v>
      </c>
      <c r="P87" s="677">
        <v>1.2352941176470589</v>
      </c>
      <c r="Q87" s="665">
        <v>17652</v>
      </c>
    </row>
    <row r="88" spans="1:17" ht="14.4" customHeight="1" x14ac:dyDescent="0.3">
      <c r="A88" s="660" t="s">
        <v>552</v>
      </c>
      <c r="B88" s="661" t="s">
        <v>3526</v>
      </c>
      <c r="C88" s="661" t="s">
        <v>3566</v>
      </c>
      <c r="D88" s="661" t="s">
        <v>3581</v>
      </c>
      <c r="E88" s="661" t="s">
        <v>3582</v>
      </c>
      <c r="F88" s="664">
        <v>17</v>
      </c>
      <c r="G88" s="664">
        <v>113645</v>
      </c>
      <c r="H88" s="664">
        <v>1</v>
      </c>
      <c r="I88" s="664">
        <v>6685</v>
      </c>
      <c r="J88" s="664">
        <v>26</v>
      </c>
      <c r="K88" s="664">
        <v>173810</v>
      </c>
      <c r="L88" s="664">
        <v>1.5294117647058822</v>
      </c>
      <c r="M88" s="664">
        <v>6685</v>
      </c>
      <c r="N88" s="664">
        <v>21</v>
      </c>
      <c r="O88" s="664">
        <v>140385</v>
      </c>
      <c r="P88" s="677">
        <v>1.2352941176470589</v>
      </c>
      <c r="Q88" s="665">
        <v>6685</v>
      </c>
    </row>
    <row r="89" spans="1:17" ht="14.4" customHeight="1" x14ac:dyDescent="0.3">
      <c r="A89" s="660" t="s">
        <v>552</v>
      </c>
      <c r="B89" s="661" t="s">
        <v>3526</v>
      </c>
      <c r="C89" s="661" t="s">
        <v>3566</v>
      </c>
      <c r="D89" s="661" t="s">
        <v>3583</v>
      </c>
      <c r="E89" s="661" t="s">
        <v>3584</v>
      </c>
      <c r="F89" s="664">
        <v>19</v>
      </c>
      <c r="G89" s="664">
        <v>339815</v>
      </c>
      <c r="H89" s="664">
        <v>1</v>
      </c>
      <c r="I89" s="664">
        <v>17885</v>
      </c>
      <c r="J89" s="664">
        <v>13</v>
      </c>
      <c r="K89" s="664">
        <v>232505</v>
      </c>
      <c r="L89" s="664">
        <v>0.68421052631578949</v>
      </c>
      <c r="M89" s="664">
        <v>17885</v>
      </c>
      <c r="N89" s="664">
        <v>13</v>
      </c>
      <c r="O89" s="664">
        <v>232505</v>
      </c>
      <c r="P89" s="677">
        <v>0.68421052631578949</v>
      </c>
      <c r="Q89" s="665">
        <v>17885</v>
      </c>
    </row>
    <row r="90" spans="1:17" ht="14.4" customHeight="1" x14ac:dyDescent="0.3">
      <c r="A90" s="660" t="s">
        <v>552</v>
      </c>
      <c r="B90" s="661" t="s">
        <v>3526</v>
      </c>
      <c r="C90" s="661" t="s">
        <v>3566</v>
      </c>
      <c r="D90" s="661" t="s">
        <v>3585</v>
      </c>
      <c r="E90" s="661" t="s">
        <v>3586</v>
      </c>
      <c r="F90" s="664">
        <v>19</v>
      </c>
      <c r="G90" s="664">
        <v>129580</v>
      </c>
      <c r="H90" s="664">
        <v>1</v>
      </c>
      <c r="I90" s="664">
        <v>6820</v>
      </c>
      <c r="J90" s="664">
        <v>13</v>
      </c>
      <c r="K90" s="664">
        <v>88660</v>
      </c>
      <c r="L90" s="664">
        <v>0.68421052631578949</v>
      </c>
      <c r="M90" s="664">
        <v>6820</v>
      </c>
      <c r="N90" s="664">
        <v>13</v>
      </c>
      <c r="O90" s="664">
        <v>88660</v>
      </c>
      <c r="P90" s="677">
        <v>0.68421052631578949</v>
      </c>
      <c r="Q90" s="665">
        <v>6820</v>
      </c>
    </row>
    <row r="91" spans="1:17" ht="14.4" customHeight="1" x14ac:dyDescent="0.3">
      <c r="A91" s="660" t="s">
        <v>552</v>
      </c>
      <c r="B91" s="661" t="s">
        <v>3526</v>
      </c>
      <c r="C91" s="661" t="s">
        <v>3566</v>
      </c>
      <c r="D91" s="661" t="s">
        <v>3587</v>
      </c>
      <c r="E91" s="661" t="s">
        <v>3588</v>
      </c>
      <c r="F91" s="664">
        <v>25</v>
      </c>
      <c r="G91" s="664">
        <v>177500</v>
      </c>
      <c r="H91" s="664">
        <v>1</v>
      </c>
      <c r="I91" s="664">
        <v>7100</v>
      </c>
      <c r="J91" s="664">
        <v>39</v>
      </c>
      <c r="K91" s="664">
        <v>276900</v>
      </c>
      <c r="L91" s="664">
        <v>1.56</v>
      </c>
      <c r="M91" s="664">
        <v>7100</v>
      </c>
      <c r="N91" s="664">
        <v>34</v>
      </c>
      <c r="O91" s="664">
        <v>241400</v>
      </c>
      <c r="P91" s="677">
        <v>1.36</v>
      </c>
      <c r="Q91" s="665">
        <v>7100</v>
      </c>
    </row>
    <row r="92" spans="1:17" ht="14.4" customHeight="1" x14ac:dyDescent="0.3">
      <c r="A92" s="660" t="s">
        <v>552</v>
      </c>
      <c r="B92" s="661" t="s">
        <v>3526</v>
      </c>
      <c r="C92" s="661" t="s">
        <v>3566</v>
      </c>
      <c r="D92" s="661" t="s">
        <v>3589</v>
      </c>
      <c r="E92" s="661" t="s">
        <v>3590</v>
      </c>
      <c r="F92" s="664">
        <v>19</v>
      </c>
      <c r="G92" s="664">
        <v>167200</v>
      </c>
      <c r="H92" s="664">
        <v>1</v>
      </c>
      <c r="I92" s="664">
        <v>8800</v>
      </c>
      <c r="J92" s="664">
        <v>13</v>
      </c>
      <c r="K92" s="664">
        <v>114400</v>
      </c>
      <c r="L92" s="664">
        <v>0.68421052631578949</v>
      </c>
      <c r="M92" s="664">
        <v>8800</v>
      </c>
      <c r="N92" s="664">
        <v>14</v>
      </c>
      <c r="O92" s="664">
        <v>123200</v>
      </c>
      <c r="P92" s="677">
        <v>0.73684210526315785</v>
      </c>
      <c r="Q92" s="665">
        <v>8800</v>
      </c>
    </row>
    <row r="93" spans="1:17" ht="14.4" customHeight="1" x14ac:dyDescent="0.3">
      <c r="A93" s="660" t="s">
        <v>552</v>
      </c>
      <c r="B93" s="661" t="s">
        <v>3526</v>
      </c>
      <c r="C93" s="661" t="s">
        <v>3566</v>
      </c>
      <c r="D93" s="661" t="s">
        <v>3591</v>
      </c>
      <c r="E93" s="661" t="s">
        <v>3592</v>
      </c>
      <c r="F93" s="664">
        <v>36</v>
      </c>
      <c r="G93" s="664">
        <v>41940</v>
      </c>
      <c r="H93" s="664">
        <v>1</v>
      </c>
      <c r="I93" s="664">
        <v>1165</v>
      </c>
      <c r="J93" s="664">
        <v>38</v>
      </c>
      <c r="K93" s="664">
        <v>44270</v>
      </c>
      <c r="L93" s="664">
        <v>1.0555555555555556</v>
      </c>
      <c r="M93" s="664">
        <v>1165</v>
      </c>
      <c r="N93" s="664">
        <v>34</v>
      </c>
      <c r="O93" s="664">
        <v>39610</v>
      </c>
      <c r="P93" s="677">
        <v>0.94444444444444442</v>
      </c>
      <c r="Q93" s="665">
        <v>1165</v>
      </c>
    </row>
    <row r="94" spans="1:17" ht="14.4" customHeight="1" x14ac:dyDescent="0.3">
      <c r="A94" s="660" t="s">
        <v>552</v>
      </c>
      <c r="B94" s="661" t="s">
        <v>3526</v>
      </c>
      <c r="C94" s="661" t="s">
        <v>3566</v>
      </c>
      <c r="D94" s="661" t="s">
        <v>3593</v>
      </c>
      <c r="E94" s="661" t="s">
        <v>3594</v>
      </c>
      <c r="F94" s="664">
        <v>22</v>
      </c>
      <c r="G94" s="664">
        <v>16324</v>
      </c>
      <c r="H94" s="664">
        <v>1</v>
      </c>
      <c r="I94" s="664">
        <v>742</v>
      </c>
      <c r="J94" s="664">
        <v>29</v>
      </c>
      <c r="K94" s="664">
        <v>21518</v>
      </c>
      <c r="L94" s="664">
        <v>1.3181818181818181</v>
      </c>
      <c r="M94" s="664">
        <v>742</v>
      </c>
      <c r="N94" s="664">
        <v>17</v>
      </c>
      <c r="O94" s="664">
        <v>12614</v>
      </c>
      <c r="P94" s="677">
        <v>0.77272727272727271</v>
      </c>
      <c r="Q94" s="665">
        <v>742</v>
      </c>
    </row>
    <row r="95" spans="1:17" ht="14.4" customHeight="1" x14ac:dyDescent="0.3">
      <c r="A95" s="660" t="s">
        <v>552</v>
      </c>
      <c r="B95" s="661" t="s">
        <v>3526</v>
      </c>
      <c r="C95" s="661" t="s">
        <v>3566</v>
      </c>
      <c r="D95" s="661" t="s">
        <v>3595</v>
      </c>
      <c r="E95" s="661" t="s">
        <v>3596</v>
      </c>
      <c r="F95" s="664">
        <v>41</v>
      </c>
      <c r="G95" s="664">
        <v>21566</v>
      </c>
      <c r="H95" s="664">
        <v>1</v>
      </c>
      <c r="I95" s="664">
        <v>526</v>
      </c>
      <c r="J95" s="664">
        <v>44</v>
      </c>
      <c r="K95" s="664">
        <v>23144</v>
      </c>
      <c r="L95" s="664">
        <v>1.0731707317073171</v>
      </c>
      <c r="M95" s="664">
        <v>526</v>
      </c>
      <c r="N95" s="664">
        <v>35</v>
      </c>
      <c r="O95" s="664">
        <v>18410</v>
      </c>
      <c r="P95" s="677">
        <v>0.85365853658536583</v>
      </c>
      <c r="Q95" s="665">
        <v>526</v>
      </c>
    </row>
    <row r="96" spans="1:17" ht="14.4" customHeight="1" x14ac:dyDescent="0.3">
      <c r="A96" s="660" t="s">
        <v>552</v>
      </c>
      <c r="B96" s="661" t="s">
        <v>3526</v>
      </c>
      <c r="C96" s="661" t="s">
        <v>3566</v>
      </c>
      <c r="D96" s="661" t="s">
        <v>3597</v>
      </c>
      <c r="E96" s="661" t="s">
        <v>3598</v>
      </c>
      <c r="F96" s="664">
        <v>2</v>
      </c>
      <c r="G96" s="664">
        <v>93450</v>
      </c>
      <c r="H96" s="664">
        <v>1</v>
      </c>
      <c r="I96" s="664">
        <v>46725</v>
      </c>
      <c r="J96" s="664">
        <v>1</v>
      </c>
      <c r="K96" s="664">
        <v>46725</v>
      </c>
      <c r="L96" s="664">
        <v>0.5</v>
      </c>
      <c r="M96" s="664">
        <v>46725</v>
      </c>
      <c r="N96" s="664">
        <v>3</v>
      </c>
      <c r="O96" s="664">
        <v>140175</v>
      </c>
      <c r="P96" s="677">
        <v>1.5</v>
      </c>
      <c r="Q96" s="665">
        <v>46725</v>
      </c>
    </row>
    <row r="97" spans="1:17" ht="14.4" customHeight="1" x14ac:dyDescent="0.3">
      <c r="A97" s="660" t="s">
        <v>552</v>
      </c>
      <c r="B97" s="661" t="s">
        <v>3526</v>
      </c>
      <c r="C97" s="661" t="s">
        <v>3566</v>
      </c>
      <c r="D97" s="661" t="s">
        <v>3599</v>
      </c>
      <c r="E97" s="661" t="s">
        <v>3600</v>
      </c>
      <c r="F97" s="664">
        <v>23</v>
      </c>
      <c r="G97" s="664">
        <v>21524.32</v>
      </c>
      <c r="H97" s="664">
        <v>1</v>
      </c>
      <c r="I97" s="664">
        <v>935.84</v>
      </c>
      <c r="J97" s="664">
        <v>34</v>
      </c>
      <c r="K97" s="664">
        <v>31818.560000000001</v>
      </c>
      <c r="L97" s="664">
        <v>1.4782608695652175</v>
      </c>
      <c r="M97" s="664">
        <v>935.84</v>
      </c>
      <c r="N97" s="664">
        <v>30</v>
      </c>
      <c r="O97" s="664">
        <v>28075.200000000001</v>
      </c>
      <c r="P97" s="677">
        <v>1.3043478260869565</v>
      </c>
      <c r="Q97" s="665">
        <v>935.84</v>
      </c>
    </row>
    <row r="98" spans="1:17" ht="14.4" customHeight="1" x14ac:dyDescent="0.3">
      <c r="A98" s="660" t="s">
        <v>552</v>
      </c>
      <c r="B98" s="661" t="s">
        <v>3526</v>
      </c>
      <c r="C98" s="661" t="s">
        <v>3566</v>
      </c>
      <c r="D98" s="661" t="s">
        <v>3601</v>
      </c>
      <c r="E98" s="661" t="s">
        <v>3602</v>
      </c>
      <c r="F98" s="664">
        <v>4</v>
      </c>
      <c r="G98" s="664">
        <v>29018.2</v>
      </c>
      <c r="H98" s="664">
        <v>1</v>
      </c>
      <c r="I98" s="664">
        <v>7254.55</v>
      </c>
      <c r="J98" s="664">
        <v>10</v>
      </c>
      <c r="K98" s="664">
        <v>72545.5</v>
      </c>
      <c r="L98" s="664">
        <v>2.5</v>
      </c>
      <c r="M98" s="664">
        <v>7254.55</v>
      </c>
      <c r="N98" s="664">
        <v>3</v>
      </c>
      <c r="O98" s="664">
        <v>21763.65</v>
      </c>
      <c r="P98" s="677">
        <v>0.75</v>
      </c>
      <c r="Q98" s="665">
        <v>7254.55</v>
      </c>
    </row>
    <row r="99" spans="1:17" ht="14.4" customHeight="1" x14ac:dyDescent="0.3">
      <c r="A99" s="660" t="s">
        <v>552</v>
      </c>
      <c r="B99" s="661" t="s">
        <v>3526</v>
      </c>
      <c r="C99" s="661" t="s">
        <v>3566</v>
      </c>
      <c r="D99" s="661" t="s">
        <v>3603</v>
      </c>
      <c r="E99" s="661" t="s">
        <v>3604</v>
      </c>
      <c r="F99" s="664"/>
      <c r="G99" s="664"/>
      <c r="H99" s="664"/>
      <c r="I99" s="664"/>
      <c r="J99" s="664">
        <v>1</v>
      </c>
      <c r="K99" s="664">
        <v>8644</v>
      </c>
      <c r="L99" s="664"/>
      <c r="M99" s="664">
        <v>8644</v>
      </c>
      <c r="N99" s="664"/>
      <c r="O99" s="664"/>
      <c r="P99" s="677"/>
      <c r="Q99" s="665"/>
    </row>
    <row r="100" spans="1:17" ht="14.4" customHeight="1" x14ac:dyDescent="0.3">
      <c r="A100" s="660" t="s">
        <v>552</v>
      </c>
      <c r="B100" s="661" t="s">
        <v>3526</v>
      </c>
      <c r="C100" s="661" t="s">
        <v>3566</v>
      </c>
      <c r="D100" s="661" t="s">
        <v>3605</v>
      </c>
      <c r="E100" s="661" t="s">
        <v>3606</v>
      </c>
      <c r="F100" s="664">
        <v>3</v>
      </c>
      <c r="G100" s="664">
        <v>116559.81</v>
      </c>
      <c r="H100" s="664">
        <v>1</v>
      </c>
      <c r="I100" s="664">
        <v>38853.269999999997</v>
      </c>
      <c r="J100" s="664">
        <v>4</v>
      </c>
      <c r="K100" s="664">
        <v>155413.07999999999</v>
      </c>
      <c r="L100" s="664">
        <v>1.3333333333333333</v>
      </c>
      <c r="M100" s="664">
        <v>38853.269999999997</v>
      </c>
      <c r="N100" s="664">
        <v>2</v>
      </c>
      <c r="O100" s="664">
        <v>77706.539999999994</v>
      </c>
      <c r="P100" s="677">
        <v>0.66666666666666663</v>
      </c>
      <c r="Q100" s="665">
        <v>38853.269999999997</v>
      </c>
    </row>
    <row r="101" spans="1:17" ht="14.4" customHeight="1" x14ac:dyDescent="0.3">
      <c r="A101" s="660" t="s">
        <v>552</v>
      </c>
      <c r="B101" s="661" t="s">
        <v>3526</v>
      </c>
      <c r="C101" s="661" t="s">
        <v>3566</v>
      </c>
      <c r="D101" s="661" t="s">
        <v>3607</v>
      </c>
      <c r="E101" s="661" t="s">
        <v>3608</v>
      </c>
      <c r="F101" s="664">
        <v>1</v>
      </c>
      <c r="G101" s="664">
        <v>2976</v>
      </c>
      <c r="H101" s="664">
        <v>1</v>
      </c>
      <c r="I101" s="664">
        <v>2976</v>
      </c>
      <c r="J101" s="664"/>
      <c r="K101" s="664"/>
      <c r="L101" s="664"/>
      <c r="M101" s="664"/>
      <c r="N101" s="664"/>
      <c r="O101" s="664"/>
      <c r="P101" s="677"/>
      <c r="Q101" s="665"/>
    </row>
    <row r="102" spans="1:17" ht="14.4" customHeight="1" x14ac:dyDescent="0.3">
      <c r="A102" s="660" t="s">
        <v>552</v>
      </c>
      <c r="B102" s="661" t="s">
        <v>3526</v>
      </c>
      <c r="C102" s="661" t="s">
        <v>3566</v>
      </c>
      <c r="D102" s="661" t="s">
        <v>3609</v>
      </c>
      <c r="E102" s="661" t="s">
        <v>3610</v>
      </c>
      <c r="F102" s="664">
        <v>17</v>
      </c>
      <c r="G102" s="664">
        <v>23132.75</v>
      </c>
      <c r="H102" s="664">
        <v>1</v>
      </c>
      <c r="I102" s="664">
        <v>1360.75</v>
      </c>
      <c r="J102" s="664">
        <v>25</v>
      </c>
      <c r="K102" s="664">
        <v>34018.75</v>
      </c>
      <c r="L102" s="664">
        <v>1.4705882352941178</v>
      </c>
      <c r="M102" s="664">
        <v>1360.75</v>
      </c>
      <c r="N102" s="664">
        <v>16</v>
      </c>
      <c r="O102" s="664">
        <v>21772</v>
      </c>
      <c r="P102" s="677">
        <v>0.94117647058823528</v>
      </c>
      <c r="Q102" s="665">
        <v>1360.75</v>
      </c>
    </row>
    <row r="103" spans="1:17" ht="14.4" customHeight="1" x14ac:dyDescent="0.3">
      <c r="A103" s="660" t="s">
        <v>552</v>
      </c>
      <c r="B103" s="661" t="s">
        <v>3526</v>
      </c>
      <c r="C103" s="661" t="s">
        <v>3566</v>
      </c>
      <c r="D103" s="661" t="s">
        <v>3611</v>
      </c>
      <c r="E103" s="661" t="s">
        <v>3612</v>
      </c>
      <c r="F103" s="664">
        <v>6</v>
      </c>
      <c r="G103" s="664">
        <v>28065</v>
      </c>
      <c r="H103" s="664">
        <v>1</v>
      </c>
      <c r="I103" s="664">
        <v>4677.5</v>
      </c>
      <c r="J103" s="664">
        <v>13</v>
      </c>
      <c r="K103" s="664">
        <v>60807.5</v>
      </c>
      <c r="L103" s="664">
        <v>2.1666666666666665</v>
      </c>
      <c r="M103" s="664">
        <v>4677.5</v>
      </c>
      <c r="N103" s="664">
        <v>2</v>
      </c>
      <c r="O103" s="664">
        <v>9355</v>
      </c>
      <c r="P103" s="677">
        <v>0.33333333333333331</v>
      </c>
      <c r="Q103" s="665">
        <v>4677.5</v>
      </c>
    </row>
    <row r="104" spans="1:17" ht="14.4" customHeight="1" x14ac:dyDescent="0.3">
      <c r="A104" s="660" t="s">
        <v>552</v>
      </c>
      <c r="B104" s="661" t="s">
        <v>3526</v>
      </c>
      <c r="C104" s="661" t="s">
        <v>3566</v>
      </c>
      <c r="D104" s="661" t="s">
        <v>3613</v>
      </c>
      <c r="E104" s="661" t="s">
        <v>3614</v>
      </c>
      <c r="F104" s="664">
        <v>2</v>
      </c>
      <c r="G104" s="664">
        <v>37905.919999999998</v>
      </c>
      <c r="H104" s="664">
        <v>1</v>
      </c>
      <c r="I104" s="664">
        <v>18952.96</v>
      </c>
      <c r="J104" s="664">
        <v>2</v>
      </c>
      <c r="K104" s="664">
        <v>37905.919999999998</v>
      </c>
      <c r="L104" s="664">
        <v>1</v>
      </c>
      <c r="M104" s="664">
        <v>18952.96</v>
      </c>
      <c r="N104" s="664">
        <v>2</v>
      </c>
      <c r="O104" s="664">
        <v>37905.919999999998</v>
      </c>
      <c r="P104" s="677">
        <v>1</v>
      </c>
      <c r="Q104" s="665">
        <v>18952.96</v>
      </c>
    </row>
    <row r="105" spans="1:17" ht="14.4" customHeight="1" x14ac:dyDescent="0.3">
      <c r="A105" s="660" t="s">
        <v>552</v>
      </c>
      <c r="B105" s="661" t="s">
        <v>3526</v>
      </c>
      <c r="C105" s="661" t="s">
        <v>3566</v>
      </c>
      <c r="D105" s="661" t="s">
        <v>3615</v>
      </c>
      <c r="E105" s="661" t="s">
        <v>3616</v>
      </c>
      <c r="F105" s="664">
        <v>5</v>
      </c>
      <c r="G105" s="664">
        <v>221260</v>
      </c>
      <c r="H105" s="664">
        <v>1</v>
      </c>
      <c r="I105" s="664">
        <v>44252</v>
      </c>
      <c r="J105" s="664">
        <v>4</v>
      </c>
      <c r="K105" s="664">
        <v>177008</v>
      </c>
      <c r="L105" s="664">
        <v>0.8</v>
      </c>
      <c r="M105" s="664">
        <v>44252</v>
      </c>
      <c r="N105" s="664"/>
      <c r="O105" s="664"/>
      <c r="P105" s="677"/>
      <c r="Q105" s="665"/>
    </row>
    <row r="106" spans="1:17" ht="14.4" customHeight="1" x14ac:dyDescent="0.3">
      <c r="A106" s="660" t="s">
        <v>552</v>
      </c>
      <c r="B106" s="661" t="s">
        <v>3526</v>
      </c>
      <c r="C106" s="661" t="s">
        <v>3566</v>
      </c>
      <c r="D106" s="661" t="s">
        <v>3617</v>
      </c>
      <c r="E106" s="661" t="s">
        <v>3618</v>
      </c>
      <c r="F106" s="664">
        <v>4</v>
      </c>
      <c r="G106" s="664">
        <v>187372</v>
      </c>
      <c r="H106" s="664">
        <v>1</v>
      </c>
      <c r="I106" s="664">
        <v>46843</v>
      </c>
      <c r="J106" s="664">
        <v>2</v>
      </c>
      <c r="K106" s="664">
        <v>93686</v>
      </c>
      <c r="L106" s="664">
        <v>0.5</v>
      </c>
      <c r="M106" s="664">
        <v>46843</v>
      </c>
      <c r="N106" s="664">
        <v>2</v>
      </c>
      <c r="O106" s="664">
        <v>93686</v>
      </c>
      <c r="P106" s="677">
        <v>0.5</v>
      </c>
      <c r="Q106" s="665">
        <v>46843</v>
      </c>
    </row>
    <row r="107" spans="1:17" ht="14.4" customHeight="1" x14ac:dyDescent="0.3">
      <c r="A107" s="660" t="s">
        <v>552</v>
      </c>
      <c r="B107" s="661" t="s">
        <v>3526</v>
      </c>
      <c r="C107" s="661" t="s">
        <v>3566</v>
      </c>
      <c r="D107" s="661" t="s">
        <v>3619</v>
      </c>
      <c r="E107" s="661" t="s">
        <v>3620</v>
      </c>
      <c r="F107" s="664">
        <v>7</v>
      </c>
      <c r="G107" s="664">
        <v>12866</v>
      </c>
      <c r="H107" s="664">
        <v>1</v>
      </c>
      <c r="I107" s="664">
        <v>1838</v>
      </c>
      <c r="J107" s="664">
        <v>10</v>
      </c>
      <c r="K107" s="664">
        <v>18380</v>
      </c>
      <c r="L107" s="664">
        <v>1.4285714285714286</v>
      </c>
      <c r="M107" s="664">
        <v>1838</v>
      </c>
      <c r="N107" s="664">
        <v>6</v>
      </c>
      <c r="O107" s="664">
        <v>11028</v>
      </c>
      <c r="P107" s="677">
        <v>0.8571428571428571</v>
      </c>
      <c r="Q107" s="665">
        <v>1838</v>
      </c>
    </row>
    <row r="108" spans="1:17" ht="14.4" customHeight="1" x14ac:dyDescent="0.3">
      <c r="A108" s="660" t="s">
        <v>552</v>
      </c>
      <c r="B108" s="661" t="s">
        <v>3526</v>
      </c>
      <c r="C108" s="661" t="s">
        <v>3566</v>
      </c>
      <c r="D108" s="661" t="s">
        <v>3621</v>
      </c>
      <c r="E108" s="661" t="s">
        <v>3622</v>
      </c>
      <c r="F108" s="664"/>
      <c r="G108" s="664"/>
      <c r="H108" s="664"/>
      <c r="I108" s="664"/>
      <c r="J108" s="664">
        <v>1</v>
      </c>
      <c r="K108" s="664">
        <v>25697</v>
      </c>
      <c r="L108" s="664"/>
      <c r="M108" s="664">
        <v>25697</v>
      </c>
      <c r="N108" s="664">
        <v>1</v>
      </c>
      <c r="O108" s="664">
        <v>25697</v>
      </c>
      <c r="P108" s="677"/>
      <c r="Q108" s="665">
        <v>25697</v>
      </c>
    </row>
    <row r="109" spans="1:17" ht="14.4" customHeight="1" x14ac:dyDescent="0.3">
      <c r="A109" s="660" t="s">
        <v>552</v>
      </c>
      <c r="B109" s="661" t="s">
        <v>3526</v>
      </c>
      <c r="C109" s="661" t="s">
        <v>3566</v>
      </c>
      <c r="D109" s="661" t="s">
        <v>3623</v>
      </c>
      <c r="E109" s="661" t="s">
        <v>3624</v>
      </c>
      <c r="F109" s="664"/>
      <c r="G109" s="664"/>
      <c r="H109" s="664"/>
      <c r="I109" s="664"/>
      <c r="J109" s="664"/>
      <c r="K109" s="664"/>
      <c r="L109" s="664"/>
      <c r="M109" s="664"/>
      <c r="N109" s="664">
        <v>1</v>
      </c>
      <c r="O109" s="664">
        <v>1796</v>
      </c>
      <c r="P109" s="677"/>
      <c r="Q109" s="665">
        <v>1796</v>
      </c>
    </row>
    <row r="110" spans="1:17" ht="14.4" customHeight="1" x14ac:dyDescent="0.3">
      <c r="A110" s="660" t="s">
        <v>552</v>
      </c>
      <c r="B110" s="661" t="s">
        <v>3526</v>
      </c>
      <c r="C110" s="661" t="s">
        <v>3566</v>
      </c>
      <c r="D110" s="661" t="s">
        <v>3625</v>
      </c>
      <c r="E110" s="661" t="s">
        <v>3626</v>
      </c>
      <c r="F110" s="664">
        <v>1</v>
      </c>
      <c r="G110" s="664">
        <v>17618.18</v>
      </c>
      <c r="H110" s="664">
        <v>1</v>
      </c>
      <c r="I110" s="664">
        <v>17618.18</v>
      </c>
      <c r="J110" s="664"/>
      <c r="K110" s="664"/>
      <c r="L110" s="664"/>
      <c r="M110" s="664"/>
      <c r="N110" s="664">
        <v>1</v>
      </c>
      <c r="O110" s="664">
        <v>17618.18</v>
      </c>
      <c r="P110" s="677">
        <v>1</v>
      </c>
      <c r="Q110" s="665">
        <v>17618.18</v>
      </c>
    </row>
    <row r="111" spans="1:17" ht="14.4" customHeight="1" x14ac:dyDescent="0.3">
      <c r="A111" s="660" t="s">
        <v>552</v>
      </c>
      <c r="B111" s="661" t="s">
        <v>3526</v>
      </c>
      <c r="C111" s="661" t="s">
        <v>3566</v>
      </c>
      <c r="D111" s="661" t="s">
        <v>3627</v>
      </c>
      <c r="E111" s="661" t="s">
        <v>3628</v>
      </c>
      <c r="F111" s="664">
        <v>1</v>
      </c>
      <c r="G111" s="664">
        <v>23836.36</v>
      </c>
      <c r="H111" s="664">
        <v>1</v>
      </c>
      <c r="I111" s="664">
        <v>23836.36</v>
      </c>
      <c r="J111" s="664"/>
      <c r="K111" s="664"/>
      <c r="L111" s="664"/>
      <c r="M111" s="664"/>
      <c r="N111" s="664"/>
      <c r="O111" s="664"/>
      <c r="P111" s="677"/>
      <c r="Q111" s="665"/>
    </row>
    <row r="112" spans="1:17" ht="14.4" customHeight="1" x14ac:dyDescent="0.3">
      <c r="A112" s="660" t="s">
        <v>552</v>
      </c>
      <c r="B112" s="661" t="s">
        <v>3526</v>
      </c>
      <c r="C112" s="661" t="s">
        <v>3566</v>
      </c>
      <c r="D112" s="661" t="s">
        <v>3629</v>
      </c>
      <c r="E112" s="661" t="s">
        <v>3630</v>
      </c>
      <c r="F112" s="664">
        <v>1</v>
      </c>
      <c r="G112" s="664">
        <v>21539.78</v>
      </c>
      <c r="H112" s="664">
        <v>1</v>
      </c>
      <c r="I112" s="664">
        <v>21539.78</v>
      </c>
      <c r="J112" s="664"/>
      <c r="K112" s="664"/>
      <c r="L112" s="664"/>
      <c r="M112" s="664"/>
      <c r="N112" s="664"/>
      <c r="O112" s="664"/>
      <c r="P112" s="677"/>
      <c r="Q112" s="665"/>
    </row>
    <row r="113" spans="1:17" ht="14.4" customHeight="1" x14ac:dyDescent="0.3">
      <c r="A113" s="660" t="s">
        <v>552</v>
      </c>
      <c r="B113" s="661" t="s">
        <v>3526</v>
      </c>
      <c r="C113" s="661" t="s">
        <v>3566</v>
      </c>
      <c r="D113" s="661" t="s">
        <v>3631</v>
      </c>
      <c r="E113" s="661" t="s">
        <v>3632</v>
      </c>
      <c r="F113" s="664">
        <v>2</v>
      </c>
      <c r="G113" s="664">
        <v>9899.76</v>
      </c>
      <c r="H113" s="664">
        <v>1</v>
      </c>
      <c r="I113" s="664">
        <v>4949.88</v>
      </c>
      <c r="J113" s="664">
        <v>4</v>
      </c>
      <c r="K113" s="664">
        <v>19799.52</v>
      </c>
      <c r="L113" s="664">
        <v>2</v>
      </c>
      <c r="M113" s="664">
        <v>4949.88</v>
      </c>
      <c r="N113" s="664">
        <v>1</v>
      </c>
      <c r="O113" s="664">
        <v>4949.88</v>
      </c>
      <c r="P113" s="677">
        <v>0.5</v>
      </c>
      <c r="Q113" s="665">
        <v>4949.88</v>
      </c>
    </row>
    <row r="114" spans="1:17" ht="14.4" customHeight="1" x14ac:dyDescent="0.3">
      <c r="A114" s="660" t="s">
        <v>552</v>
      </c>
      <c r="B114" s="661" t="s">
        <v>3526</v>
      </c>
      <c r="C114" s="661" t="s">
        <v>3566</v>
      </c>
      <c r="D114" s="661" t="s">
        <v>3633</v>
      </c>
      <c r="E114" s="661" t="s">
        <v>3634</v>
      </c>
      <c r="F114" s="664">
        <v>1</v>
      </c>
      <c r="G114" s="664">
        <v>20441.03</v>
      </c>
      <c r="H114" s="664">
        <v>1</v>
      </c>
      <c r="I114" s="664">
        <v>20441.03</v>
      </c>
      <c r="J114" s="664">
        <v>1</v>
      </c>
      <c r="K114" s="664">
        <v>20441.03</v>
      </c>
      <c r="L114" s="664">
        <v>1</v>
      </c>
      <c r="M114" s="664">
        <v>20441.03</v>
      </c>
      <c r="N114" s="664">
        <v>1</v>
      </c>
      <c r="O114" s="664">
        <v>20441.03</v>
      </c>
      <c r="P114" s="677">
        <v>1</v>
      </c>
      <c r="Q114" s="665">
        <v>20441.03</v>
      </c>
    </row>
    <row r="115" spans="1:17" ht="14.4" customHeight="1" x14ac:dyDescent="0.3">
      <c r="A115" s="660" t="s">
        <v>552</v>
      </c>
      <c r="B115" s="661" t="s">
        <v>3526</v>
      </c>
      <c r="C115" s="661" t="s">
        <v>3566</v>
      </c>
      <c r="D115" s="661" t="s">
        <v>3635</v>
      </c>
      <c r="E115" s="661" t="s">
        <v>3636</v>
      </c>
      <c r="F115" s="664">
        <v>10</v>
      </c>
      <c r="G115" s="664">
        <v>258202.7</v>
      </c>
      <c r="H115" s="664">
        <v>1</v>
      </c>
      <c r="I115" s="664">
        <v>25820.27</v>
      </c>
      <c r="J115" s="664">
        <v>21</v>
      </c>
      <c r="K115" s="664">
        <v>542225.66999999993</v>
      </c>
      <c r="L115" s="664">
        <v>2.0999999999999996</v>
      </c>
      <c r="M115" s="664">
        <v>25820.269999999997</v>
      </c>
      <c r="N115" s="664">
        <v>24</v>
      </c>
      <c r="O115" s="664">
        <v>619686.48</v>
      </c>
      <c r="P115" s="677">
        <v>2.4</v>
      </c>
      <c r="Q115" s="665">
        <v>25820.27</v>
      </c>
    </row>
    <row r="116" spans="1:17" ht="14.4" customHeight="1" x14ac:dyDescent="0.3">
      <c r="A116" s="660" t="s">
        <v>552</v>
      </c>
      <c r="B116" s="661" t="s">
        <v>3526</v>
      </c>
      <c r="C116" s="661" t="s">
        <v>3566</v>
      </c>
      <c r="D116" s="661" t="s">
        <v>3637</v>
      </c>
      <c r="E116" s="661" t="s">
        <v>3638</v>
      </c>
      <c r="F116" s="664">
        <v>11</v>
      </c>
      <c r="G116" s="664">
        <v>159599.99</v>
      </c>
      <c r="H116" s="664">
        <v>1</v>
      </c>
      <c r="I116" s="664">
        <v>14509.089999999998</v>
      </c>
      <c r="J116" s="664">
        <v>14</v>
      </c>
      <c r="K116" s="664">
        <v>203127.25999999998</v>
      </c>
      <c r="L116" s="664">
        <v>1.2727272727272727</v>
      </c>
      <c r="M116" s="664">
        <v>14509.089999999998</v>
      </c>
      <c r="N116" s="664">
        <v>5</v>
      </c>
      <c r="O116" s="664">
        <v>72545.450000000012</v>
      </c>
      <c r="P116" s="677">
        <v>0.45454545454545464</v>
      </c>
      <c r="Q116" s="665">
        <v>14509.090000000002</v>
      </c>
    </row>
    <row r="117" spans="1:17" ht="14.4" customHeight="1" x14ac:dyDescent="0.3">
      <c r="A117" s="660" t="s">
        <v>552</v>
      </c>
      <c r="B117" s="661" t="s">
        <v>3526</v>
      </c>
      <c r="C117" s="661" t="s">
        <v>3566</v>
      </c>
      <c r="D117" s="661" t="s">
        <v>3639</v>
      </c>
      <c r="E117" s="661" t="s">
        <v>3640</v>
      </c>
      <c r="F117" s="664">
        <v>31</v>
      </c>
      <c r="G117" s="664">
        <v>40455</v>
      </c>
      <c r="H117" s="664">
        <v>1</v>
      </c>
      <c r="I117" s="664">
        <v>1305</v>
      </c>
      <c r="J117" s="664">
        <v>31</v>
      </c>
      <c r="K117" s="664">
        <v>40455</v>
      </c>
      <c r="L117" s="664">
        <v>1</v>
      </c>
      <c r="M117" s="664">
        <v>1305</v>
      </c>
      <c r="N117" s="664">
        <v>31</v>
      </c>
      <c r="O117" s="664">
        <v>40455</v>
      </c>
      <c r="P117" s="677">
        <v>1</v>
      </c>
      <c r="Q117" s="665">
        <v>1305</v>
      </c>
    </row>
    <row r="118" spans="1:17" ht="14.4" customHeight="1" x14ac:dyDescent="0.3">
      <c r="A118" s="660" t="s">
        <v>552</v>
      </c>
      <c r="B118" s="661" t="s">
        <v>3526</v>
      </c>
      <c r="C118" s="661" t="s">
        <v>3566</v>
      </c>
      <c r="D118" s="661" t="s">
        <v>3641</v>
      </c>
      <c r="E118" s="661" t="s">
        <v>3642</v>
      </c>
      <c r="F118" s="664">
        <v>33</v>
      </c>
      <c r="G118" s="664">
        <v>35574</v>
      </c>
      <c r="H118" s="664">
        <v>1</v>
      </c>
      <c r="I118" s="664">
        <v>1078</v>
      </c>
      <c r="J118" s="664">
        <v>33</v>
      </c>
      <c r="K118" s="664">
        <v>35574</v>
      </c>
      <c r="L118" s="664">
        <v>1</v>
      </c>
      <c r="M118" s="664">
        <v>1078</v>
      </c>
      <c r="N118" s="664">
        <v>34</v>
      </c>
      <c r="O118" s="664">
        <v>36652</v>
      </c>
      <c r="P118" s="677">
        <v>1.0303030303030303</v>
      </c>
      <c r="Q118" s="665">
        <v>1078</v>
      </c>
    </row>
    <row r="119" spans="1:17" ht="14.4" customHeight="1" x14ac:dyDescent="0.3">
      <c r="A119" s="660" t="s">
        <v>552</v>
      </c>
      <c r="B119" s="661" t="s">
        <v>3526</v>
      </c>
      <c r="C119" s="661" t="s">
        <v>3566</v>
      </c>
      <c r="D119" s="661" t="s">
        <v>3643</v>
      </c>
      <c r="E119" s="661" t="s">
        <v>3644</v>
      </c>
      <c r="F119" s="664">
        <v>1</v>
      </c>
      <c r="G119" s="664">
        <v>8509</v>
      </c>
      <c r="H119" s="664">
        <v>1</v>
      </c>
      <c r="I119" s="664">
        <v>8509</v>
      </c>
      <c r="J119" s="664">
        <v>2</v>
      </c>
      <c r="K119" s="664">
        <v>17018</v>
      </c>
      <c r="L119" s="664">
        <v>2</v>
      </c>
      <c r="M119" s="664">
        <v>8509</v>
      </c>
      <c r="N119" s="664"/>
      <c r="O119" s="664"/>
      <c r="P119" s="677"/>
      <c r="Q119" s="665"/>
    </row>
    <row r="120" spans="1:17" ht="14.4" customHeight="1" x14ac:dyDescent="0.3">
      <c r="A120" s="660" t="s">
        <v>552</v>
      </c>
      <c r="B120" s="661" t="s">
        <v>3526</v>
      </c>
      <c r="C120" s="661" t="s">
        <v>3566</v>
      </c>
      <c r="D120" s="661" t="s">
        <v>3645</v>
      </c>
      <c r="E120" s="661" t="s">
        <v>3646</v>
      </c>
      <c r="F120" s="664">
        <v>2</v>
      </c>
      <c r="G120" s="664">
        <v>11344</v>
      </c>
      <c r="H120" s="664">
        <v>1</v>
      </c>
      <c r="I120" s="664">
        <v>5672</v>
      </c>
      <c r="J120" s="664">
        <v>6</v>
      </c>
      <c r="K120" s="664">
        <v>34032</v>
      </c>
      <c r="L120" s="664">
        <v>3</v>
      </c>
      <c r="M120" s="664">
        <v>5672</v>
      </c>
      <c r="N120" s="664"/>
      <c r="O120" s="664"/>
      <c r="P120" s="677"/>
      <c r="Q120" s="665"/>
    </row>
    <row r="121" spans="1:17" ht="14.4" customHeight="1" x14ac:dyDescent="0.3">
      <c r="A121" s="660" t="s">
        <v>552</v>
      </c>
      <c r="B121" s="661" t="s">
        <v>3526</v>
      </c>
      <c r="C121" s="661" t="s">
        <v>3566</v>
      </c>
      <c r="D121" s="661" t="s">
        <v>3647</v>
      </c>
      <c r="E121" s="661" t="s">
        <v>3648</v>
      </c>
      <c r="F121" s="664">
        <v>86</v>
      </c>
      <c r="G121" s="664">
        <v>18232</v>
      </c>
      <c r="H121" s="664">
        <v>1</v>
      </c>
      <c r="I121" s="664">
        <v>212</v>
      </c>
      <c r="J121" s="664">
        <v>98</v>
      </c>
      <c r="K121" s="664">
        <v>20776</v>
      </c>
      <c r="L121" s="664">
        <v>1.1395348837209303</v>
      </c>
      <c r="M121" s="664">
        <v>212</v>
      </c>
      <c r="N121" s="664">
        <v>50</v>
      </c>
      <c r="O121" s="664">
        <v>10600</v>
      </c>
      <c r="P121" s="677">
        <v>0.58139534883720934</v>
      </c>
      <c r="Q121" s="665">
        <v>212</v>
      </c>
    </row>
    <row r="122" spans="1:17" ht="14.4" customHeight="1" x14ac:dyDescent="0.3">
      <c r="A122" s="660" t="s">
        <v>552</v>
      </c>
      <c r="B122" s="661" t="s">
        <v>3526</v>
      </c>
      <c r="C122" s="661" t="s">
        <v>3566</v>
      </c>
      <c r="D122" s="661" t="s">
        <v>3649</v>
      </c>
      <c r="E122" s="661" t="s">
        <v>3650</v>
      </c>
      <c r="F122" s="664">
        <v>6</v>
      </c>
      <c r="G122" s="664">
        <v>8280</v>
      </c>
      <c r="H122" s="664">
        <v>1</v>
      </c>
      <c r="I122" s="664">
        <v>1380</v>
      </c>
      <c r="J122" s="664"/>
      <c r="K122" s="664"/>
      <c r="L122" s="664"/>
      <c r="M122" s="664"/>
      <c r="N122" s="664">
        <v>2</v>
      </c>
      <c r="O122" s="664">
        <v>2760</v>
      </c>
      <c r="P122" s="677">
        <v>0.33333333333333331</v>
      </c>
      <c r="Q122" s="665">
        <v>1380</v>
      </c>
    </row>
    <row r="123" spans="1:17" ht="14.4" customHeight="1" x14ac:dyDescent="0.3">
      <c r="A123" s="660" t="s">
        <v>552</v>
      </c>
      <c r="B123" s="661" t="s">
        <v>3526</v>
      </c>
      <c r="C123" s="661" t="s">
        <v>3566</v>
      </c>
      <c r="D123" s="661" t="s">
        <v>3651</v>
      </c>
      <c r="E123" s="661" t="s">
        <v>3652</v>
      </c>
      <c r="F123" s="664"/>
      <c r="G123" s="664"/>
      <c r="H123" s="664"/>
      <c r="I123" s="664"/>
      <c r="J123" s="664">
        <v>1</v>
      </c>
      <c r="K123" s="664">
        <v>1404</v>
      </c>
      <c r="L123" s="664"/>
      <c r="M123" s="664">
        <v>1404</v>
      </c>
      <c r="N123" s="664"/>
      <c r="O123" s="664"/>
      <c r="P123" s="677"/>
      <c r="Q123" s="665"/>
    </row>
    <row r="124" spans="1:17" ht="14.4" customHeight="1" x14ac:dyDescent="0.3">
      <c r="A124" s="660" t="s">
        <v>552</v>
      </c>
      <c r="B124" s="661" t="s">
        <v>3526</v>
      </c>
      <c r="C124" s="661" t="s">
        <v>3566</v>
      </c>
      <c r="D124" s="661" t="s">
        <v>3653</v>
      </c>
      <c r="E124" s="661" t="s">
        <v>3654</v>
      </c>
      <c r="F124" s="664">
        <v>5</v>
      </c>
      <c r="G124" s="664">
        <v>6560</v>
      </c>
      <c r="H124" s="664">
        <v>1</v>
      </c>
      <c r="I124" s="664">
        <v>1312</v>
      </c>
      <c r="J124" s="664">
        <v>1</v>
      </c>
      <c r="K124" s="664">
        <v>1312</v>
      </c>
      <c r="L124" s="664">
        <v>0.2</v>
      </c>
      <c r="M124" s="664">
        <v>1312</v>
      </c>
      <c r="N124" s="664">
        <v>1</v>
      </c>
      <c r="O124" s="664">
        <v>1312</v>
      </c>
      <c r="P124" s="677">
        <v>0.2</v>
      </c>
      <c r="Q124" s="665">
        <v>1312</v>
      </c>
    </row>
    <row r="125" spans="1:17" ht="14.4" customHeight="1" x14ac:dyDescent="0.3">
      <c r="A125" s="660" t="s">
        <v>552</v>
      </c>
      <c r="B125" s="661" t="s">
        <v>3526</v>
      </c>
      <c r="C125" s="661" t="s">
        <v>3566</v>
      </c>
      <c r="D125" s="661" t="s">
        <v>3655</v>
      </c>
      <c r="E125" s="661" t="s">
        <v>3656</v>
      </c>
      <c r="F125" s="664">
        <v>6</v>
      </c>
      <c r="G125" s="664">
        <v>9360</v>
      </c>
      <c r="H125" s="664">
        <v>1</v>
      </c>
      <c r="I125" s="664">
        <v>1560</v>
      </c>
      <c r="J125" s="664"/>
      <c r="K125" s="664"/>
      <c r="L125" s="664"/>
      <c r="M125" s="664"/>
      <c r="N125" s="664">
        <v>2</v>
      </c>
      <c r="O125" s="664">
        <v>3120</v>
      </c>
      <c r="P125" s="677">
        <v>0.33333333333333331</v>
      </c>
      <c r="Q125" s="665">
        <v>1560</v>
      </c>
    </row>
    <row r="126" spans="1:17" ht="14.4" customHeight="1" x14ac:dyDescent="0.3">
      <c r="A126" s="660" t="s">
        <v>552</v>
      </c>
      <c r="B126" s="661" t="s">
        <v>3526</v>
      </c>
      <c r="C126" s="661" t="s">
        <v>3566</v>
      </c>
      <c r="D126" s="661" t="s">
        <v>3657</v>
      </c>
      <c r="E126" s="661" t="s">
        <v>3658</v>
      </c>
      <c r="F126" s="664">
        <v>1</v>
      </c>
      <c r="G126" s="664">
        <v>5808.82</v>
      </c>
      <c r="H126" s="664">
        <v>1</v>
      </c>
      <c r="I126" s="664">
        <v>5808.82</v>
      </c>
      <c r="J126" s="664">
        <v>5</v>
      </c>
      <c r="K126" s="664">
        <v>29044.1</v>
      </c>
      <c r="L126" s="664">
        <v>5</v>
      </c>
      <c r="M126" s="664">
        <v>5808.82</v>
      </c>
      <c r="N126" s="664">
        <v>1</v>
      </c>
      <c r="O126" s="664">
        <v>5808.82</v>
      </c>
      <c r="P126" s="677">
        <v>1</v>
      </c>
      <c r="Q126" s="665">
        <v>5808.82</v>
      </c>
    </row>
    <row r="127" spans="1:17" ht="14.4" customHeight="1" x14ac:dyDescent="0.3">
      <c r="A127" s="660" t="s">
        <v>552</v>
      </c>
      <c r="B127" s="661" t="s">
        <v>3526</v>
      </c>
      <c r="C127" s="661" t="s">
        <v>3566</v>
      </c>
      <c r="D127" s="661" t="s">
        <v>3659</v>
      </c>
      <c r="E127" s="661" t="s">
        <v>3660</v>
      </c>
      <c r="F127" s="664">
        <v>1</v>
      </c>
      <c r="G127" s="664">
        <v>8224.58</v>
      </c>
      <c r="H127" s="664">
        <v>1</v>
      </c>
      <c r="I127" s="664">
        <v>8224.58</v>
      </c>
      <c r="J127" s="664">
        <v>5</v>
      </c>
      <c r="K127" s="664">
        <v>41122.9</v>
      </c>
      <c r="L127" s="664">
        <v>5</v>
      </c>
      <c r="M127" s="664">
        <v>8224.58</v>
      </c>
      <c r="N127" s="664">
        <v>1</v>
      </c>
      <c r="O127" s="664">
        <v>8224.58</v>
      </c>
      <c r="P127" s="677">
        <v>1</v>
      </c>
      <c r="Q127" s="665">
        <v>8224.58</v>
      </c>
    </row>
    <row r="128" spans="1:17" ht="14.4" customHeight="1" x14ac:dyDescent="0.3">
      <c r="A128" s="660" t="s">
        <v>552</v>
      </c>
      <c r="B128" s="661" t="s">
        <v>3526</v>
      </c>
      <c r="C128" s="661" t="s">
        <v>3566</v>
      </c>
      <c r="D128" s="661" t="s">
        <v>3661</v>
      </c>
      <c r="E128" s="661" t="s">
        <v>3662</v>
      </c>
      <c r="F128" s="664"/>
      <c r="G128" s="664"/>
      <c r="H128" s="664"/>
      <c r="I128" s="664"/>
      <c r="J128" s="664">
        <v>2</v>
      </c>
      <c r="K128" s="664">
        <v>18318.759999999998</v>
      </c>
      <c r="L128" s="664"/>
      <c r="M128" s="664">
        <v>9159.3799999999992</v>
      </c>
      <c r="N128" s="664"/>
      <c r="O128" s="664"/>
      <c r="P128" s="677"/>
      <c r="Q128" s="665"/>
    </row>
    <row r="129" spans="1:17" ht="14.4" customHeight="1" x14ac:dyDescent="0.3">
      <c r="A129" s="660" t="s">
        <v>552</v>
      </c>
      <c r="B129" s="661" t="s">
        <v>3526</v>
      </c>
      <c r="C129" s="661" t="s">
        <v>3566</v>
      </c>
      <c r="D129" s="661" t="s">
        <v>3663</v>
      </c>
      <c r="E129" s="661" t="s">
        <v>3664</v>
      </c>
      <c r="F129" s="664">
        <v>38</v>
      </c>
      <c r="G129" s="664">
        <v>47258.32</v>
      </c>
      <c r="H129" s="664">
        <v>1</v>
      </c>
      <c r="I129" s="664">
        <v>1243.6400000000001</v>
      </c>
      <c r="J129" s="664">
        <v>52</v>
      </c>
      <c r="K129" s="664">
        <v>64669.279999999992</v>
      </c>
      <c r="L129" s="664">
        <v>1.3684210526315788</v>
      </c>
      <c r="M129" s="664">
        <v>1243.6399999999999</v>
      </c>
      <c r="N129" s="664">
        <v>57</v>
      </c>
      <c r="O129" s="664">
        <v>70887.48000000001</v>
      </c>
      <c r="P129" s="677">
        <v>1.5000000000000002</v>
      </c>
      <c r="Q129" s="665">
        <v>1243.6400000000001</v>
      </c>
    </row>
    <row r="130" spans="1:17" ht="14.4" customHeight="1" x14ac:dyDescent="0.3">
      <c r="A130" s="660" t="s">
        <v>552</v>
      </c>
      <c r="B130" s="661" t="s">
        <v>3526</v>
      </c>
      <c r="C130" s="661" t="s">
        <v>3566</v>
      </c>
      <c r="D130" s="661" t="s">
        <v>3665</v>
      </c>
      <c r="E130" s="661" t="s">
        <v>3666</v>
      </c>
      <c r="F130" s="664"/>
      <c r="G130" s="664"/>
      <c r="H130" s="664"/>
      <c r="I130" s="664"/>
      <c r="J130" s="664">
        <v>1</v>
      </c>
      <c r="K130" s="664">
        <v>16137.22</v>
      </c>
      <c r="L130" s="664"/>
      <c r="M130" s="664">
        <v>16137.22</v>
      </c>
      <c r="N130" s="664">
        <v>3</v>
      </c>
      <c r="O130" s="664">
        <v>48411.659999999996</v>
      </c>
      <c r="P130" s="677"/>
      <c r="Q130" s="665">
        <v>16137.22</v>
      </c>
    </row>
    <row r="131" spans="1:17" ht="14.4" customHeight="1" x14ac:dyDescent="0.3">
      <c r="A131" s="660" t="s">
        <v>552</v>
      </c>
      <c r="B131" s="661" t="s">
        <v>3526</v>
      </c>
      <c r="C131" s="661" t="s">
        <v>3566</v>
      </c>
      <c r="D131" s="661" t="s">
        <v>3667</v>
      </c>
      <c r="E131" s="661" t="s">
        <v>3668</v>
      </c>
      <c r="F131" s="664">
        <v>15</v>
      </c>
      <c r="G131" s="664">
        <v>24870</v>
      </c>
      <c r="H131" s="664">
        <v>1</v>
      </c>
      <c r="I131" s="664">
        <v>1658</v>
      </c>
      <c r="J131" s="664">
        <v>15</v>
      </c>
      <c r="K131" s="664">
        <v>24870</v>
      </c>
      <c r="L131" s="664">
        <v>1</v>
      </c>
      <c r="M131" s="664">
        <v>1658</v>
      </c>
      <c r="N131" s="664">
        <v>7</v>
      </c>
      <c r="O131" s="664">
        <v>11606</v>
      </c>
      <c r="P131" s="677">
        <v>0.46666666666666667</v>
      </c>
      <c r="Q131" s="665">
        <v>1658</v>
      </c>
    </row>
    <row r="132" spans="1:17" ht="14.4" customHeight="1" x14ac:dyDescent="0.3">
      <c r="A132" s="660" t="s">
        <v>552</v>
      </c>
      <c r="B132" s="661" t="s">
        <v>3526</v>
      </c>
      <c r="C132" s="661" t="s">
        <v>3566</v>
      </c>
      <c r="D132" s="661" t="s">
        <v>3669</v>
      </c>
      <c r="E132" s="661" t="s">
        <v>3662</v>
      </c>
      <c r="F132" s="664"/>
      <c r="G132" s="664"/>
      <c r="H132" s="664"/>
      <c r="I132" s="664"/>
      <c r="J132" s="664">
        <v>1</v>
      </c>
      <c r="K132" s="664">
        <v>8025.6</v>
      </c>
      <c r="L132" s="664"/>
      <c r="M132" s="664">
        <v>8025.6</v>
      </c>
      <c r="N132" s="664"/>
      <c r="O132" s="664"/>
      <c r="P132" s="677"/>
      <c r="Q132" s="665"/>
    </row>
    <row r="133" spans="1:17" ht="14.4" customHeight="1" x14ac:dyDescent="0.3">
      <c r="A133" s="660" t="s">
        <v>552</v>
      </c>
      <c r="B133" s="661" t="s">
        <v>3526</v>
      </c>
      <c r="C133" s="661" t="s">
        <v>3566</v>
      </c>
      <c r="D133" s="661" t="s">
        <v>3670</v>
      </c>
      <c r="E133" s="661" t="s">
        <v>3671</v>
      </c>
      <c r="F133" s="664"/>
      <c r="G133" s="664"/>
      <c r="H133" s="664"/>
      <c r="I133" s="664"/>
      <c r="J133" s="664">
        <v>27</v>
      </c>
      <c r="K133" s="664">
        <v>30304.26</v>
      </c>
      <c r="L133" s="664"/>
      <c r="M133" s="664">
        <v>1122.3799999999999</v>
      </c>
      <c r="N133" s="664"/>
      <c r="O133" s="664"/>
      <c r="P133" s="677"/>
      <c r="Q133" s="665"/>
    </row>
    <row r="134" spans="1:17" ht="14.4" customHeight="1" x14ac:dyDescent="0.3">
      <c r="A134" s="660" t="s">
        <v>552</v>
      </c>
      <c r="B134" s="661" t="s">
        <v>3526</v>
      </c>
      <c r="C134" s="661" t="s">
        <v>3566</v>
      </c>
      <c r="D134" s="661" t="s">
        <v>3672</v>
      </c>
      <c r="E134" s="661" t="s">
        <v>3673</v>
      </c>
      <c r="F134" s="664">
        <v>15</v>
      </c>
      <c r="G134" s="664">
        <v>26814</v>
      </c>
      <c r="H134" s="664">
        <v>1</v>
      </c>
      <c r="I134" s="664">
        <v>1787.6</v>
      </c>
      <c r="J134" s="664">
        <v>60</v>
      </c>
      <c r="K134" s="664">
        <v>107256</v>
      </c>
      <c r="L134" s="664">
        <v>4</v>
      </c>
      <c r="M134" s="664">
        <v>1787.6</v>
      </c>
      <c r="N134" s="664">
        <v>95</v>
      </c>
      <c r="O134" s="664">
        <v>169822</v>
      </c>
      <c r="P134" s="677">
        <v>6.333333333333333</v>
      </c>
      <c r="Q134" s="665">
        <v>1787.6</v>
      </c>
    </row>
    <row r="135" spans="1:17" ht="14.4" customHeight="1" x14ac:dyDescent="0.3">
      <c r="A135" s="660" t="s">
        <v>552</v>
      </c>
      <c r="B135" s="661" t="s">
        <v>3526</v>
      </c>
      <c r="C135" s="661" t="s">
        <v>3566</v>
      </c>
      <c r="D135" s="661" t="s">
        <v>3674</v>
      </c>
      <c r="E135" s="661" t="s">
        <v>3675</v>
      </c>
      <c r="F135" s="664">
        <v>4</v>
      </c>
      <c r="G135" s="664">
        <v>289684.36</v>
      </c>
      <c r="H135" s="664">
        <v>1</v>
      </c>
      <c r="I135" s="664">
        <v>72421.09</v>
      </c>
      <c r="J135" s="664">
        <v>12</v>
      </c>
      <c r="K135" s="664">
        <v>869053.08</v>
      </c>
      <c r="L135" s="664">
        <v>3</v>
      </c>
      <c r="M135" s="664">
        <v>72421.09</v>
      </c>
      <c r="N135" s="664">
        <v>1</v>
      </c>
      <c r="O135" s="664">
        <v>72421.09</v>
      </c>
      <c r="P135" s="677">
        <v>0.25</v>
      </c>
      <c r="Q135" s="665">
        <v>72421.09</v>
      </c>
    </row>
    <row r="136" spans="1:17" ht="14.4" customHeight="1" x14ac:dyDescent="0.3">
      <c r="A136" s="660" t="s">
        <v>552</v>
      </c>
      <c r="B136" s="661" t="s">
        <v>3526</v>
      </c>
      <c r="C136" s="661" t="s">
        <v>3566</v>
      </c>
      <c r="D136" s="661" t="s">
        <v>3676</v>
      </c>
      <c r="E136" s="661" t="s">
        <v>3572</v>
      </c>
      <c r="F136" s="664"/>
      <c r="G136" s="664"/>
      <c r="H136" s="664"/>
      <c r="I136" s="664"/>
      <c r="J136" s="664">
        <v>1</v>
      </c>
      <c r="K136" s="664">
        <v>87846.78</v>
      </c>
      <c r="L136" s="664"/>
      <c r="M136" s="664">
        <v>87846.78</v>
      </c>
      <c r="N136" s="664">
        <v>3</v>
      </c>
      <c r="O136" s="664">
        <v>263540.33999999997</v>
      </c>
      <c r="P136" s="677"/>
      <c r="Q136" s="665">
        <v>87846.779999999984</v>
      </c>
    </row>
    <row r="137" spans="1:17" ht="14.4" customHeight="1" x14ac:dyDescent="0.3">
      <c r="A137" s="660" t="s">
        <v>552</v>
      </c>
      <c r="B137" s="661" t="s">
        <v>3526</v>
      </c>
      <c r="C137" s="661" t="s">
        <v>3566</v>
      </c>
      <c r="D137" s="661" t="s">
        <v>3677</v>
      </c>
      <c r="E137" s="661" t="s">
        <v>3678</v>
      </c>
      <c r="F137" s="664"/>
      <c r="G137" s="664"/>
      <c r="H137" s="664"/>
      <c r="I137" s="664"/>
      <c r="J137" s="664"/>
      <c r="K137" s="664"/>
      <c r="L137" s="664"/>
      <c r="M137" s="664"/>
      <c r="N137" s="664">
        <v>1</v>
      </c>
      <c r="O137" s="664">
        <v>660</v>
      </c>
      <c r="P137" s="677"/>
      <c r="Q137" s="665">
        <v>660</v>
      </c>
    </row>
    <row r="138" spans="1:17" ht="14.4" customHeight="1" x14ac:dyDescent="0.3">
      <c r="A138" s="660" t="s">
        <v>552</v>
      </c>
      <c r="B138" s="661" t="s">
        <v>3526</v>
      </c>
      <c r="C138" s="661" t="s">
        <v>3566</v>
      </c>
      <c r="D138" s="661" t="s">
        <v>3679</v>
      </c>
      <c r="E138" s="661" t="s">
        <v>3680</v>
      </c>
      <c r="F138" s="664"/>
      <c r="G138" s="664"/>
      <c r="H138" s="664"/>
      <c r="I138" s="664"/>
      <c r="J138" s="664">
        <v>2</v>
      </c>
      <c r="K138" s="664">
        <v>160948.29999999999</v>
      </c>
      <c r="L138" s="664"/>
      <c r="M138" s="664">
        <v>80474.149999999994</v>
      </c>
      <c r="N138" s="664">
        <v>3</v>
      </c>
      <c r="O138" s="664">
        <v>241422.44999999998</v>
      </c>
      <c r="P138" s="677"/>
      <c r="Q138" s="665">
        <v>80474.149999999994</v>
      </c>
    </row>
    <row r="139" spans="1:17" ht="14.4" customHeight="1" x14ac:dyDescent="0.3">
      <c r="A139" s="660" t="s">
        <v>552</v>
      </c>
      <c r="B139" s="661" t="s">
        <v>3526</v>
      </c>
      <c r="C139" s="661" t="s">
        <v>3566</v>
      </c>
      <c r="D139" s="661" t="s">
        <v>3681</v>
      </c>
      <c r="E139" s="661" t="s">
        <v>3682</v>
      </c>
      <c r="F139" s="664"/>
      <c r="G139" s="664"/>
      <c r="H139" s="664"/>
      <c r="I139" s="664"/>
      <c r="J139" s="664">
        <v>1</v>
      </c>
      <c r="K139" s="664">
        <v>12500</v>
      </c>
      <c r="L139" s="664"/>
      <c r="M139" s="664">
        <v>12500</v>
      </c>
      <c r="N139" s="664">
        <v>1</v>
      </c>
      <c r="O139" s="664">
        <v>12500</v>
      </c>
      <c r="P139" s="677"/>
      <c r="Q139" s="665">
        <v>12500</v>
      </c>
    </row>
    <row r="140" spans="1:17" ht="14.4" customHeight="1" x14ac:dyDescent="0.3">
      <c r="A140" s="660" t="s">
        <v>552</v>
      </c>
      <c r="B140" s="661" t="s">
        <v>3526</v>
      </c>
      <c r="C140" s="661" t="s">
        <v>3566</v>
      </c>
      <c r="D140" s="661" t="s">
        <v>3683</v>
      </c>
      <c r="E140" s="661" t="s">
        <v>3684</v>
      </c>
      <c r="F140" s="664">
        <v>1</v>
      </c>
      <c r="G140" s="664">
        <v>57507</v>
      </c>
      <c r="H140" s="664">
        <v>1</v>
      </c>
      <c r="I140" s="664">
        <v>57507</v>
      </c>
      <c r="J140" s="664"/>
      <c r="K140" s="664"/>
      <c r="L140" s="664"/>
      <c r="M140" s="664"/>
      <c r="N140" s="664"/>
      <c r="O140" s="664"/>
      <c r="P140" s="677"/>
      <c r="Q140" s="665"/>
    </row>
    <row r="141" spans="1:17" ht="14.4" customHeight="1" x14ac:dyDescent="0.3">
      <c r="A141" s="660" t="s">
        <v>552</v>
      </c>
      <c r="B141" s="661" t="s">
        <v>3526</v>
      </c>
      <c r="C141" s="661" t="s">
        <v>3566</v>
      </c>
      <c r="D141" s="661" t="s">
        <v>3685</v>
      </c>
      <c r="E141" s="661" t="s">
        <v>3686</v>
      </c>
      <c r="F141" s="664"/>
      <c r="G141" s="664"/>
      <c r="H141" s="664"/>
      <c r="I141" s="664"/>
      <c r="J141" s="664"/>
      <c r="K141" s="664"/>
      <c r="L141" s="664"/>
      <c r="M141" s="664"/>
      <c r="N141" s="664">
        <v>1</v>
      </c>
      <c r="O141" s="664">
        <v>43152.11</v>
      </c>
      <c r="P141" s="677"/>
      <c r="Q141" s="665">
        <v>43152.11</v>
      </c>
    </row>
    <row r="142" spans="1:17" ht="14.4" customHeight="1" x14ac:dyDescent="0.3">
      <c r="A142" s="660" t="s">
        <v>552</v>
      </c>
      <c r="B142" s="661" t="s">
        <v>3526</v>
      </c>
      <c r="C142" s="661" t="s">
        <v>3566</v>
      </c>
      <c r="D142" s="661" t="s">
        <v>3687</v>
      </c>
      <c r="E142" s="661" t="s">
        <v>3688</v>
      </c>
      <c r="F142" s="664"/>
      <c r="G142" s="664"/>
      <c r="H142" s="664"/>
      <c r="I142" s="664"/>
      <c r="J142" s="664">
        <v>4</v>
      </c>
      <c r="K142" s="664">
        <v>54761.440000000002</v>
      </c>
      <c r="L142" s="664"/>
      <c r="M142" s="664">
        <v>13690.36</v>
      </c>
      <c r="N142" s="664"/>
      <c r="O142" s="664"/>
      <c r="P142" s="677"/>
      <c r="Q142" s="665"/>
    </row>
    <row r="143" spans="1:17" ht="14.4" customHeight="1" x14ac:dyDescent="0.3">
      <c r="A143" s="660" t="s">
        <v>552</v>
      </c>
      <c r="B143" s="661" t="s">
        <v>3526</v>
      </c>
      <c r="C143" s="661" t="s">
        <v>3566</v>
      </c>
      <c r="D143" s="661" t="s">
        <v>3689</v>
      </c>
      <c r="E143" s="661" t="s">
        <v>3690</v>
      </c>
      <c r="F143" s="664">
        <v>1</v>
      </c>
      <c r="G143" s="664">
        <v>53000.05</v>
      </c>
      <c r="H143" s="664">
        <v>1</v>
      </c>
      <c r="I143" s="664">
        <v>53000.05</v>
      </c>
      <c r="J143" s="664"/>
      <c r="K143" s="664"/>
      <c r="L143" s="664"/>
      <c r="M143" s="664"/>
      <c r="N143" s="664"/>
      <c r="O143" s="664"/>
      <c r="P143" s="677"/>
      <c r="Q143" s="665"/>
    </row>
    <row r="144" spans="1:17" ht="14.4" customHeight="1" x14ac:dyDescent="0.3">
      <c r="A144" s="660" t="s">
        <v>552</v>
      </c>
      <c r="B144" s="661" t="s">
        <v>3526</v>
      </c>
      <c r="C144" s="661" t="s">
        <v>3566</v>
      </c>
      <c r="D144" s="661" t="s">
        <v>3691</v>
      </c>
      <c r="E144" s="661" t="s">
        <v>3692</v>
      </c>
      <c r="F144" s="664">
        <v>2</v>
      </c>
      <c r="G144" s="664">
        <v>4974.54</v>
      </c>
      <c r="H144" s="664">
        <v>1</v>
      </c>
      <c r="I144" s="664">
        <v>2487.27</v>
      </c>
      <c r="J144" s="664">
        <v>1</v>
      </c>
      <c r="K144" s="664">
        <v>2487.27</v>
      </c>
      <c r="L144" s="664">
        <v>0.5</v>
      </c>
      <c r="M144" s="664">
        <v>2487.27</v>
      </c>
      <c r="N144" s="664">
        <v>1</v>
      </c>
      <c r="O144" s="664">
        <v>2487.27</v>
      </c>
      <c r="P144" s="677">
        <v>0.5</v>
      </c>
      <c r="Q144" s="665">
        <v>2487.27</v>
      </c>
    </row>
    <row r="145" spans="1:17" ht="14.4" customHeight="1" x14ac:dyDescent="0.3">
      <c r="A145" s="660" t="s">
        <v>552</v>
      </c>
      <c r="B145" s="661" t="s">
        <v>3526</v>
      </c>
      <c r="C145" s="661" t="s">
        <v>3566</v>
      </c>
      <c r="D145" s="661" t="s">
        <v>3693</v>
      </c>
      <c r="E145" s="661" t="s">
        <v>3694</v>
      </c>
      <c r="F145" s="664"/>
      <c r="G145" s="664"/>
      <c r="H145" s="664"/>
      <c r="I145" s="664"/>
      <c r="J145" s="664"/>
      <c r="K145" s="664"/>
      <c r="L145" s="664"/>
      <c r="M145" s="664"/>
      <c r="N145" s="664">
        <v>1</v>
      </c>
      <c r="O145" s="664">
        <v>59800</v>
      </c>
      <c r="P145" s="677"/>
      <c r="Q145" s="665">
        <v>59800</v>
      </c>
    </row>
    <row r="146" spans="1:17" ht="14.4" customHeight="1" x14ac:dyDescent="0.3">
      <c r="A146" s="660" t="s">
        <v>552</v>
      </c>
      <c r="B146" s="661" t="s">
        <v>3526</v>
      </c>
      <c r="C146" s="661" t="s">
        <v>3566</v>
      </c>
      <c r="D146" s="661" t="s">
        <v>3695</v>
      </c>
      <c r="E146" s="661" t="s">
        <v>3696</v>
      </c>
      <c r="F146" s="664"/>
      <c r="G146" s="664"/>
      <c r="H146" s="664"/>
      <c r="I146" s="664"/>
      <c r="J146" s="664"/>
      <c r="K146" s="664"/>
      <c r="L146" s="664"/>
      <c r="M146" s="664"/>
      <c r="N146" s="664">
        <v>1</v>
      </c>
      <c r="O146" s="664">
        <v>11997</v>
      </c>
      <c r="P146" s="677"/>
      <c r="Q146" s="665">
        <v>11997</v>
      </c>
    </row>
    <row r="147" spans="1:17" ht="14.4" customHeight="1" x14ac:dyDescent="0.3">
      <c r="A147" s="660" t="s">
        <v>552</v>
      </c>
      <c r="B147" s="661" t="s">
        <v>3526</v>
      </c>
      <c r="C147" s="661" t="s">
        <v>3411</v>
      </c>
      <c r="D147" s="661" t="s">
        <v>3697</v>
      </c>
      <c r="E147" s="661" t="s">
        <v>3698</v>
      </c>
      <c r="F147" s="664">
        <v>12</v>
      </c>
      <c r="G147" s="664">
        <v>2220</v>
      </c>
      <c r="H147" s="664">
        <v>1</v>
      </c>
      <c r="I147" s="664">
        <v>185</v>
      </c>
      <c r="J147" s="664">
        <v>15</v>
      </c>
      <c r="K147" s="664">
        <v>2775</v>
      </c>
      <c r="L147" s="664">
        <v>1.25</v>
      </c>
      <c r="M147" s="664">
        <v>185</v>
      </c>
      <c r="N147" s="664">
        <v>19</v>
      </c>
      <c r="O147" s="664">
        <v>3591</v>
      </c>
      <c r="P147" s="677">
        <v>1.6175675675675676</v>
      </c>
      <c r="Q147" s="665">
        <v>189</v>
      </c>
    </row>
    <row r="148" spans="1:17" ht="14.4" customHeight="1" x14ac:dyDescent="0.3">
      <c r="A148" s="660" t="s">
        <v>552</v>
      </c>
      <c r="B148" s="661" t="s">
        <v>3526</v>
      </c>
      <c r="C148" s="661" t="s">
        <v>3411</v>
      </c>
      <c r="D148" s="661" t="s">
        <v>3414</v>
      </c>
      <c r="E148" s="661" t="s">
        <v>3415</v>
      </c>
      <c r="F148" s="664">
        <v>18</v>
      </c>
      <c r="G148" s="664">
        <v>11610</v>
      </c>
      <c r="H148" s="664">
        <v>1</v>
      </c>
      <c r="I148" s="664">
        <v>645</v>
      </c>
      <c r="J148" s="664"/>
      <c r="K148" s="664"/>
      <c r="L148" s="664"/>
      <c r="M148" s="664"/>
      <c r="N148" s="664"/>
      <c r="O148" s="664"/>
      <c r="P148" s="677"/>
      <c r="Q148" s="665"/>
    </row>
    <row r="149" spans="1:17" ht="14.4" customHeight="1" x14ac:dyDescent="0.3">
      <c r="A149" s="660" t="s">
        <v>552</v>
      </c>
      <c r="B149" s="661" t="s">
        <v>3526</v>
      </c>
      <c r="C149" s="661" t="s">
        <v>3411</v>
      </c>
      <c r="D149" s="661" t="s">
        <v>3499</v>
      </c>
      <c r="E149" s="661" t="s">
        <v>3500</v>
      </c>
      <c r="F149" s="664">
        <v>4</v>
      </c>
      <c r="G149" s="664">
        <v>1208</v>
      </c>
      <c r="H149" s="664">
        <v>1</v>
      </c>
      <c r="I149" s="664">
        <v>302</v>
      </c>
      <c r="J149" s="664"/>
      <c r="K149" s="664"/>
      <c r="L149" s="664"/>
      <c r="M149" s="664"/>
      <c r="N149" s="664"/>
      <c r="O149" s="664"/>
      <c r="P149" s="677"/>
      <c r="Q149" s="665"/>
    </row>
    <row r="150" spans="1:17" ht="14.4" customHeight="1" x14ac:dyDescent="0.3">
      <c r="A150" s="660" t="s">
        <v>552</v>
      </c>
      <c r="B150" s="661" t="s">
        <v>3526</v>
      </c>
      <c r="C150" s="661" t="s">
        <v>3411</v>
      </c>
      <c r="D150" s="661" t="s">
        <v>3484</v>
      </c>
      <c r="E150" s="661" t="s">
        <v>3485</v>
      </c>
      <c r="F150" s="664">
        <v>104</v>
      </c>
      <c r="G150" s="664">
        <v>24128</v>
      </c>
      <c r="H150" s="664">
        <v>1</v>
      </c>
      <c r="I150" s="664">
        <v>232</v>
      </c>
      <c r="J150" s="664"/>
      <c r="K150" s="664"/>
      <c r="L150" s="664"/>
      <c r="M150" s="664"/>
      <c r="N150" s="664"/>
      <c r="O150" s="664"/>
      <c r="P150" s="677"/>
      <c r="Q150" s="665"/>
    </row>
    <row r="151" spans="1:17" ht="14.4" customHeight="1" x14ac:dyDescent="0.3">
      <c r="A151" s="660" t="s">
        <v>552</v>
      </c>
      <c r="B151" s="661" t="s">
        <v>3526</v>
      </c>
      <c r="C151" s="661" t="s">
        <v>3411</v>
      </c>
      <c r="D151" s="661" t="s">
        <v>3699</v>
      </c>
      <c r="E151" s="661" t="s">
        <v>3700</v>
      </c>
      <c r="F151" s="664">
        <v>1</v>
      </c>
      <c r="G151" s="664">
        <v>939</v>
      </c>
      <c r="H151" s="664">
        <v>1</v>
      </c>
      <c r="I151" s="664">
        <v>939</v>
      </c>
      <c r="J151" s="664">
        <v>1</v>
      </c>
      <c r="K151" s="664">
        <v>939</v>
      </c>
      <c r="L151" s="664">
        <v>1</v>
      </c>
      <c r="M151" s="664">
        <v>939</v>
      </c>
      <c r="N151" s="664"/>
      <c r="O151" s="664"/>
      <c r="P151" s="677"/>
      <c r="Q151" s="665"/>
    </row>
    <row r="152" spans="1:17" ht="14.4" customHeight="1" x14ac:dyDescent="0.3">
      <c r="A152" s="660" t="s">
        <v>552</v>
      </c>
      <c r="B152" s="661" t="s">
        <v>3526</v>
      </c>
      <c r="C152" s="661" t="s">
        <v>3411</v>
      </c>
      <c r="D152" s="661" t="s">
        <v>3455</v>
      </c>
      <c r="E152" s="661" t="s">
        <v>3456</v>
      </c>
      <c r="F152" s="664">
        <v>4</v>
      </c>
      <c r="G152" s="664">
        <v>1644</v>
      </c>
      <c r="H152" s="664">
        <v>1</v>
      </c>
      <c r="I152" s="664">
        <v>411</v>
      </c>
      <c r="J152" s="664">
        <v>1</v>
      </c>
      <c r="K152" s="664">
        <v>411</v>
      </c>
      <c r="L152" s="664">
        <v>0.25</v>
      </c>
      <c r="M152" s="664">
        <v>411</v>
      </c>
      <c r="N152" s="664"/>
      <c r="O152" s="664"/>
      <c r="P152" s="677"/>
      <c r="Q152" s="665"/>
    </row>
    <row r="153" spans="1:17" ht="14.4" customHeight="1" x14ac:dyDescent="0.3">
      <c r="A153" s="660" t="s">
        <v>552</v>
      </c>
      <c r="B153" s="661" t="s">
        <v>3526</v>
      </c>
      <c r="C153" s="661" t="s">
        <v>3411</v>
      </c>
      <c r="D153" s="661" t="s">
        <v>3701</v>
      </c>
      <c r="E153" s="661" t="s">
        <v>3702</v>
      </c>
      <c r="F153" s="664">
        <v>1</v>
      </c>
      <c r="G153" s="664">
        <v>1354</v>
      </c>
      <c r="H153" s="664">
        <v>1</v>
      </c>
      <c r="I153" s="664">
        <v>1354</v>
      </c>
      <c r="J153" s="664"/>
      <c r="K153" s="664"/>
      <c r="L153" s="664"/>
      <c r="M153" s="664"/>
      <c r="N153" s="664"/>
      <c r="O153" s="664"/>
      <c r="P153" s="677"/>
      <c r="Q153" s="665"/>
    </row>
    <row r="154" spans="1:17" ht="14.4" customHeight="1" x14ac:dyDescent="0.3">
      <c r="A154" s="660" t="s">
        <v>552</v>
      </c>
      <c r="B154" s="661" t="s">
        <v>3526</v>
      </c>
      <c r="C154" s="661" t="s">
        <v>3411</v>
      </c>
      <c r="D154" s="661" t="s">
        <v>3703</v>
      </c>
      <c r="E154" s="661" t="s">
        <v>3704</v>
      </c>
      <c r="F154" s="664">
        <v>3</v>
      </c>
      <c r="G154" s="664">
        <v>2412</v>
      </c>
      <c r="H154" s="664">
        <v>1</v>
      </c>
      <c r="I154" s="664">
        <v>804</v>
      </c>
      <c r="J154" s="664">
        <v>3</v>
      </c>
      <c r="K154" s="664">
        <v>2418</v>
      </c>
      <c r="L154" s="664">
        <v>1.0024875621890548</v>
      </c>
      <c r="M154" s="664">
        <v>806</v>
      </c>
      <c r="N154" s="664">
        <v>1</v>
      </c>
      <c r="O154" s="664">
        <v>815</v>
      </c>
      <c r="P154" s="677">
        <v>0.33789386401326699</v>
      </c>
      <c r="Q154" s="665">
        <v>815</v>
      </c>
    </row>
    <row r="155" spans="1:17" ht="14.4" customHeight="1" x14ac:dyDescent="0.3">
      <c r="A155" s="660" t="s">
        <v>552</v>
      </c>
      <c r="B155" s="661" t="s">
        <v>3526</v>
      </c>
      <c r="C155" s="661" t="s">
        <v>3411</v>
      </c>
      <c r="D155" s="661" t="s">
        <v>3705</v>
      </c>
      <c r="E155" s="661" t="s">
        <v>3706</v>
      </c>
      <c r="F155" s="664">
        <v>39</v>
      </c>
      <c r="G155" s="664">
        <v>9045</v>
      </c>
      <c r="H155" s="664">
        <v>1</v>
      </c>
      <c r="I155" s="664">
        <v>231.92307692307693</v>
      </c>
      <c r="J155" s="664"/>
      <c r="K155" s="664"/>
      <c r="L155" s="664"/>
      <c r="M155" s="664"/>
      <c r="N155" s="664"/>
      <c r="O155" s="664"/>
      <c r="P155" s="677"/>
      <c r="Q155" s="665"/>
    </row>
    <row r="156" spans="1:17" ht="14.4" customHeight="1" x14ac:dyDescent="0.3">
      <c r="A156" s="660" t="s">
        <v>552</v>
      </c>
      <c r="B156" s="661" t="s">
        <v>3526</v>
      </c>
      <c r="C156" s="661" t="s">
        <v>3411</v>
      </c>
      <c r="D156" s="661" t="s">
        <v>3707</v>
      </c>
      <c r="E156" s="661" t="s">
        <v>3708</v>
      </c>
      <c r="F156" s="664">
        <v>40</v>
      </c>
      <c r="G156" s="664">
        <v>4640</v>
      </c>
      <c r="H156" s="664">
        <v>1</v>
      </c>
      <c r="I156" s="664">
        <v>116</v>
      </c>
      <c r="J156" s="664"/>
      <c r="K156" s="664"/>
      <c r="L156" s="664"/>
      <c r="M156" s="664"/>
      <c r="N156" s="664"/>
      <c r="O156" s="664"/>
      <c r="P156" s="677"/>
      <c r="Q156" s="665"/>
    </row>
    <row r="157" spans="1:17" ht="14.4" customHeight="1" x14ac:dyDescent="0.3">
      <c r="A157" s="660" t="s">
        <v>552</v>
      </c>
      <c r="B157" s="661" t="s">
        <v>3526</v>
      </c>
      <c r="C157" s="661" t="s">
        <v>3411</v>
      </c>
      <c r="D157" s="661" t="s">
        <v>3709</v>
      </c>
      <c r="E157" s="661" t="s">
        <v>3710</v>
      </c>
      <c r="F157" s="664">
        <v>22</v>
      </c>
      <c r="G157" s="664">
        <v>19684</v>
      </c>
      <c r="H157" s="664">
        <v>1</v>
      </c>
      <c r="I157" s="664">
        <v>894.72727272727275</v>
      </c>
      <c r="J157" s="664"/>
      <c r="K157" s="664"/>
      <c r="L157" s="664"/>
      <c r="M157" s="664"/>
      <c r="N157" s="664"/>
      <c r="O157" s="664"/>
      <c r="P157" s="677"/>
      <c r="Q157" s="665"/>
    </row>
    <row r="158" spans="1:17" ht="14.4" customHeight="1" x14ac:dyDescent="0.3">
      <c r="A158" s="660" t="s">
        <v>552</v>
      </c>
      <c r="B158" s="661" t="s">
        <v>3526</v>
      </c>
      <c r="C158" s="661" t="s">
        <v>3411</v>
      </c>
      <c r="D158" s="661" t="s">
        <v>3711</v>
      </c>
      <c r="E158" s="661" t="s">
        <v>3712</v>
      </c>
      <c r="F158" s="664">
        <v>56</v>
      </c>
      <c r="G158" s="664">
        <v>3136</v>
      </c>
      <c r="H158" s="664">
        <v>1</v>
      </c>
      <c r="I158" s="664">
        <v>56</v>
      </c>
      <c r="J158" s="664"/>
      <c r="K158" s="664"/>
      <c r="L158" s="664"/>
      <c r="M158" s="664"/>
      <c r="N158" s="664"/>
      <c r="O158" s="664"/>
      <c r="P158" s="677"/>
      <c r="Q158" s="665"/>
    </row>
    <row r="159" spans="1:17" ht="14.4" customHeight="1" x14ac:dyDescent="0.3">
      <c r="A159" s="660" t="s">
        <v>552</v>
      </c>
      <c r="B159" s="661" t="s">
        <v>3526</v>
      </c>
      <c r="C159" s="661" t="s">
        <v>3411</v>
      </c>
      <c r="D159" s="661" t="s">
        <v>3713</v>
      </c>
      <c r="E159" s="661" t="s">
        <v>3714</v>
      </c>
      <c r="F159" s="664">
        <v>56</v>
      </c>
      <c r="G159" s="664">
        <v>3416</v>
      </c>
      <c r="H159" s="664">
        <v>1</v>
      </c>
      <c r="I159" s="664">
        <v>61</v>
      </c>
      <c r="J159" s="664"/>
      <c r="K159" s="664"/>
      <c r="L159" s="664"/>
      <c r="M159" s="664"/>
      <c r="N159" s="664"/>
      <c r="O159" s="664"/>
      <c r="P159" s="677"/>
      <c r="Q159" s="665"/>
    </row>
    <row r="160" spans="1:17" ht="14.4" customHeight="1" x14ac:dyDescent="0.3">
      <c r="A160" s="660" t="s">
        <v>552</v>
      </c>
      <c r="B160" s="661" t="s">
        <v>3526</v>
      </c>
      <c r="C160" s="661" t="s">
        <v>3411</v>
      </c>
      <c r="D160" s="661" t="s">
        <v>3715</v>
      </c>
      <c r="E160" s="661" t="s">
        <v>3716</v>
      </c>
      <c r="F160" s="664">
        <v>0</v>
      </c>
      <c r="G160" s="664">
        <v>0</v>
      </c>
      <c r="H160" s="664"/>
      <c r="I160" s="664"/>
      <c r="J160" s="664">
        <v>0</v>
      </c>
      <c r="K160" s="664">
        <v>0</v>
      </c>
      <c r="L160" s="664"/>
      <c r="M160" s="664"/>
      <c r="N160" s="664">
        <v>0</v>
      </c>
      <c r="O160" s="664">
        <v>0</v>
      </c>
      <c r="P160" s="677"/>
      <c r="Q160" s="665"/>
    </row>
    <row r="161" spans="1:17" ht="14.4" customHeight="1" x14ac:dyDescent="0.3">
      <c r="A161" s="660" t="s">
        <v>552</v>
      </c>
      <c r="B161" s="661" t="s">
        <v>3526</v>
      </c>
      <c r="C161" s="661" t="s">
        <v>3411</v>
      </c>
      <c r="D161" s="661" t="s">
        <v>3717</v>
      </c>
      <c r="E161" s="661" t="s">
        <v>3718</v>
      </c>
      <c r="F161" s="664">
        <v>391</v>
      </c>
      <c r="G161" s="664">
        <v>0</v>
      </c>
      <c r="H161" s="664"/>
      <c r="I161" s="664">
        <v>0</v>
      </c>
      <c r="J161" s="664">
        <v>364</v>
      </c>
      <c r="K161" s="664">
        <v>0</v>
      </c>
      <c r="L161" s="664"/>
      <c r="M161" s="664">
        <v>0</v>
      </c>
      <c r="N161" s="664">
        <v>357</v>
      </c>
      <c r="O161" s="664">
        <v>0</v>
      </c>
      <c r="P161" s="677"/>
      <c r="Q161" s="665">
        <v>0</v>
      </c>
    </row>
    <row r="162" spans="1:17" ht="14.4" customHeight="1" x14ac:dyDescent="0.3">
      <c r="A162" s="660" t="s">
        <v>552</v>
      </c>
      <c r="B162" s="661" t="s">
        <v>3526</v>
      </c>
      <c r="C162" s="661" t="s">
        <v>3411</v>
      </c>
      <c r="D162" s="661" t="s">
        <v>3719</v>
      </c>
      <c r="E162" s="661" t="s">
        <v>3403</v>
      </c>
      <c r="F162" s="664">
        <v>1</v>
      </c>
      <c r="G162" s="664">
        <v>0</v>
      </c>
      <c r="H162" s="664"/>
      <c r="I162" s="664">
        <v>0</v>
      </c>
      <c r="J162" s="664"/>
      <c r="K162" s="664"/>
      <c r="L162" s="664"/>
      <c r="M162" s="664"/>
      <c r="N162" s="664"/>
      <c r="O162" s="664"/>
      <c r="P162" s="677"/>
      <c r="Q162" s="665"/>
    </row>
    <row r="163" spans="1:17" ht="14.4" customHeight="1" x14ac:dyDescent="0.3">
      <c r="A163" s="660" t="s">
        <v>552</v>
      </c>
      <c r="B163" s="661" t="s">
        <v>3526</v>
      </c>
      <c r="C163" s="661" t="s">
        <v>3411</v>
      </c>
      <c r="D163" s="661" t="s">
        <v>3720</v>
      </c>
      <c r="E163" s="661" t="s">
        <v>3721</v>
      </c>
      <c r="F163" s="664">
        <v>67</v>
      </c>
      <c r="G163" s="664">
        <v>0</v>
      </c>
      <c r="H163" s="664"/>
      <c r="I163" s="664">
        <v>0</v>
      </c>
      <c r="J163" s="664">
        <v>69</v>
      </c>
      <c r="K163" s="664">
        <v>0</v>
      </c>
      <c r="L163" s="664"/>
      <c r="M163" s="664">
        <v>0</v>
      </c>
      <c r="N163" s="664">
        <v>73</v>
      </c>
      <c r="O163" s="664">
        <v>0</v>
      </c>
      <c r="P163" s="677"/>
      <c r="Q163" s="665">
        <v>0</v>
      </c>
    </row>
    <row r="164" spans="1:17" ht="14.4" customHeight="1" x14ac:dyDescent="0.3">
      <c r="A164" s="660" t="s">
        <v>552</v>
      </c>
      <c r="B164" s="661" t="s">
        <v>3526</v>
      </c>
      <c r="C164" s="661" t="s">
        <v>3411</v>
      </c>
      <c r="D164" s="661" t="s">
        <v>3514</v>
      </c>
      <c r="E164" s="661" t="s">
        <v>3515</v>
      </c>
      <c r="F164" s="664"/>
      <c r="G164" s="664"/>
      <c r="H164" s="664"/>
      <c r="I164" s="664"/>
      <c r="J164" s="664">
        <v>1</v>
      </c>
      <c r="K164" s="664">
        <v>0</v>
      </c>
      <c r="L164" s="664"/>
      <c r="M164" s="664">
        <v>0</v>
      </c>
      <c r="N164" s="664">
        <v>2</v>
      </c>
      <c r="O164" s="664">
        <v>0</v>
      </c>
      <c r="P164" s="677"/>
      <c r="Q164" s="665">
        <v>0</v>
      </c>
    </row>
    <row r="165" spans="1:17" ht="14.4" customHeight="1" x14ac:dyDescent="0.3">
      <c r="A165" s="660" t="s">
        <v>552</v>
      </c>
      <c r="B165" s="661" t="s">
        <v>3526</v>
      </c>
      <c r="C165" s="661" t="s">
        <v>3411</v>
      </c>
      <c r="D165" s="661" t="s">
        <v>3722</v>
      </c>
      <c r="E165" s="661" t="s">
        <v>3723</v>
      </c>
      <c r="F165" s="664">
        <v>3</v>
      </c>
      <c r="G165" s="664">
        <v>0</v>
      </c>
      <c r="H165" s="664"/>
      <c r="I165" s="664">
        <v>0</v>
      </c>
      <c r="J165" s="664">
        <v>7</v>
      </c>
      <c r="K165" s="664">
        <v>0</v>
      </c>
      <c r="L165" s="664"/>
      <c r="M165" s="664">
        <v>0</v>
      </c>
      <c r="N165" s="664">
        <v>2</v>
      </c>
      <c r="O165" s="664">
        <v>0</v>
      </c>
      <c r="P165" s="677"/>
      <c r="Q165" s="665">
        <v>0</v>
      </c>
    </row>
    <row r="166" spans="1:17" ht="14.4" customHeight="1" x14ac:dyDescent="0.3">
      <c r="A166" s="660" t="s">
        <v>552</v>
      </c>
      <c r="B166" s="661" t="s">
        <v>3526</v>
      </c>
      <c r="C166" s="661" t="s">
        <v>3411</v>
      </c>
      <c r="D166" s="661" t="s">
        <v>3724</v>
      </c>
      <c r="E166" s="661" t="s">
        <v>3725</v>
      </c>
      <c r="F166" s="664">
        <v>31</v>
      </c>
      <c r="G166" s="664">
        <v>0</v>
      </c>
      <c r="H166" s="664"/>
      <c r="I166" s="664">
        <v>0</v>
      </c>
      <c r="J166" s="664">
        <v>34</v>
      </c>
      <c r="K166" s="664">
        <v>0</v>
      </c>
      <c r="L166" s="664"/>
      <c r="M166" s="664">
        <v>0</v>
      </c>
      <c r="N166" s="664">
        <v>44</v>
      </c>
      <c r="O166" s="664">
        <v>0</v>
      </c>
      <c r="P166" s="677"/>
      <c r="Q166" s="665">
        <v>0</v>
      </c>
    </row>
    <row r="167" spans="1:17" ht="14.4" customHeight="1" x14ac:dyDescent="0.3">
      <c r="A167" s="660" t="s">
        <v>552</v>
      </c>
      <c r="B167" s="661" t="s">
        <v>3526</v>
      </c>
      <c r="C167" s="661" t="s">
        <v>3411</v>
      </c>
      <c r="D167" s="661" t="s">
        <v>3726</v>
      </c>
      <c r="E167" s="661" t="s">
        <v>3727</v>
      </c>
      <c r="F167" s="664">
        <v>5</v>
      </c>
      <c r="G167" s="664">
        <v>0</v>
      </c>
      <c r="H167" s="664"/>
      <c r="I167" s="664">
        <v>0</v>
      </c>
      <c r="J167" s="664">
        <v>4</v>
      </c>
      <c r="K167" s="664">
        <v>0</v>
      </c>
      <c r="L167" s="664"/>
      <c r="M167" s="664">
        <v>0</v>
      </c>
      <c r="N167" s="664"/>
      <c r="O167" s="664"/>
      <c r="P167" s="677"/>
      <c r="Q167" s="665"/>
    </row>
    <row r="168" spans="1:17" ht="14.4" customHeight="1" x14ac:dyDescent="0.3">
      <c r="A168" s="660" t="s">
        <v>552</v>
      </c>
      <c r="B168" s="661" t="s">
        <v>3526</v>
      </c>
      <c r="C168" s="661" t="s">
        <v>3411</v>
      </c>
      <c r="D168" s="661" t="s">
        <v>3728</v>
      </c>
      <c r="E168" s="661" t="s">
        <v>3729</v>
      </c>
      <c r="F168" s="664"/>
      <c r="G168" s="664"/>
      <c r="H168" s="664"/>
      <c r="I168" s="664"/>
      <c r="J168" s="664">
        <v>2</v>
      </c>
      <c r="K168" s="664">
        <v>0</v>
      </c>
      <c r="L168" s="664"/>
      <c r="M168" s="664">
        <v>0</v>
      </c>
      <c r="N168" s="664">
        <v>4</v>
      </c>
      <c r="O168" s="664">
        <v>0</v>
      </c>
      <c r="P168" s="677"/>
      <c r="Q168" s="665">
        <v>0</v>
      </c>
    </row>
    <row r="169" spans="1:17" ht="14.4" customHeight="1" x14ac:dyDescent="0.3">
      <c r="A169" s="660" t="s">
        <v>552</v>
      </c>
      <c r="B169" s="661" t="s">
        <v>3526</v>
      </c>
      <c r="C169" s="661" t="s">
        <v>3411</v>
      </c>
      <c r="D169" s="661" t="s">
        <v>3730</v>
      </c>
      <c r="E169" s="661" t="s">
        <v>3731</v>
      </c>
      <c r="F169" s="664">
        <v>5</v>
      </c>
      <c r="G169" s="664">
        <v>0</v>
      </c>
      <c r="H169" s="664"/>
      <c r="I169" s="664">
        <v>0</v>
      </c>
      <c r="J169" s="664">
        <v>3</v>
      </c>
      <c r="K169" s="664">
        <v>0</v>
      </c>
      <c r="L169" s="664"/>
      <c r="M169" s="664">
        <v>0</v>
      </c>
      <c r="N169" s="664">
        <v>1</v>
      </c>
      <c r="O169" s="664">
        <v>0</v>
      </c>
      <c r="P169" s="677"/>
      <c r="Q169" s="665">
        <v>0</v>
      </c>
    </row>
    <row r="170" spans="1:17" ht="14.4" customHeight="1" x14ac:dyDescent="0.3">
      <c r="A170" s="660" t="s">
        <v>552</v>
      </c>
      <c r="B170" s="661" t="s">
        <v>3526</v>
      </c>
      <c r="C170" s="661" t="s">
        <v>3411</v>
      </c>
      <c r="D170" s="661" t="s">
        <v>3732</v>
      </c>
      <c r="E170" s="661" t="s">
        <v>3733</v>
      </c>
      <c r="F170" s="664">
        <v>6</v>
      </c>
      <c r="G170" s="664">
        <v>0</v>
      </c>
      <c r="H170" s="664"/>
      <c r="I170" s="664">
        <v>0</v>
      </c>
      <c r="J170" s="664">
        <v>1</v>
      </c>
      <c r="K170" s="664">
        <v>0</v>
      </c>
      <c r="L170" s="664"/>
      <c r="M170" s="664">
        <v>0</v>
      </c>
      <c r="N170" s="664">
        <v>2</v>
      </c>
      <c r="O170" s="664">
        <v>0</v>
      </c>
      <c r="P170" s="677"/>
      <c r="Q170" s="665">
        <v>0</v>
      </c>
    </row>
    <row r="171" spans="1:17" ht="14.4" customHeight="1" x14ac:dyDescent="0.3">
      <c r="A171" s="660" t="s">
        <v>552</v>
      </c>
      <c r="B171" s="661" t="s">
        <v>3526</v>
      </c>
      <c r="C171" s="661" t="s">
        <v>3411</v>
      </c>
      <c r="D171" s="661" t="s">
        <v>3734</v>
      </c>
      <c r="E171" s="661" t="s">
        <v>3735</v>
      </c>
      <c r="F171" s="664">
        <v>35</v>
      </c>
      <c r="G171" s="664">
        <v>0</v>
      </c>
      <c r="H171" s="664"/>
      <c r="I171" s="664">
        <v>0</v>
      </c>
      <c r="J171" s="664">
        <v>46</v>
      </c>
      <c r="K171" s="664">
        <v>0</v>
      </c>
      <c r="L171" s="664"/>
      <c r="M171" s="664">
        <v>0</v>
      </c>
      <c r="N171" s="664">
        <v>44</v>
      </c>
      <c r="O171" s="664">
        <v>0</v>
      </c>
      <c r="P171" s="677"/>
      <c r="Q171" s="665">
        <v>0</v>
      </c>
    </row>
    <row r="172" spans="1:17" ht="14.4" customHeight="1" x14ac:dyDescent="0.3">
      <c r="A172" s="660" t="s">
        <v>552</v>
      </c>
      <c r="B172" s="661" t="s">
        <v>3526</v>
      </c>
      <c r="C172" s="661" t="s">
        <v>3411</v>
      </c>
      <c r="D172" s="661" t="s">
        <v>3736</v>
      </c>
      <c r="E172" s="661" t="s">
        <v>3737</v>
      </c>
      <c r="F172" s="664">
        <v>21</v>
      </c>
      <c r="G172" s="664">
        <v>0</v>
      </c>
      <c r="H172" s="664"/>
      <c r="I172" s="664">
        <v>0</v>
      </c>
      <c r="J172" s="664">
        <v>25</v>
      </c>
      <c r="K172" s="664">
        <v>0</v>
      </c>
      <c r="L172" s="664"/>
      <c r="M172" s="664">
        <v>0</v>
      </c>
      <c r="N172" s="664">
        <v>20</v>
      </c>
      <c r="O172" s="664">
        <v>0</v>
      </c>
      <c r="P172" s="677"/>
      <c r="Q172" s="665">
        <v>0</v>
      </c>
    </row>
    <row r="173" spans="1:17" ht="14.4" customHeight="1" x14ac:dyDescent="0.3">
      <c r="A173" s="660" t="s">
        <v>552</v>
      </c>
      <c r="B173" s="661" t="s">
        <v>3526</v>
      </c>
      <c r="C173" s="661" t="s">
        <v>3411</v>
      </c>
      <c r="D173" s="661" t="s">
        <v>3738</v>
      </c>
      <c r="E173" s="661" t="s">
        <v>3739</v>
      </c>
      <c r="F173" s="664"/>
      <c r="G173" s="664"/>
      <c r="H173" s="664"/>
      <c r="I173" s="664"/>
      <c r="J173" s="664">
        <v>1</v>
      </c>
      <c r="K173" s="664">
        <v>0</v>
      </c>
      <c r="L173" s="664"/>
      <c r="M173" s="664">
        <v>0</v>
      </c>
      <c r="N173" s="664">
        <v>1</v>
      </c>
      <c r="O173" s="664">
        <v>0</v>
      </c>
      <c r="P173" s="677"/>
      <c r="Q173" s="665">
        <v>0</v>
      </c>
    </row>
    <row r="174" spans="1:17" ht="14.4" customHeight="1" x14ac:dyDescent="0.3">
      <c r="A174" s="660" t="s">
        <v>552</v>
      </c>
      <c r="B174" s="661" t="s">
        <v>3526</v>
      </c>
      <c r="C174" s="661" t="s">
        <v>3411</v>
      </c>
      <c r="D174" s="661" t="s">
        <v>3740</v>
      </c>
      <c r="E174" s="661" t="s">
        <v>3741</v>
      </c>
      <c r="F174" s="664">
        <v>1</v>
      </c>
      <c r="G174" s="664">
        <v>0</v>
      </c>
      <c r="H174" s="664"/>
      <c r="I174" s="664">
        <v>0</v>
      </c>
      <c r="J174" s="664">
        <v>1</v>
      </c>
      <c r="K174" s="664">
        <v>0</v>
      </c>
      <c r="L174" s="664"/>
      <c r="M174" s="664">
        <v>0</v>
      </c>
      <c r="N174" s="664">
        <v>1</v>
      </c>
      <c r="O174" s="664">
        <v>0</v>
      </c>
      <c r="P174" s="677"/>
      <c r="Q174" s="665">
        <v>0</v>
      </c>
    </row>
    <row r="175" spans="1:17" ht="14.4" customHeight="1" x14ac:dyDescent="0.3">
      <c r="A175" s="660" t="s">
        <v>552</v>
      </c>
      <c r="B175" s="661" t="s">
        <v>3526</v>
      </c>
      <c r="C175" s="661" t="s">
        <v>3411</v>
      </c>
      <c r="D175" s="661" t="s">
        <v>3742</v>
      </c>
      <c r="E175" s="661" t="s">
        <v>3743</v>
      </c>
      <c r="F175" s="664">
        <v>1</v>
      </c>
      <c r="G175" s="664">
        <v>0</v>
      </c>
      <c r="H175" s="664"/>
      <c r="I175" s="664">
        <v>0</v>
      </c>
      <c r="J175" s="664">
        <v>1</v>
      </c>
      <c r="K175" s="664">
        <v>0</v>
      </c>
      <c r="L175" s="664"/>
      <c r="M175" s="664">
        <v>0</v>
      </c>
      <c r="N175" s="664">
        <v>2</v>
      </c>
      <c r="O175" s="664">
        <v>0</v>
      </c>
      <c r="P175" s="677"/>
      <c r="Q175" s="665">
        <v>0</v>
      </c>
    </row>
    <row r="176" spans="1:17" ht="14.4" customHeight="1" x14ac:dyDescent="0.3">
      <c r="A176" s="660" t="s">
        <v>552</v>
      </c>
      <c r="B176" s="661" t="s">
        <v>3526</v>
      </c>
      <c r="C176" s="661" t="s">
        <v>3411</v>
      </c>
      <c r="D176" s="661" t="s">
        <v>3744</v>
      </c>
      <c r="E176" s="661" t="s">
        <v>3745</v>
      </c>
      <c r="F176" s="664">
        <v>1</v>
      </c>
      <c r="G176" s="664">
        <v>0</v>
      </c>
      <c r="H176" s="664"/>
      <c r="I176" s="664">
        <v>0</v>
      </c>
      <c r="J176" s="664">
        <v>1</v>
      </c>
      <c r="K176" s="664">
        <v>0</v>
      </c>
      <c r="L176" s="664"/>
      <c r="M176" s="664">
        <v>0</v>
      </c>
      <c r="N176" s="664"/>
      <c r="O176" s="664"/>
      <c r="P176" s="677"/>
      <c r="Q176" s="665"/>
    </row>
    <row r="177" spans="1:17" ht="14.4" customHeight="1" x14ac:dyDescent="0.3">
      <c r="A177" s="660" t="s">
        <v>552</v>
      </c>
      <c r="B177" s="661" t="s">
        <v>3526</v>
      </c>
      <c r="C177" s="661" t="s">
        <v>3411</v>
      </c>
      <c r="D177" s="661" t="s">
        <v>3746</v>
      </c>
      <c r="E177" s="661" t="s">
        <v>3747</v>
      </c>
      <c r="F177" s="664">
        <v>16</v>
      </c>
      <c r="G177" s="664">
        <v>0</v>
      </c>
      <c r="H177" s="664"/>
      <c r="I177" s="664">
        <v>0</v>
      </c>
      <c r="J177" s="664">
        <v>18</v>
      </c>
      <c r="K177" s="664">
        <v>0</v>
      </c>
      <c r="L177" s="664"/>
      <c r="M177" s="664">
        <v>0</v>
      </c>
      <c r="N177" s="664">
        <v>9</v>
      </c>
      <c r="O177" s="664">
        <v>0</v>
      </c>
      <c r="P177" s="677"/>
      <c r="Q177" s="665">
        <v>0</v>
      </c>
    </row>
    <row r="178" spans="1:17" ht="14.4" customHeight="1" x14ac:dyDescent="0.3">
      <c r="A178" s="660" t="s">
        <v>552</v>
      </c>
      <c r="B178" s="661" t="s">
        <v>3526</v>
      </c>
      <c r="C178" s="661" t="s">
        <v>3411</v>
      </c>
      <c r="D178" s="661" t="s">
        <v>3748</v>
      </c>
      <c r="E178" s="661" t="s">
        <v>3749</v>
      </c>
      <c r="F178" s="664"/>
      <c r="G178" s="664"/>
      <c r="H178" s="664"/>
      <c r="I178" s="664"/>
      <c r="J178" s="664">
        <v>1</v>
      </c>
      <c r="K178" s="664">
        <v>0</v>
      </c>
      <c r="L178" s="664"/>
      <c r="M178" s="664">
        <v>0</v>
      </c>
      <c r="N178" s="664"/>
      <c r="O178" s="664"/>
      <c r="P178" s="677"/>
      <c r="Q178" s="665"/>
    </row>
    <row r="179" spans="1:17" ht="14.4" customHeight="1" x14ac:dyDescent="0.3">
      <c r="A179" s="660" t="s">
        <v>552</v>
      </c>
      <c r="B179" s="661" t="s">
        <v>3526</v>
      </c>
      <c r="C179" s="661" t="s">
        <v>3411</v>
      </c>
      <c r="D179" s="661" t="s">
        <v>3750</v>
      </c>
      <c r="E179" s="661" t="s">
        <v>3751</v>
      </c>
      <c r="F179" s="664">
        <v>1</v>
      </c>
      <c r="G179" s="664">
        <v>0</v>
      </c>
      <c r="H179" s="664"/>
      <c r="I179" s="664">
        <v>0</v>
      </c>
      <c r="J179" s="664"/>
      <c r="K179" s="664"/>
      <c r="L179" s="664"/>
      <c r="M179" s="664"/>
      <c r="N179" s="664"/>
      <c r="O179" s="664"/>
      <c r="P179" s="677"/>
      <c r="Q179" s="665"/>
    </row>
    <row r="180" spans="1:17" ht="14.4" customHeight="1" x14ac:dyDescent="0.3">
      <c r="A180" s="660" t="s">
        <v>552</v>
      </c>
      <c r="B180" s="661" t="s">
        <v>3526</v>
      </c>
      <c r="C180" s="661" t="s">
        <v>3411</v>
      </c>
      <c r="D180" s="661" t="s">
        <v>3752</v>
      </c>
      <c r="E180" s="661" t="s">
        <v>3753</v>
      </c>
      <c r="F180" s="664"/>
      <c r="G180" s="664"/>
      <c r="H180" s="664"/>
      <c r="I180" s="664"/>
      <c r="J180" s="664"/>
      <c r="K180" s="664"/>
      <c r="L180" s="664"/>
      <c r="M180" s="664"/>
      <c r="N180" s="664">
        <v>1</v>
      </c>
      <c r="O180" s="664">
        <v>0</v>
      </c>
      <c r="P180" s="677"/>
      <c r="Q180" s="665">
        <v>0</v>
      </c>
    </row>
    <row r="181" spans="1:17" ht="14.4" customHeight="1" x14ac:dyDescent="0.3">
      <c r="A181" s="660" t="s">
        <v>552</v>
      </c>
      <c r="B181" s="661" t="s">
        <v>3526</v>
      </c>
      <c r="C181" s="661" t="s">
        <v>3411</v>
      </c>
      <c r="D181" s="661" t="s">
        <v>3754</v>
      </c>
      <c r="E181" s="661" t="s">
        <v>3755</v>
      </c>
      <c r="F181" s="664">
        <v>2</v>
      </c>
      <c r="G181" s="664">
        <v>0</v>
      </c>
      <c r="H181" s="664"/>
      <c r="I181" s="664">
        <v>0</v>
      </c>
      <c r="J181" s="664"/>
      <c r="K181" s="664"/>
      <c r="L181" s="664"/>
      <c r="M181" s="664"/>
      <c r="N181" s="664">
        <v>1</v>
      </c>
      <c r="O181" s="664">
        <v>0</v>
      </c>
      <c r="P181" s="677"/>
      <c r="Q181" s="665">
        <v>0</v>
      </c>
    </row>
    <row r="182" spans="1:17" ht="14.4" customHeight="1" x14ac:dyDescent="0.3">
      <c r="A182" s="660" t="s">
        <v>552</v>
      </c>
      <c r="B182" s="661" t="s">
        <v>3526</v>
      </c>
      <c r="C182" s="661" t="s">
        <v>3411</v>
      </c>
      <c r="D182" s="661" t="s">
        <v>3756</v>
      </c>
      <c r="E182" s="661" t="s">
        <v>3757</v>
      </c>
      <c r="F182" s="664">
        <v>1</v>
      </c>
      <c r="G182" s="664">
        <v>0</v>
      </c>
      <c r="H182" s="664"/>
      <c r="I182" s="664">
        <v>0</v>
      </c>
      <c r="J182" s="664"/>
      <c r="K182" s="664"/>
      <c r="L182" s="664"/>
      <c r="M182" s="664"/>
      <c r="N182" s="664"/>
      <c r="O182" s="664"/>
      <c r="P182" s="677"/>
      <c r="Q182" s="665"/>
    </row>
    <row r="183" spans="1:17" ht="14.4" customHeight="1" x14ac:dyDescent="0.3">
      <c r="A183" s="660" t="s">
        <v>552</v>
      </c>
      <c r="B183" s="661" t="s">
        <v>3526</v>
      </c>
      <c r="C183" s="661" t="s">
        <v>3411</v>
      </c>
      <c r="D183" s="661" t="s">
        <v>3758</v>
      </c>
      <c r="E183" s="661" t="s">
        <v>3759</v>
      </c>
      <c r="F183" s="664">
        <v>1</v>
      </c>
      <c r="G183" s="664">
        <v>0</v>
      </c>
      <c r="H183" s="664"/>
      <c r="I183" s="664">
        <v>0</v>
      </c>
      <c r="J183" s="664"/>
      <c r="K183" s="664"/>
      <c r="L183" s="664"/>
      <c r="M183" s="664"/>
      <c r="N183" s="664"/>
      <c r="O183" s="664"/>
      <c r="P183" s="677"/>
      <c r="Q183" s="665"/>
    </row>
    <row r="184" spans="1:17" ht="14.4" customHeight="1" x14ac:dyDescent="0.3">
      <c r="A184" s="660" t="s">
        <v>552</v>
      </c>
      <c r="B184" s="661" t="s">
        <v>3526</v>
      </c>
      <c r="C184" s="661" t="s">
        <v>3411</v>
      </c>
      <c r="D184" s="661" t="s">
        <v>3760</v>
      </c>
      <c r="E184" s="661" t="s">
        <v>3761</v>
      </c>
      <c r="F184" s="664">
        <v>2</v>
      </c>
      <c r="G184" s="664">
        <v>0</v>
      </c>
      <c r="H184" s="664"/>
      <c r="I184" s="664">
        <v>0</v>
      </c>
      <c r="J184" s="664"/>
      <c r="K184" s="664"/>
      <c r="L184" s="664"/>
      <c r="M184" s="664"/>
      <c r="N184" s="664"/>
      <c r="O184" s="664"/>
      <c r="P184" s="677"/>
      <c r="Q184" s="665"/>
    </row>
    <row r="185" spans="1:17" ht="14.4" customHeight="1" x14ac:dyDescent="0.3">
      <c r="A185" s="660" t="s">
        <v>552</v>
      </c>
      <c r="B185" s="661" t="s">
        <v>3526</v>
      </c>
      <c r="C185" s="661" t="s">
        <v>3411</v>
      </c>
      <c r="D185" s="661" t="s">
        <v>3762</v>
      </c>
      <c r="E185" s="661" t="s">
        <v>3763</v>
      </c>
      <c r="F185" s="664">
        <v>1</v>
      </c>
      <c r="G185" s="664">
        <v>0</v>
      </c>
      <c r="H185" s="664"/>
      <c r="I185" s="664">
        <v>0</v>
      </c>
      <c r="J185" s="664"/>
      <c r="K185" s="664"/>
      <c r="L185" s="664"/>
      <c r="M185" s="664"/>
      <c r="N185" s="664"/>
      <c r="O185" s="664"/>
      <c r="P185" s="677"/>
      <c r="Q185" s="665"/>
    </row>
    <row r="186" spans="1:17" ht="14.4" customHeight="1" x14ac:dyDescent="0.3">
      <c r="A186" s="660" t="s">
        <v>552</v>
      </c>
      <c r="B186" s="661" t="s">
        <v>3526</v>
      </c>
      <c r="C186" s="661" t="s">
        <v>3411</v>
      </c>
      <c r="D186" s="661" t="s">
        <v>3764</v>
      </c>
      <c r="E186" s="661" t="s">
        <v>3765</v>
      </c>
      <c r="F186" s="664">
        <v>11</v>
      </c>
      <c r="G186" s="664">
        <v>0</v>
      </c>
      <c r="H186" s="664"/>
      <c r="I186" s="664">
        <v>0</v>
      </c>
      <c r="J186" s="664">
        <v>1</v>
      </c>
      <c r="K186" s="664">
        <v>0</v>
      </c>
      <c r="L186" s="664"/>
      <c r="M186" s="664">
        <v>0</v>
      </c>
      <c r="N186" s="664">
        <v>3</v>
      </c>
      <c r="O186" s="664">
        <v>0</v>
      </c>
      <c r="P186" s="677"/>
      <c r="Q186" s="665">
        <v>0</v>
      </c>
    </row>
    <row r="187" spans="1:17" ht="14.4" customHeight="1" x14ac:dyDescent="0.3">
      <c r="A187" s="660" t="s">
        <v>552</v>
      </c>
      <c r="B187" s="661" t="s">
        <v>3526</v>
      </c>
      <c r="C187" s="661" t="s">
        <v>3411</v>
      </c>
      <c r="D187" s="661" t="s">
        <v>3766</v>
      </c>
      <c r="E187" s="661" t="s">
        <v>3767</v>
      </c>
      <c r="F187" s="664">
        <v>1</v>
      </c>
      <c r="G187" s="664">
        <v>0</v>
      </c>
      <c r="H187" s="664"/>
      <c r="I187" s="664">
        <v>0</v>
      </c>
      <c r="J187" s="664"/>
      <c r="K187" s="664"/>
      <c r="L187" s="664"/>
      <c r="M187" s="664"/>
      <c r="N187" s="664"/>
      <c r="O187" s="664"/>
      <c r="P187" s="677"/>
      <c r="Q187" s="665"/>
    </row>
    <row r="188" spans="1:17" ht="14.4" customHeight="1" x14ac:dyDescent="0.3">
      <c r="A188" s="660" t="s">
        <v>552</v>
      </c>
      <c r="B188" s="661" t="s">
        <v>3526</v>
      </c>
      <c r="C188" s="661" t="s">
        <v>3411</v>
      </c>
      <c r="D188" s="661" t="s">
        <v>3768</v>
      </c>
      <c r="E188" s="661" t="s">
        <v>3769</v>
      </c>
      <c r="F188" s="664">
        <v>1</v>
      </c>
      <c r="G188" s="664">
        <v>0</v>
      </c>
      <c r="H188" s="664"/>
      <c r="I188" s="664">
        <v>0</v>
      </c>
      <c r="J188" s="664"/>
      <c r="K188" s="664"/>
      <c r="L188" s="664"/>
      <c r="M188" s="664"/>
      <c r="N188" s="664"/>
      <c r="O188" s="664"/>
      <c r="P188" s="677"/>
      <c r="Q188" s="665"/>
    </row>
    <row r="189" spans="1:17" ht="14.4" customHeight="1" x14ac:dyDescent="0.3">
      <c r="A189" s="660" t="s">
        <v>552</v>
      </c>
      <c r="B189" s="661" t="s">
        <v>3526</v>
      </c>
      <c r="C189" s="661" t="s">
        <v>3411</v>
      </c>
      <c r="D189" s="661" t="s">
        <v>3770</v>
      </c>
      <c r="E189" s="661" t="s">
        <v>3771</v>
      </c>
      <c r="F189" s="664">
        <v>1</v>
      </c>
      <c r="G189" s="664">
        <v>0</v>
      </c>
      <c r="H189" s="664"/>
      <c r="I189" s="664">
        <v>0</v>
      </c>
      <c r="J189" s="664"/>
      <c r="K189" s="664"/>
      <c r="L189" s="664"/>
      <c r="M189" s="664"/>
      <c r="N189" s="664"/>
      <c r="O189" s="664"/>
      <c r="P189" s="677"/>
      <c r="Q189" s="665"/>
    </row>
    <row r="190" spans="1:17" ht="14.4" customHeight="1" x14ac:dyDescent="0.3">
      <c r="A190" s="660" t="s">
        <v>552</v>
      </c>
      <c r="B190" s="661" t="s">
        <v>3526</v>
      </c>
      <c r="C190" s="661" t="s">
        <v>3411</v>
      </c>
      <c r="D190" s="661" t="s">
        <v>3772</v>
      </c>
      <c r="E190" s="661" t="s">
        <v>3773</v>
      </c>
      <c r="F190" s="664">
        <v>1</v>
      </c>
      <c r="G190" s="664">
        <v>0</v>
      </c>
      <c r="H190" s="664"/>
      <c r="I190" s="664">
        <v>0</v>
      </c>
      <c r="J190" s="664"/>
      <c r="K190" s="664"/>
      <c r="L190" s="664"/>
      <c r="M190" s="664"/>
      <c r="N190" s="664"/>
      <c r="O190" s="664"/>
      <c r="P190" s="677"/>
      <c r="Q190" s="665"/>
    </row>
    <row r="191" spans="1:17" ht="14.4" customHeight="1" x14ac:dyDescent="0.3">
      <c r="A191" s="660" t="s">
        <v>552</v>
      </c>
      <c r="B191" s="661" t="s">
        <v>3526</v>
      </c>
      <c r="C191" s="661" t="s">
        <v>3411</v>
      </c>
      <c r="D191" s="661" t="s">
        <v>3774</v>
      </c>
      <c r="E191" s="661" t="s">
        <v>3775</v>
      </c>
      <c r="F191" s="664"/>
      <c r="G191" s="664"/>
      <c r="H191" s="664"/>
      <c r="I191" s="664"/>
      <c r="J191" s="664">
        <v>2</v>
      </c>
      <c r="K191" s="664">
        <v>0</v>
      </c>
      <c r="L191" s="664"/>
      <c r="M191" s="664">
        <v>0</v>
      </c>
      <c r="N191" s="664"/>
      <c r="O191" s="664"/>
      <c r="P191" s="677"/>
      <c r="Q191" s="665"/>
    </row>
    <row r="192" spans="1:17" ht="14.4" customHeight="1" x14ac:dyDescent="0.3">
      <c r="A192" s="660" t="s">
        <v>552</v>
      </c>
      <c r="B192" s="661" t="s">
        <v>3526</v>
      </c>
      <c r="C192" s="661" t="s">
        <v>3411</v>
      </c>
      <c r="D192" s="661" t="s">
        <v>3776</v>
      </c>
      <c r="E192" s="661" t="s">
        <v>3777</v>
      </c>
      <c r="F192" s="664"/>
      <c r="G192" s="664"/>
      <c r="H192" s="664"/>
      <c r="I192" s="664"/>
      <c r="J192" s="664">
        <v>1</v>
      </c>
      <c r="K192" s="664">
        <v>0</v>
      </c>
      <c r="L192" s="664"/>
      <c r="M192" s="664">
        <v>0</v>
      </c>
      <c r="N192" s="664"/>
      <c r="O192" s="664"/>
      <c r="P192" s="677"/>
      <c r="Q192" s="665"/>
    </row>
    <row r="193" spans="1:17" ht="14.4" customHeight="1" x14ac:dyDescent="0.3">
      <c r="A193" s="660" t="s">
        <v>552</v>
      </c>
      <c r="B193" s="661" t="s">
        <v>3526</v>
      </c>
      <c r="C193" s="661" t="s">
        <v>3411</v>
      </c>
      <c r="D193" s="661" t="s">
        <v>3778</v>
      </c>
      <c r="E193" s="661" t="s">
        <v>3779</v>
      </c>
      <c r="F193" s="664">
        <v>474</v>
      </c>
      <c r="G193" s="664">
        <v>38805</v>
      </c>
      <c r="H193" s="664">
        <v>1</v>
      </c>
      <c r="I193" s="664">
        <v>81.867088607594937</v>
      </c>
      <c r="J193" s="664"/>
      <c r="K193" s="664"/>
      <c r="L193" s="664"/>
      <c r="M193" s="664"/>
      <c r="N193" s="664"/>
      <c r="O193" s="664"/>
      <c r="P193" s="677"/>
      <c r="Q193" s="665"/>
    </row>
    <row r="194" spans="1:17" ht="14.4" customHeight="1" x14ac:dyDescent="0.3">
      <c r="A194" s="660" t="s">
        <v>552</v>
      </c>
      <c r="B194" s="661" t="s">
        <v>3526</v>
      </c>
      <c r="C194" s="661" t="s">
        <v>3411</v>
      </c>
      <c r="D194" s="661" t="s">
        <v>3780</v>
      </c>
      <c r="E194" s="661" t="s">
        <v>3781</v>
      </c>
      <c r="F194" s="664">
        <v>56</v>
      </c>
      <c r="G194" s="664">
        <v>1624</v>
      </c>
      <c r="H194" s="664">
        <v>1</v>
      </c>
      <c r="I194" s="664">
        <v>29</v>
      </c>
      <c r="J194" s="664"/>
      <c r="K194" s="664"/>
      <c r="L194" s="664"/>
      <c r="M194" s="664"/>
      <c r="N194" s="664"/>
      <c r="O194" s="664"/>
      <c r="P194" s="677"/>
      <c r="Q194" s="665"/>
    </row>
    <row r="195" spans="1:17" ht="14.4" customHeight="1" x14ac:dyDescent="0.3">
      <c r="A195" s="660" t="s">
        <v>552</v>
      </c>
      <c r="B195" s="661" t="s">
        <v>3526</v>
      </c>
      <c r="C195" s="661" t="s">
        <v>3411</v>
      </c>
      <c r="D195" s="661" t="s">
        <v>3782</v>
      </c>
      <c r="E195" s="661" t="s">
        <v>3783</v>
      </c>
      <c r="F195" s="664"/>
      <c r="G195" s="664"/>
      <c r="H195" s="664"/>
      <c r="I195" s="664"/>
      <c r="J195" s="664"/>
      <c r="K195" s="664"/>
      <c r="L195" s="664"/>
      <c r="M195" s="664"/>
      <c r="N195" s="664">
        <v>1</v>
      </c>
      <c r="O195" s="664">
        <v>707</v>
      </c>
      <c r="P195" s="677"/>
      <c r="Q195" s="665">
        <v>707</v>
      </c>
    </row>
    <row r="196" spans="1:17" ht="14.4" customHeight="1" x14ac:dyDescent="0.3">
      <c r="A196" s="660" t="s">
        <v>552</v>
      </c>
      <c r="B196" s="661" t="s">
        <v>3526</v>
      </c>
      <c r="C196" s="661" t="s">
        <v>3411</v>
      </c>
      <c r="D196" s="661" t="s">
        <v>3784</v>
      </c>
      <c r="E196" s="661" t="s">
        <v>3785</v>
      </c>
      <c r="F196" s="664">
        <v>56</v>
      </c>
      <c r="G196" s="664">
        <v>3976</v>
      </c>
      <c r="H196" s="664">
        <v>1</v>
      </c>
      <c r="I196" s="664">
        <v>71</v>
      </c>
      <c r="J196" s="664"/>
      <c r="K196" s="664"/>
      <c r="L196" s="664"/>
      <c r="M196" s="664"/>
      <c r="N196" s="664"/>
      <c r="O196" s="664"/>
      <c r="P196" s="677"/>
      <c r="Q196" s="665"/>
    </row>
    <row r="197" spans="1:17" ht="14.4" customHeight="1" x14ac:dyDescent="0.3">
      <c r="A197" s="660" t="s">
        <v>552</v>
      </c>
      <c r="B197" s="661" t="s">
        <v>3526</v>
      </c>
      <c r="C197" s="661" t="s">
        <v>3411</v>
      </c>
      <c r="D197" s="661" t="s">
        <v>3786</v>
      </c>
      <c r="E197" s="661" t="s">
        <v>3787</v>
      </c>
      <c r="F197" s="664">
        <v>56</v>
      </c>
      <c r="G197" s="664">
        <v>1624</v>
      </c>
      <c r="H197" s="664">
        <v>1</v>
      </c>
      <c r="I197" s="664">
        <v>29</v>
      </c>
      <c r="J197" s="664"/>
      <c r="K197" s="664"/>
      <c r="L197" s="664"/>
      <c r="M197" s="664"/>
      <c r="N197" s="664"/>
      <c r="O197" s="664"/>
      <c r="P197" s="677"/>
      <c r="Q197" s="665"/>
    </row>
    <row r="198" spans="1:17" ht="14.4" customHeight="1" x14ac:dyDescent="0.3">
      <c r="A198" s="660" t="s">
        <v>552</v>
      </c>
      <c r="B198" s="661" t="s">
        <v>3526</v>
      </c>
      <c r="C198" s="661" t="s">
        <v>3411</v>
      </c>
      <c r="D198" s="661" t="s">
        <v>3516</v>
      </c>
      <c r="E198" s="661" t="s">
        <v>3517</v>
      </c>
      <c r="F198" s="664">
        <v>79</v>
      </c>
      <c r="G198" s="664">
        <v>0</v>
      </c>
      <c r="H198" s="664"/>
      <c r="I198" s="664">
        <v>0</v>
      </c>
      <c r="J198" s="664">
        <v>82</v>
      </c>
      <c r="K198" s="664">
        <v>0</v>
      </c>
      <c r="L198" s="664"/>
      <c r="M198" s="664">
        <v>0</v>
      </c>
      <c r="N198" s="664">
        <v>83</v>
      </c>
      <c r="O198" s="664">
        <v>0</v>
      </c>
      <c r="P198" s="677"/>
      <c r="Q198" s="665">
        <v>0</v>
      </c>
    </row>
    <row r="199" spans="1:17" ht="14.4" customHeight="1" x14ac:dyDescent="0.3">
      <c r="A199" s="660" t="s">
        <v>552</v>
      </c>
      <c r="B199" s="661" t="s">
        <v>3526</v>
      </c>
      <c r="C199" s="661" t="s">
        <v>3411</v>
      </c>
      <c r="D199" s="661" t="s">
        <v>3788</v>
      </c>
      <c r="E199" s="661" t="s">
        <v>3789</v>
      </c>
      <c r="F199" s="664">
        <v>820</v>
      </c>
      <c r="G199" s="664">
        <v>0</v>
      </c>
      <c r="H199" s="664"/>
      <c r="I199" s="664">
        <v>0</v>
      </c>
      <c r="J199" s="664"/>
      <c r="K199" s="664"/>
      <c r="L199" s="664"/>
      <c r="M199" s="664"/>
      <c r="N199" s="664"/>
      <c r="O199" s="664"/>
      <c r="P199" s="677"/>
      <c r="Q199" s="665"/>
    </row>
    <row r="200" spans="1:17" ht="14.4" customHeight="1" x14ac:dyDescent="0.3">
      <c r="A200" s="660" t="s">
        <v>552</v>
      </c>
      <c r="B200" s="661" t="s">
        <v>3526</v>
      </c>
      <c r="C200" s="661" t="s">
        <v>3411</v>
      </c>
      <c r="D200" s="661" t="s">
        <v>3459</v>
      </c>
      <c r="E200" s="661" t="s">
        <v>3460</v>
      </c>
      <c r="F200" s="664">
        <v>6</v>
      </c>
      <c r="G200" s="664">
        <v>486</v>
      </c>
      <c r="H200" s="664">
        <v>1</v>
      </c>
      <c r="I200" s="664">
        <v>81</v>
      </c>
      <c r="J200" s="664">
        <v>5</v>
      </c>
      <c r="K200" s="664">
        <v>405</v>
      </c>
      <c r="L200" s="664">
        <v>0.83333333333333337</v>
      </c>
      <c r="M200" s="664">
        <v>81</v>
      </c>
      <c r="N200" s="664">
        <v>2</v>
      </c>
      <c r="O200" s="664">
        <v>164</v>
      </c>
      <c r="P200" s="677">
        <v>0.33744855967078191</v>
      </c>
      <c r="Q200" s="665">
        <v>82</v>
      </c>
    </row>
    <row r="201" spans="1:17" ht="14.4" customHeight="1" x14ac:dyDescent="0.3">
      <c r="A201" s="660" t="s">
        <v>552</v>
      </c>
      <c r="B201" s="661" t="s">
        <v>3526</v>
      </c>
      <c r="C201" s="661" t="s">
        <v>3411</v>
      </c>
      <c r="D201" s="661" t="s">
        <v>3790</v>
      </c>
      <c r="E201" s="661" t="s">
        <v>3791</v>
      </c>
      <c r="F201" s="664">
        <v>474</v>
      </c>
      <c r="G201" s="664">
        <v>248313</v>
      </c>
      <c r="H201" s="664">
        <v>1</v>
      </c>
      <c r="I201" s="664">
        <v>523.86708860759495</v>
      </c>
      <c r="J201" s="664"/>
      <c r="K201" s="664"/>
      <c r="L201" s="664"/>
      <c r="M201" s="664"/>
      <c r="N201" s="664"/>
      <c r="O201" s="664"/>
      <c r="P201" s="677"/>
      <c r="Q201" s="665"/>
    </row>
    <row r="202" spans="1:17" ht="14.4" customHeight="1" x14ac:dyDescent="0.3">
      <c r="A202" s="660" t="s">
        <v>552</v>
      </c>
      <c r="B202" s="661" t="s">
        <v>3526</v>
      </c>
      <c r="C202" s="661" t="s">
        <v>3411</v>
      </c>
      <c r="D202" s="661" t="s">
        <v>3792</v>
      </c>
      <c r="E202" s="661" t="s">
        <v>3793</v>
      </c>
      <c r="F202" s="664">
        <v>56</v>
      </c>
      <c r="G202" s="664">
        <v>1288</v>
      </c>
      <c r="H202" s="664">
        <v>1</v>
      </c>
      <c r="I202" s="664">
        <v>23</v>
      </c>
      <c r="J202" s="664"/>
      <c r="K202" s="664"/>
      <c r="L202" s="664"/>
      <c r="M202" s="664"/>
      <c r="N202" s="664"/>
      <c r="O202" s="664"/>
      <c r="P202" s="677"/>
      <c r="Q202" s="665"/>
    </row>
    <row r="203" spans="1:17" ht="14.4" customHeight="1" x14ac:dyDescent="0.3">
      <c r="A203" s="660" t="s">
        <v>552</v>
      </c>
      <c r="B203" s="661" t="s">
        <v>3526</v>
      </c>
      <c r="C203" s="661" t="s">
        <v>3411</v>
      </c>
      <c r="D203" s="661" t="s">
        <v>3794</v>
      </c>
      <c r="E203" s="661" t="s">
        <v>3795</v>
      </c>
      <c r="F203" s="664">
        <v>40</v>
      </c>
      <c r="G203" s="664">
        <v>20352</v>
      </c>
      <c r="H203" s="664">
        <v>1</v>
      </c>
      <c r="I203" s="664">
        <v>508.8</v>
      </c>
      <c r="J203" s="664">
        <v>38</v>
      </c>
      <c r="K203" s="664">
        <v>19342</v>
      </c>
      <c r="L203" s="664">
        <v>0.95037342767295596</v>
      </c>
      <c r="M203" s="664">
        <v>509</v>
      </c>
      <c r="N203" s="664">
        <v>46</v>
      </c>
      <c r="O203" s="664">
        <v>23874</v>
      </c>
      <c r="P203" s="677">
        <v>1.1730542452830188</v>
      </c>
      <c r="Q203" s="665">
        <v>519</v>
      </c>
    </row>
    <row r="204" spans="1:17" ht="14.4" customHeight="1" x14ac:dyDescent="0.3">
      <c r="A204" s="660" t="s">
        <v>552</v>
      </c>
      <c r="B204" s="661" t="s">
        <v>3526</v>
      </c>
      <c r="C204" s="661" t="s">
        <v>3411</v>
      </c>
      <c r="D204" s="661" t="s">
        <v>3501</v>
      </c>
      <c r="E204" s="661" t="s">
        <v>3502</v>
      </c>
      <c r="F204" s="664">
        <v>6</v>
      </c>
      <c r="G204" s="664">
        <v>53234</v>
      </c>
      <c r="H204" s="664">
        <v>1</v>
      </c>
      <c r="I204" s="664">
        <v>8872.3333333333339</v>
      </c>
      <c r="J204" s="664"/>
      <c r="K204" s="664"/>
      <c r="L204" s="664"/>
      <c r="M204" s="664"/>
      <c r="N204" s="664"/>
      <c r="O204" s="664"/>
      <c r="P204" s="677"/>
      <c r="Q204" s="665"/>
    </row>
    <row r="205" spans="1:17" ht="14.4" customHeight="1" x14ac:dyDescent="0.3">
      <c r="A205" s="660" t="s">
        <v>552</v>
      </c>
      <c r="B205" s="661" t="s">
        <v>3526</v>
      </c>
      <c r="C205" s="661" t="s">
        <v>3411</v>
      </c>
      <c r="D205" s="661" t="s">
        <v>3796</v>
      </c>
      <c r="E205" s="661" t="s">
        <v>3797</v>
      </c>
      <c r="F205" s="664">
        <v>39</v>
      </c>
      <c r="G205" s="664">
        <v>6708</v>
      </c>
      <c r="H205" s="664">
        <v>1</v>
      </c>
      <c r="I205" s="664">
        <v>172</v>
      </c>
      <c r="J205" s="664"/>
      <c r="K205" s="664"/>
      <c r="L205" s="664"/>
      <c r="M205" s="664"/>
      <c r="N205" s="664"/>
      <c r="O205" s="664"/>
      <c r="P205" s="677"/>
      <c r="Q205" s="665"/>
    </row>
    <row r="206" spans="1:17" ht="14.4" customHeight="1" x14ac:dyDescent="0.3">
      <c r="A206" s="660" t="s">
        <v>552</v>
      </c>
      <c r="B206" s="661" t="s">
        <v>3526</v>
      </c>
      <c r="C206" s="661" t="s">
        <v>3411</v>
      </c>
      <c r="D206" s="661" t="s">
        <v>3798</v>
      </c>
      <c r="E206" s="661" t="s">
        <v>3799</v>
      </c>
      <c r="F206" s="664">
        <v>655</v>
      </c>
      <c r="G206" s="664">
        <v>650801</v>
      </c>
      <c r="H206" s="664">
        <v>1</v>
      </c>
      <c r="I206" s="664">
        <v>993.58931297709921</v>
      </c>
      <c r="J206" s="664">
        <v>712</v>
      </c>
      <c r="K206" s="664">
        <v>700326</v>
      </c>
      <c r="L206" s="664">
        <v>1.0760985308873219</v>
      </c>
      <c r="M206" s="664">
        <v>983.60393258426961</v>
      </c>
      <c r="N206" s="664">
        <v>694</v>
      </c>
      <c r="O206" s="664">
        <v>705041</v>
      </c>
      <c r="P206" s="677">
        <v>1.083343449072758</v>
      </c>
      <c r="Q206" s="665">
        <v>1015.9092219020173</v>
      </c>
    </row>
    <row r="207" spans="1:17" ht="14.4" customHeight="1" x14ac:dyDescent="0.3">
      <c r="A207" s="660" t="s">
        <v>552</v>
      </c>
      <c r="B207" s="661" t="s">
        <v>3526</v>
      </c>
      <c r="C207" s="661" t="s">
        <v>3411</v>
      </c>
      <c r="D207" s="661" t="s">
        <v>3434</v>
      </c>
      <c r="E207" s="661" t="s">
        <v>3435</v>
      </c>
      <c r="F207" s="664">
        <v>3</v>
      </c>
      <c r="G207" s="664">
        <v>981</v>
      </c>
      <c r="H207" s="664">
        <v>1</v>
      </c>
      <c r="I207" s="664">
        <v>327</v>
      </c>
      <c r="J207" s="664"/>
      <c r="K207" s="664"/>
      <c r="L207" s="664"/>
      <c r="M207" s="664"/>
      <c r="N207" s="664"/>
      <c r="O207" s="664"/>
      <c r="P207" s="677"/>
      <c r="Q207" s="665"/>
    </row>
    <row r="208" spans="1:17" ht="14.4" customHeight="1" x14ac:dyDescent="0.3">
      <c r="A208" s="660" t="s">
        <v>552</v>
      </c>
      <c r="B208" s="661" t="s">
        <v>3526</v>
      </c>
      <c r="C208" s="661" t="s">
        <v>3411</v>
      </c>
      <c r="D208" s="661" t="s">
        <v>3800</v>
      </c>
      <c r="E208" s="661" t="s">
        <v>3801</v>
      </c>
      <c r="F208" s="664"/>
      <c r="G208" s="664"/>
      <c r="H208" s="664"/>
      <c r="I208" s="664"/>
      <c r="J208" s="664"/>
      <c r="K208" s="664"/>
      <c r="L208" s="664"/>
      <c r="M208" s="664"/>
      <c r="N208" s="664">
        <v>1</v>
      </c>
      <c r="O208" s="664">
        <v>0</v>
      </c>
      <c r="P208" s="677"/>
      <c r="Q208" s="665">
        <v>0</v>
      </c>
    </row>
    <row r="209" spans="1:17" ht="14.4" customHeight="1" x14ac:dyDescent="0.3">
      <c r="A209" s="660" t="s">
        <v>552</v>
      </c>
      <c r="B209" s="661" t="s">
        <v>3526</v>
      </c>
      <c r="C209" s="661" t="s">
        <v>3411</v>
      </c>
      <c r="D209" s="661" t="s">
        <v>3802</v>
      </c>
      <c r="E209" s="661" t="s">
        <v>3803</v>
      </c>
      <c r="F209" s="664">
        <v>14</v>
      </c>
      <c r="G209" s="664">
        <v>669554</v>
      </c>
      <c r="H209" s="664">
        <v>1</v>
      </c>
      <c r="I209" s="664">
        <v>47825.285714285717</v>
      </c>
      <c r="J209" s="664">
        <v>16</v>
      </c>
      <c r="K209" s="664">
        <v>765296</v>
      </c>
      <c r="L209" s="664">
        <v>1.1429936943099437</v>
      </c>
      <c r="M209" s="664">
        <v>47831</v>
      </c>
      <c r="N209" s="664">
        <v>13</v>
      </c>
      <c r="O209" s="664">
        <v>624468</v>
      </c>
      <c r="P209" s="677">
        <v>0.93266263811432681</v>
      </c>
      <c r="Q209" s="665">
        <v>48036</v>
      </c>
    </row>
    <row r="210" spans="1:17" ht="14.4" customHeight="1" x14ac:dyDescent="0.3">
      <c r="A210" s="660" t="s">
        <v>552</v>
      </c>
      <c r="B210" s="661" t="s">
        <v>3526</v>
      </c>
      <c r="C210" s="661" t="s">
        <v>3411</v>
      </c>
      <c r="D210" s="661" t="s">
        <v>3804</v>
      </c>
      <c r="E210" s="661" t="s">
        <v>3805</v>
      </c>
      <c r="F210" s="664">
        <v>3</v>
      </c>
      <c r="G210" s="664">
        <v>5472</v>
      </c>
      <c r="H210" s="664">
        <v>1</v>
      </c>
      <c r="I210" s="664">
        <v>1824</v>
      </c>
      <c r="J210" s="664">
        <v>2</v>
      </c>
      <c r="K210" s="664">
        <v>3648</v>
      </c>
      <c r="L210" s="664">
        <v>0.66666666666666663</v>
      </c>
      <c r="M210" s="664">
        <v>1824</v>
      </c>
      <c r="N210" s="664">
        <v>3</v>
      </c>
      <c r="O210" s="664">
        <v>5517</v>
      </c>
      <c r="P210" s="677">
        <v>1.0082236842105263</v>
      </c>
      <c r="Q210" s="665">
        <v>1839</v>
      </c>
    </row>
    <row r="211" spans="1:17" ht="14.4" customHeight="1" x14ac:dyDescent="0.3">
      <c r="A211" s="660" t="s">
        <v>552</v>
      </c>
      <c r="B211" s="661" t="s">
        <v>3526</v>
      </c>
      <c r="C211" s="661" t="s">
        <v>3411</v>
      </c>
      <c r="D211" s="661" t="s">
        <v>3503</v>
      </c>
      <c r="E211" s="661" t="s">
        <v>3504</v>
      </c>
      <c r="F211" s="664">
        <v>123</v>
      </c>
      <c r="G211" s="664">
        <v>89175</v>
      </c>
      <c r="H211" s="664">
        <v>1</v>
      </c>
      <c r="I211" s="664">
        <v>725</v>
      </c>
      <c r="J211" s="664"/>
      <c r="K211" s="664"/>
      <c r="L211" s="664"/>
      <c r="M211" s="664"/>
      <c r="N211" s="664"/>
      <c r="O211" s="664"/>
      <c r="P211" s="677"/>
      <c r="Q211" s="665"/>
    </row>
    <row r="212" spans="1:17" ht="14.4" customHeight="1" x14ac:dyDescent="0.3">
      <c r="A212" s="660" t="s">
        <v>552</v>
      </c>
      <c r="B212" s="661" t="s">
        <v>3526</v>
      </c>
      <c r="C212" s="661" t="s">
        <v>3411</v>
      </c>
      <c r="D212" s="661" t="s">
        <v>3463</v>
      </c>
      <c r="E212" s="661" t="s">
        <v>3464</v>
      </c>
      <c r="F212" s="664">
        <v>4</v>
      </c>
      <c r="G212" s="664">
        <v>1722</v>
      </c>
      <c r="H212" s="664">
        <v>1</v>
      </c>
      <c r="I212" s="664">
        <v>430.5</v>
      </c>
      <c r="J212" s="664">
        <v>3</v>
      </c>
      <c r="K212" s="664">
        <v>1293</v>
      </c>
      <c r="L212" s="664">
        <v>0.75087108013937287</v>
      </c>
      <c r="M212" s="664">
        <v>431</v>
      </c>
      <c r="N212" s="664">
        <v>2</v>
      </c>
      <c r="O212" s="664">
        <v>872</v>
      </c>
      <c r="P212" s="677">
        <v>0.50638792102206731</v>
      </c>
      <c r="Q212" s="665">
        <v>436</v>
      </c>
    </row>
    <row r="213" spans="1:17" ht="14.4" customHeight="1" x14ac:dyDescent="0.3">
      <c r="A213" s="660" t="s">
        <v>552</v>
      </c>
      <c r="B213" s="661" t="s">
        <v>3526</v>
      </c>
      <c r="C213" s="661" t="s">
        <v>3411</v>
      </c>
      <c r="D213" s="661" t="s">
        <v>3806</v>
      </c>
      <c r="E213" s="661" t="s">
        <v>3807</v>
      </c>
      <c r="F213" s="664">
        <v>9</v>
      </c>
      <c r="G213" s="664">
        <v>3009</v>
      </c>
      <c r="H213" s="664">
        <v>1</v>
      </c>
      <c r="I213" s="664">
        <v>334.33333333333331</v>
      </c>
      <c r="J213" s="664"/>
      <c r="K213" s="664"/>
      <c r="L213" s="664"/>
      <c r="M213" s="664"/>
      <c r="N213" s="664"/>
      <c r="O213" s="664"/>
      <c r="P213" s="677"/>
      <c r="Q213" s="665"/>
    </row>
    <row r="214" spans="1:17" ht="14.4" customHeight="1" x14ac:dyDescent="0.3">
      <c r="A214" s="660" t="s">
        <v>552</v>
      </c>
      <c r="B214" s="661" t="s">
        <v>3526</v>
      </c>
      <c r="C214" s="661" t="s">
        <v>3411</v>
      </c>
      <c r="D214" s="661" t="s">
        <v>3808</v>
      </c>
      <c r="E214" s="661" t="s">
        <v>3809</v>
      </c>
      <c r="F214" s="664">
        <v>11</v>
      </c>
      <c r="G214" s="664">
        <v>9280</v>
      </c>
      <c r="H214" s="664">
        <v>1</v>
      </c>
      <c r="I214" s="664">
        <v>843.63636363636363</v>
      </c>
      <c r="J214" s="664">
        <v>1</v>
      </c>
      <c r="K214" s="664">
        <v>845</v>
      </c>
      <c r="L214" s="664">
        <v>9.1056034482758619E-2</v>
      </c>
      <c r="M214" s="664">
        <v>845</v>
      </c>
      <c r="N214" s="664">
        <v>3</v>
      </c>
      <c r="O214" s="664">
        <v>2556</v>
      </c>
      <c r="P214" s="677">
        <v>0.27543103448275863</v>
      </c>
      <c r="Q214" s="665">
        <v>852</v>
      </c>
    </row>
    <row r="215" spans="1:17" ht="14.4" customHeight="1" x14ac:dyDescent="0.3">
      <c r="A215" s="660" t="s">
        <v>552</v>
      </c>
      <c r="B215" s="661" t="s">
        <v>3526</v>
      </c>
      <c r="C215" s="661" t="s">
        <v>3411</v>
      </c>
      <c r="D215" s="661" t="s">
        <v>3467</v>
      </c>
      <c r="E215" s="661" t="s">
        <v>3468</v>
      </c>
      <c r="F215" s="664">
        <v>56</v>
      </c>
      <c r="G215" s="664">
        <v>19264</v>
      </c>
      <c r="H215" s="664">
        <v>1</v>
      </c>
      <c r="I215" s="664">
        <v>344</v>
      </c>
      <c r="J215" s="664"/>
      <c r="K215" s="664"/>
      <c r="L215" s="664"/>
      <c r="M215" s="664"/>
      <c r="N215" s="664"/>
      <c r="O215" s="664"/>
      <c r="P215" s="677"/>
      <c r="Q215" s="665"/>
    </row>
    <row r="216" spans="1:17" ht="14.4" customHeight="1" x14ac:dyDescent="0.3">
      <c r="A216" s="660" t="s">
        <v>552</v>
      </c>
      <c r="B216" s="661" t="s">
        <v>3526</v>
      </c>
      <c r="C216" s="661" t="s">
        <v>3411</v>
      </c>
      <c r="D216" s="661" t="s">
        <v>3810</v>
      </c>
      <c r="E216" s="661" t="s">
        <v>3811</v>
      </c>
      <c r="F216" s="664">
        <v>68</v>
      </c>
      <c r="G216" s="664">
        <v>26313</v>
      </c>
      <c r="H216" s="664">
        <v>1</v>
      </c>
      <c r="I216" s="664">
        <v>386.95588235294116</v>
      </c>
      <c r="J216" s="664"/>
      <c r="K216" s="664"/>
      <c r="L216" s="664"/>
      <c r="M216" s="664"/>
      <c r="N216" s="664"/>
      <c r="O216" s="664"/>
      <c r="P216" s="677"/>
      <c r="Q216" s="665"/>
    </row>
    <row r="217" spans="1:17" ht="14.4" customHeight="1" x14ac:dyDescent="0.3">
      <c r="A217" s="660" t="s">
        <v>552</v>
      </c>
      <c r="B217" s="661" t="s">
        <v>3526</v>
      </c>
      <c r="C217" s="661" t="s">
        <v>3411</v>
      </c>
      <c r="D217" s="661" t="s">
        <v>3812</v>
      </c>
      <c r="E217" s="661" t="s">
        <v>3813</v>
      </c>
      <c r="F217" s="664">
        <v>11</v>
      </c>
      <c r="G217" s="664">
        <v>9460</v>
      </c>
      <c r="H217" s="664">
        <v>1</v>
      </c>
      <c r="I217" s="664">
        <v>860</v>
      </c>
      <c r="J217" s="664"/>
      <c r="K217" s="664"/>
      <c r="L217" s="664"/>
      <c r="M217" s="664"/>
      <c r="N217" s="664"/>
      <c r="O217" s="664"/>
      <c r="P217" s="677"/>
      <c r="Q217" s="665"/>
    </row>
    <row r="218" spans="1:17" ht="14.4" customHeight="1" x14ac:dyDescent="0.3">
      <c r="A218" s="660" t="s">
        <v>552</v>
      </c>
      <c r="B218" s="661" t="s">
        <v>3526</v>
      </c>
      <c r="C218" s="661" t="s">
        <v>3411</v>
      </c>
      <c r="D218" s="661" t="s">
        <v>3814</v>
      </c>
      <c r="E218" s="661" t="s">
        <v>3815</v>
      </c>
      <c r="F218" s="664">
        <v>6</v>
      </c>
      <c r="G218" s="664">
        <v>0</v>
      </c>
      <c r="H218" s="664"/>
      <c r="I218" s="664">
        <v>0</v>
      </c>
      <c r="J218" s="664">
        <v>7</v>
      </c>
      <c r="K218" s="664">
        <v>0</v>
      </c>
      <c r="L218" s="664"/>
      <c r="M218" s="664">
        <v>0</v>
      </c>
      <c r="N218" s="664">
        <v>5</v>
      </c>
      <c r="O218" s="664">
        <v>0</v>
      </c>
      <c r="P218" s="677"/>
      <c r="Q218" s="665">
        <v>0</v>
      </c>
    </row>
    <row r="219" spans="1:17" ht="14.4" customHeight="1" x14ac:dyDescent="0.3">
      <c r="A219" s="660" t="s">
        <v>552</v>
      </c>
      <c r="B219" s="661" t="s">
        <v>3526</v>
      </c>
      <c r="C219" s="661" t="s">
        <v>3411</v>
      </c>
      <c r="D219" s="661" t="s">
        <v>3520</v>
      </c>
      <c r="E219" s="661" t="s">
        <v>3521</v>
      </c>
      <c r="F219" s="664">
        <v>65</v>
      </c>
      <c r="G219" s="664">
        <v>0</v>
      </c>
      <c r="H219" s="664"/>
      <c r="I219" s="664">
        <v>0</v>
      </c>
      <c r="J219" s="664">
        <v>75</v>
      </c>
      <c r="K219" s="664">
        <v>0</v>
      </c>
      <c r="L219" s="664"/>
      <c r="M219" s="664">
        <v>0</v>
      </c>
      <c r="N219" s="664">
        <v>74</v>
      </c>
      <c r="O219" s="664">
        <v>0</v>
      </c>
      <c r="P219" s="677"/>
      <c r="Q219" s="665">
        <v>0</v>
      </c>
    </row>
    <row r="220" spans="1:17" ht="14.4" customHeight="1" x14ac:dyDescent="0.3">
      <c r="A220" s="660" t="s">
        <v>552</v>
      </c>
      <c r="B220" s="661" t="s">
        <v>3526</v>
      </c>
      <c r="C220" s="661" t="s">
        <v>3411</v>
      </c>
      <c r="D220" s="661" t="s">
        <v>3816</v>
      </c>
      <c r="E220" s="661" t="s">
        <v>3817</v>
      </c>
      <c r="F220" s="664">
        <v>59</v>
      </c>
      <c r="G220" s="664">
        <v>2226227</v>
      </c>
      <c r="H220" s="664">
        <v>1</v>
      </c>
      <c r="I220" s="664">
        <v>37732.661016949154</v>
      </c>
      <c r="J220" s="664">
        <v>62</v>
      </c>
      <c r="K220" s="664">
        <v>2339570</v>
      </c>
      <c r="L220" s="664">
        <v>1.0509125978617635</v>
      </c>
      <c r="M220" s="664">
        <v>37735</v>
      </c>
      <c r="N220" s="664">
        <v>64</v>
      </c>
      <c r="O220" s="664">
        <v>2426304</v>
      </c>
      <c r="P220" s="677">
        <v>1.0898726859390349</v>
      </c>
      <c r="Q220" s="665">
        <v>37911</v>
      </c>
    </row>
    <row r="221" spans="1:17" ht="14.4" customHeight="1" x14ac:dyDescent="0.3">
      <c r="A221" s="660" t="s">
        <v>552</v>
      </c>
      <c r="B221" s="661" t="s">
        <v>3526</v>
      </c>
      <c r="C221" s="661" t="s">
        <v>3411</v>
      </c>
      <c r="D221" s="661" t="s">
        <v>3818</v>
      </c>
      <c r="E221" s="661" t="s">
        <v>3813</v>
      </c>
      <c r="F221" s="664">
        <v>463</v>
      </c>
      <c r="G221" s="664">
        <v>436546</v>
      </c>
      <c r="H221" s="664">
        <v>1</v>
      </c>
      <c r="I221" s="664">
        <v>942.86393088552916</v>
      </c>
      <c r="J221" s="664"/>
      <c r="K221" s="664"/>
      <c r="L221" s="664"/>
      <c r="M221" s="664"/>
      <c r="N221" s="664"/>
      <c r="O221" s="664"/>
      <c r="P221" s="677"/>
      <c r="Q221" s="665"/>
    </row>
    <row r="222" spans="1:17" ht="14.4" customHeight="1" x14ac:dyDescent="0.3">
      <c r="A222" s="660" t="s">
        <v>552</v>
      </c>
      <c r="B222" s="661" t="s">
        <v>3526</v>
      </c>
      <c r="C222" s="661" t="s">
        <v>3411</v>
      </c>
      <c r="D222" s="661" t="s">
        <v>3522</v>
      </c>
      <c r="E222" s="661" t="s">
        <v>3523</v>
      </c>
      <c r="F222" s="664">
        <v>32</v>
      </c>
      <c r="G222" s="664">
        <v>0</v>
      </c>
      <c r="H222" s="664"/>
      <c r="I222" s="664">
        <v>0</v>
      </c>
      <c r="J222" s="664">
        <v>42</v>
      </c>
      <c r="K222" s="664">
        <v>0</v>
      </c>
      <c r="L222" s="664"/>
      <c r="M222" s="664">
        <v>0</v>
      </c>
      <c r="N222" s="664">
        <v>39</v>
      </c>
      <c r="O222" s="664">
        <v>0</v>
      </c>
      <c r="P222" s="677"/>
      <c r="Q222" s="665">
        <v>0</v>
      </c>
    </row>
    <row r="223" spans="1:17" ht="14.4" customHeight="1" x14ac:dyDescent="0.3">
      <c r="A223" s="660" t="s">
        <v>552</v>
      </c>
      <c r="B223" s="661" t="s">
        <v>3526</v>
      </c>
      <c r="C223" s="661" t="s">
        <v>3411</v>
      </c>
      <c r="D223" s="661" t="s">
        <v>3486</v>
      </c>
      <c r="E223" s="661" t="s">
        <v>3487</v>
      </c>
      <c r="F223" s="664"/>
      <c r="G223" s="664"/>
      <c r="H223" s="664"/>
      <c r="I223" s="664"/>
      <c r="J223" s="664">
        <v>86</v>
      </c>
      <c r="K223" s="664">
        <v>29584</v>
      </c>
      <c r="L223" s="664"/>
      <c r="M223" s="664">
        <v>344</v>
      </c>
      <c r="N223" s="664">
        <v>77</v>
      </c>
      <c r="O223" s="664">
        <v>26873</v>
      </c>
      <c r="P223" s="677"/>
      <c r="Q223" s="665">
        <v>349</v>
      </c>
    </row>
    <row r="224" spans="1:17" ht="14.4" customHeight="1" x14ac:dyDescent="0.3">
      <c r="A224" s="660" t="s">
        <v>552</v>
      </c>
      <c r="B224" s="661" t="s">
        <v>3526</v>
      </c>
      <c r="C224" s="661" t="s">
        <v>3411</v>
      </c>
      <c r="D224" s="661" t="s">
        <v>3819</v>
      </c>
      <c r="E224" s="661" t="s">
        <v>3403</v>
      </c>
      <c r="F224" s="664">
        <v>2</v>
      </c>
      <c r="G224" s="664">
        <v>0</v>
      </c>
      <c r="H224" s="664"/>
      <c r="I224" s="664">
        <v>0</v>
      </c>
      <c r="J224" s="664"/>
      <c r="K224" s="664"/>
      <c r="L224" s="664"/>
      <c r="M224" s="664"/>
      <c r="N224" s="664"/>
      <c r="O224" s="664"/>
      <c r="P224" s="677"/>
      <c r="Q224" s="665"/>
    </row>
    <row r="225" spans="1:17" ht="14.4" customHeight="1" x14ac:dyDescent="0.3">
      <c r="A225" s="660" t="s">
        <v>552</v>
      </c>
      <c r="B225" s="661" t="s">
        <v>3526</v>
      </c>
      <c r="C225" s="661" t="s">
        <v>3411</v>
      </c>
      <c r="D225" s="661" t="s">
        <v>3820</v>
      </c>
      <c r="E225" s="661" t="s">
        <v>3821</v>
      </c>
      <c r="F225" s="664">
        <v>34</v>
      </c>
      <c r="G225" s="664">
        <v>0</v>
      </c>
      <c r="H225" s="664"/>
      <c r="I225" s="664">
        <v>0</v>
      </c>
      <c r="J225" s="664">
        <v>45</v>
      </c>
      <c r="K225" s="664">
        <v>0</v>
      </c>
      <c r="L225" s="664"/>
      <c r="M225" s="664">
        <v>0</v>
      </c>
      <c r="N225" s="664">
        <v>44</v>
      </c>
      <c r="O225" s="664">
        <v>0</v>
      </c>
      <c r="P225" s="677"/>
      <c r="Q225" s="665">
        <v>0</v>
      </c>
    </row>
    <row r="226" spans="1:17" ht="14.4" customHeight="1" x14ac:dyDescent="0.3">
      <c r="A226" s="660" t="s">
        <v>552</v>
      </c>
      <c r="B226" s="661" t="s">
        <v>3526</v>
      </c>
      <c r="C226" s="661" t="s">
        <v>3411</v>
      </c>
      <c r="D226" s="661" t="s">
        <v>3822</v>
      </c>
      <c r="E226" s="661" t="s">
        <v>3823</v>
      </c>
      <c r="F226" s="664">
        <v>7</v>
      </c>
      <c r="G226" s="664">
        <v>0</v>
      </c>
      <c r="H226" s="664"/>
      <c r="I226" s="664">
        <v>0</v>
      </c>
      <c r="J226" s="664">
        <v>4</v>
      </c>
      <c r="K226" s="664">
        <v>0</v>
      </c>
      <c r="L226" s="664"/>
      <c r="M226" s="664">
        <v>0</v>
      </c>
      <c r="N226" s="664">
        <v>6</v>
      </c>
      <c r="O226" s="664">
        <v>0</v>
      </c>
      <c r="P226" s="677"/>
      <c r="Q226" s="665">
        <v>0</v>
      </c>
    </row>
    <row r="227" spans="1:17" ht="14.4" customHeight="1" x14ac:dyDescent="0.3">
      <c r="A227" s="660" t="s">
        <v>552</v>
      </c>
      <c r="B227" s="661" t="s">
        <v>3526</v>
      </c>
      <c r="C227" s="661" t="s">
        <v>3411</v>
      </c>
      <c r="D227" s="661" t="s">
        <v>3824</v>
      </c>
      <c r="E227" s="661" t="s">
        <v>3825</v>
      </c>
      <c r="F227" s="664">
        <v>3</v>
      </c>
      <c r="G227" s="664">
        <v>0</v>
      </c>
      <c r="H227" s="664"/>
      <c r="I227" s="664">
        <v>0</v>
      </c>
      <c r="J227" s="664">
        <v>6</v>
      </c>
      <c r="K227" s="664">
        <v>0</v>
      </c>
      <c r="L227" s="664"/>
      <c r="M227" s="664">
        <v>0</v>
      </c>
      <c r="N227" s="664">
        <v>2</v>
      </c>
      <c r="O227" s="664">
        <v>0</v>
      </c>
      <c r="P227" s="677"/>
      <c r="Q227" s="665">
        <v>0</v>
      </c>
    </row>
    <row r="228" spans="1:17" ht="14.4" customHeight="1" x14ac:dyDescent="0.3">
      <c r="A228" s="660" t="s">
        <v>552</v>
      </c>
      <c r="B228" s="661" t="s">
        <v>3526</v>
      </c>
      <c r="C228" s="661" t="s">
        <v>3411</v>
      </c>
      <c r="D228" s="661" t="s">
        <v>3826</v>
      </c>
      <c r="E228" s="661" t="s">
        <v>3827</v>
      </c>
      <c r="F228" s="664"/>
      <c r="G228" s="664"/>
      <c r="H228" s="664"/>
      <c r="I228" s="664"/>
      <c r="J228" s="664">
        <v>1</v>
      </c>
      <c r="K228" s="664">
        <v>0</v>
      </c>
      <c r="L228" s="664"/>
      <c r="M228" s="664">
        <v>0</v>
      </c>
      <c r="N228" s="664"/>
      <c r="O228" s="664"/>
      <c r="P228" s="677"/>
      <c r="Q228" s="665"/>
    </row>
    <row r="229" spans="1:17" ht="14.4" customHeight="1" x14ac:dyDescent="0.3">
      <c r="A229" s="660" t="s">
        <v>552</v>
      </c>
      <c r="B229" s="661" t="s">
        <v>3526</v>
      </c>
      <c r="C229" s="661" t="s">
        <v>3411</v>
      </c>
      <c r="D229" s="661" t="s">
        <v>3828</v>
      </c>
      <c r="E229" s="661" t="s">
        <v>3829</v>
      </c>
      <c r="F229" s="664">
        <v>11</v>
      </c>
      <c r="G229" s="664">
        <v>0</v>
      </c>
      <c r="H229" s="664"/>
      <c r="I229" s="664">
        <v>0</v>
      </c>
      <c r="J229" s="664">
        <v>17</v>
      </c>
      <c r="K229" s="664">
        <v>0</v>
      </c>
      <c r="L229" s="664"/>
      <c r="M229" s="664">
        <v>0</v>
      </c>
      <c r="N229" s="664">
        <v>9</v>
      </c>
      <c r="O229" s="664">
        <v>0</v>
      </c>
      <c r="P229" s="677"/>
      <c r="Q229" s="665">
        <v>0</v>
      </c>
    </row>
    <row r="230" spans="1:17" ht="14.4" customHeight="1" x14ac:dyDescent="0.3">
      <c r="A230" s="660" t="s">
        <v>552</v>
      </c>
      <c r="B230" s="661" t="s">
        <v>3526</v>
      </c>
      <c r="C230" s="661" t="s">
        <v>3411</v>
      </c>
      <c r="D230" s="661" t="s">
        <v>3830</v>
      </c>
      <c r="E230" s="661" t="s">
        <v>3831</v>
      </c>
      <c r="F230" s="664">
        <v>2</v>
      </c>
      <c r="G230" s="664">
        <v>3351</v>
      </c>
      <c r="H230" s="664">
        <v>1</v>
      </c>
      <c r="I230" s="664">
        <v>1675.5</v>
      </c>
      <c r="J230" s="664"/>
      <c r="K230" s="664"/>
      <c r="L230" s="664"/>
      <c r="M230" s="664"/>
      <c r="N230" s="664"/>
      <c r="O230" s="664"/>
      <c r="P230" s="677"/>
      <c r="Q230" s="665"/>
    </row>
    <row r="231" spans="1:17" ht="14.4" customHeight="1" x14ac:dyDescent="0.3">
      <c r="A231" s="660" t="s">
        <v>552</v>
      </c>
      <c r="B231" s="661" t="s">
        <v>3526</v>
      </c>
      <c r="C231" s="661" t="s">
        <v>3411</v>
      </c>
      <c r="D231" s="661" t="s">
        <v>3832</v>
      </c>
      <c r="E231" s="661" t="s">
        <v>3833</v>
      </c>
      <c r="F231" s="664">
        <v>7</v>
      </c>
      <c r="G231" s="664">
        <v>47859</v>
      </c>
      <c r="H231" s="664">
        <v>1</v>
      </c>
      <c r="I231" s="664">
        <v>6837</v>
      </c>
      <c r="J231" s="664">
        <v>2</v>
      </c>
      <c r="K231" s="664">
        <v>13674</v>
      </c>
      <c r="L231" s="664">
        <v>0.2857142857142857</v>
      </c>
      <c r="M231" s="664">
        <v>6837</v>
      </c>
      <c r="N231" s="664">
        <v>1</v>
      </c>
      <c r="O231" s="664">
        <v>6881</v>
      </c>
      <c r="P231" s="677">
        <v>0.14377651016527718</v>
      </c>
      <c r="Q231" s="665">
        <v>6881</v>
      </c>
    </row>
    <row r="232" spans="1:17" ht="14.4" customHeight="1" x14ac:dyDescent="0.3">
      <c r="A232" s="660" t="s">
        <v>552</v>
      </c>
      <c r="B232" s="661" t="s">
        <v>3526</v>
      </c>
      <c r="C232" s="661" t="s">
        <v>3411</v>
      </c>
      <c r="D232" s="661" t="s">
        <v>3834</v>
      </c>
      <c r="E232" s="661" t="s">
        <v>3835</v>
      </c>
      <c r="F232" s="664">
        <v>3</v>
      </c>
      <c r="G232" s="664">
        <v>0</v>
      </c>
      <c r="H232" s="664"/>
      <c r="I232" s="664">
        <v>0</v>
      </c>
      <c r="J232" s="664">
        <v>1</v>
      </c>
      <c r="K232" s="664">
        <v>0</v>
      </c>
      <c r="L232" s="664"/>
      <c r="M232" s="664">
        <v>0</v>
      </c>
      <c r="N232" s="664">
        <v>1</v>
      </c>
      <c r="O232" s="664">
        <v>0</v>
      </c>
      <c r="P232" s="677"/>
      <c r="Q232" s="665">
        <v>0</v>
      </c>
    </row>
    <row r="233" spans="1:17" ht="14.4" customHeight="1" x14ac:dyDescent="0.3">
      <c r="A233" s="660" t="s">
        <v>552</v>
      </c>
      <c r="B233" s="661" t="s">
        <v>3526</v>
      </c>
      <c r="C233" s="661" t="s">
        <v>3411</v>
      </c>
      <c r="D233" s="661" t="s">
        <v>3493</v>
      </c>
      <c r="E233" s="661" t="s">
        <v>3494</v>
      </c>
      <c r="F233" s="664"/>
      <c r="G233" s="664"/>
      <c r="H233" s="664"/>
      <c r="I233" s="664"/>
      <c r="J233" s="664">
        <v>98</v>
      </c>
      <c r="K233" s="664">
        <v>22736</v>
      </c>
      <c r="L233" s="664"/>
      <c r="M233" s="664">
        <v>232</v>
      </c>
      <c r="N233" s="664">
        <v>102</v>
      </c>
      <c r="O233" s="664">
        <v>23970</v>
      </c>
      <c r="P233" s="677"/>
      <c r="Q233" s="665">
        <v>235</v>
      </c>
    </row>
    <row r="234" spans="1:17" ht="14.4" customHeight="1" x14ac:dyDescent="0.3">
      <c r="A234" s="660" t="s">
        <v>552</v>
      </c>
      <c r="B234" s="661" t="s">
        <v>3526</v>
      </c>
      <c r="C234" s="661" t="s">
        <v>3411</v>
      </c>
      <c r="D234" s="661" t="s">
        <v>3836</v>
      </c>
      <c r="E234" s="661" t="s">
        <v>3403</v>
      </c>
      <c r="F234" s="664">
        <v>1</v>
      </c>
      <c r="G234" s="664">
        <v>247</v>
      </c>
      <c r="H234" s="664">
        <v>1</v>
      </c>
      <c r="I234" s="664">
        <v>247</v>
      </c>
      <c r="J234" s="664"/>
      <c r="K234" s="664"/>
      <c r="L234" s="664"/>
      <c r="M234" s="664"/>
      <c r="N234" s="664"/>
      <c r="O234" s="664"/>
      <c r="P234" s="677"/>
      <c r="Q234" s="665"/>
    </row>
    <row r="235" spans="1:17" ht="14.4" customHeight="1" x14ac:dyDescent="0.3">
      <c r="A235" s="660" t="s">
        <v>552</v>
      </c>
      <c r="B235" s="661" t="s">
        <v>3526</v>
      </c>
      <c r="C235" s="661" t="s">
        <v>3411</v>
      </c>
      <c r="D235" s="661" t="s">
        <v>3837</v>
      </c>
      <c r="E235" s="661" t="s">
        <v>3838</v>
      </c>
      <c r="F235" s="664">
        <v>5</v>
      </c>
      <c r="G235" s="664">
        <v>63800</v>
      </c>
      <c r="H235" s="664">
        <v>1</v>
      </c>
      <c r="I235" s="664">
        <v>12760</v>
      </c>
      <c r="J235" s="664">
        <v>3</v>
      </c>
      <c r="K235" s="664">
        <v>38280</v>
      </c>
      <c r="L235" s="664">
        <v>0.6</v>
      </c>
      <c r="M235" s="664">
        <v>12760</v>
      </c>
      <c r="N235" s="664">
        <v>5</v>
      </c>
      <c r="O235" s="664">
        <v>64165</v>
      </c>
      <c r="P235" s="677">
        <v>1.0057210031347963</v>
      </c>
      <c r="Q235" s="665">
        <v>12833</v>
      </c>
    </row>
    <row r="236" spans="1:17" ht="14.4" customHeight="1" x14ac:dyDescent="0.3">
      <c r="A236" s="660" t="s">
        <v>552</v>
      </c>
      <c r="B236" s="661" t="s">
        <v>3526</v>
      </c>
      <c r="C236" s="661" t="s">
        <v>3411</v>
      </c>
      <c r="D236" s="661" t="s">
        <v>3839</v>
      </c>
      <c r="E236" s="661" t="s">
        <v>3840</v>
      </c>
      <c r="F236" s="664">
        <v>3</v>
      </c>
      <c r="G236" s="664">
        <v>12600</v>
      </c>
      <c r="H236" s="664">
        <v>1</v>
      </c>
      <c r="I236" s="664">
        <v>4200</v>
      </c>
      <c r="J236" s="664"/>
      <c r="K236" s="664"/>
      <c r="L236" s="664"/>
      <c r="M236" s="664"/>
      <c r="N236" s="664">
        <v>1</v>
      </c>
      <c r="O236" s="664">
        <v>4234</v>
      </c>
      <c r="P236" s="677">
        <v>0.33603174603174601</v>
      </c>
      <c r="Q236" s="665">
        <v>4234</v>
      </c>
    </row>
    <row r="237" spans="1:17" ht="14.4" customHeight="1" x14ac:dyDescent="0.3">
      <c r="A237" s="660" t="s">
        <v>552</v>
      </c>
      <c r="B237" s="661" t="s">
        <v>3526</v>
      </c>
      <c r="C237" s="661" t="s">
        <v>3411</v>
      </c>
      <c r="D237" s="661" t="s">
        <v>3841</v>
      </c>
      <c r="E237" s="661" t="s">
        <v>3842</v>
      </c>
      <c r="F237" s="664">
        <v>5</v>
      </c>
      <c r="G237" s="664">
        <v>0</v>
      </c>
      <c r="H237" s="664"/>
      <c r="I237" s="664">
        <v>0</v>
      </c>
      <c r="J237" s="664">
        <v>1</v>
      </c>
      <c r="K237" s="664">
        <v>0</v>
      </c>
      <c r="L237" s="664"/>
      <c r="M237" s="664">
        <v>0</v>
      </c>
      <c r="N237" s="664"/>
      <c r="O237" s="664"/>
      <c r="P237" s="677"/>
      <c r="Q237" s="665"/>
    </row>
    <row r="238" spans="1:17" ht="14.4" customHeight="1" x14ac:dyDescent="0.3">
      <c r="A238" s="660" t="s">
        <v>552</v>
      </c>
      <c r="B238" s="661" t="s">
        <v>3526</v>
      </c>
      <c r="C238" s="661" t="s">
        <v>3411</v>
      </c>
      <c r="D238" s="661" t="s">
        <v>3843</v>
      </c>
      <c r="E238" s="661" t="s">
        <v>3844</v>
      </c>
      <c r="F238" s="664">
        <v>48</v>
      </c>
      <c r="G238" s="664">
        <v>0</v>
      </c>
      <c r="H238" s="664"/>
      <c r="I238" s="664">
        <v>0</v>
      </c>
      <c r="J238" s="664">
        <v>42</v>
      </c>
      <c r="K238" s="664">
        <v>0</v>
      </c>
      <c r="L238" s="664"/>
      <c r="M238" s="664">
        <v>0</v>
      </c>
      <c r="N238" s="664">
        <v>46</v>
      </c>
      <c r="O238" s="664">
        <v>0</v>
      </c>
      <c r="P238" s="677"/>
      <c r="Q238" s="665">
        <v>0</v>
      </c>
    </row>
    <row r="239" spans="1:17" ht="14.4" customHeight="1" x14ac:dyDescent="0.3">
      <c r="A239" s="660" t="s">
        <v>552</v>
      </c>
      <c r="B239" s="661" t="s">
        <v>3526</v>
      </c>
      <c r="C239" s="661" t="s">
        <v>3411</v>
      </c>
      <c r="D239" s="661" t="s">
        <v>3845</v>
      </c>
      <c r="E239" s="661" t="s">
        <v>3846</v>
      </c>
      <c r="F239" s="664">
        <v>2</v>
      </c>
      <c r="G239" s="664">
        <v>0</v>
      </c>
      <c r="H239" s="664"/>
      <c r="I239" s="664">
        <v>0</v>
      </c>
      <c r="J239" s="664">
        <v>4</v>
      </c>
      <c r="K239" s="664">
        <v>0</v>
      </c>
      <c r="L239" s="664"/>
      <c r="M239" s="664">
        <v>0</v>
      </c>
      <c r="N239" s="664">
        <v>3</v>
      </c>
      <c r="O239" s="664">
        <v>0</v>
      </c>
      <c r="P239" s="677"/>
      <c r="Q239" s="665">
        <v>0</v>
      </c>
    </row>
    <row r="240" spans="1:17" ht="14.4" customHeight="1" x14ac:dyDescent="0.3">
      <c r="A240" s="660" t="s">
        <v>552</v>
      </c>
      <c r="B240" s="661" t="s">
        <v>3526</v>
      </c>
      <c r="C240" s="661" t="s">
        <v>3411</v>
      </c>
      <c r="D240" s="661" t="s">
        <v>3847</v>
      </c>
      <c r="E240" s="661" t="s">
        <v>3848</v>
      </c>
      <c r="F240" s="664">
        <v>1</v>
      </c>
      <c r="G240" s="664">
        <v>4617</v>
      </c>
      <c r="H240" s="664">
        <v>1</v>
      </c>
      <c r="I240" s="664">
        <v>4617</v>
      </c>
      <c r="J240" s="664"/>
      <c r="K240" s="664"/>
      <c r="L240" s="664"/>
      <c r="M240" s="664"/>
      <c r="N240" s="664">
        <v>1</v>
      </c>
      <c r="O240" s="664">
        <v>4675</v>
      </c>
      <c r="P240" s="677">
        <v>1.0125622698722114</v>
      </c>
      <c r="Q240" s="665">
        <v>4675</v>
      </c>
    </row>
    <row r="241" spans="1:17" ht="14.4" customHeight="1" x14ac:dyDescent="0.3">
      <c r="A241" s="660" t="s">
        <v>552</v>
      </c>
      <c r="B241" s="661" t="s">
        <v>3526</v>
      </c>
      <c r="C241" s="661" t="s">
        <v>3411</v>
      </c>
      <c r="D241" s="661" t="s">
        <v>3849</v>
      </c>
      <c r="E241" s="661" t="s">
        <v>3850</v>
      </c>
      <c r="F241" s="664">
        <v>14</v>
      </c>
      <c r="G241" s="664">
        <v>0</v>
      </c>
      <c r="H241" s="664"/>
      <c r="I241" s="664">
        <v>0</v>
      </c>
      <c r="J241" s="664"/>
      <c r="K241" s="664"/>
      <c r="L241" s="664"/>
      <c r="M241" s="664"/>
      <c r="N241" s="664"/>
      <c r="O241" s="664"/>
      <c r="P241" s="677"/>
      <c r="Q241" s="665"/>
    </row>
    <row r="242" spans="1:17" ht="14.4" customHeight="1" x14ac:dyDescent="0.3">
      <c r="A242" s="660" t="s">
        <v>552</v>
      </c>
      <c r="B242" s="661" t="s">
        <v>3526</v>
      </c>
      <c r="C242" s="661" t="s">
        <v>3411</v>
      </c>
      <c r="D242" s="661" t="s">
        <v>3851</v>
      </c>
      <c r="E242" s="661" t="s">
        <v>3852</v>
      </c>
      <c r="F242" s="664">
        <v>2</v>
      </c>
      <c r="G242" s="664">
        <v>36671</v>
      </c>
      <c r="H242" s="664">
        <v>1</v>
      </c>
      <c r="I242" s="664">
        <v>18335.5</v>
      </c>
      <c r="J242" s="664">
        <v>1</v>
      </c>
      <c r="K242" s="664">
        <v>18350</v>
      </c>
      <c r="L242" s="664">
        <v>0.50039540781544001</v>
      </c>
      <c r="M242" s="664">
        <v>18350</v>
      </c>
      <c r="N242" s="664">
        <v>1</v>
      </c>
      <c r="O242" s="664">
        <v>18423</v>
      </c>
      <c r="P242" s="677">
        <v>0.50238608164489651</v>
      </c>
      <c r="Q242" s="665">
        <v>18423</v>
      </c>
    </row>
    <row r="243" spans="1:17" ht="14.4" customHeight="1" x14ac:dyDescent="0.3">
      <c r="A243" s="660" t="s">
        <v>552</v>
      </c>
      <c r="B243" s="661" t="s">
        <v>3526</v>
      </c>
      <c r="C243" s="661" t="s">
        <v>3411</v>
      </c>
      <c r="D243" s="661" t="s">
        <v>3853</v>
      </c>
      <c r="E243" s="661" t="s">
        <v>3854</v>
      </c>
      <c r="F243" s="664">
        <v>1</v>
      </c>
      <c r="G243" s="664">
        <v>0</v>
      </c>
      <c r="H243" s="664"/>
      <c r="I243" s="664">
        <v>0</v>
      </c>
      <c r="J243" s="664"/>
      <c r="K243" s="664"/>
      <c r="L243" s="664"/>
      <c r="M243" s="664"/>
      <c r="N243" s="664"/>
      <c r="O243" s="664"/>
      <c r="P243" s="677"/>
      <c r="Q243" s="665"/>
    </row>
    <row r="244" spans="1:17" ht="14.4" customHeight="1" x14ac:dyDescent="0.3">
      <c r="A244" s="660" t="s">
        <v>552</v>
      </c>
      <c r="B244" s="661" t="s">
        <v>3526</v>
      </c>
      <c r="C244" s="661" t="s">
        <v>3411</v>
      </c>
      <c r="D244" s="661" t="s">
        <v>3855</v>
      </c>
      <c r="E244" s="661" t="s">
        <v>3856</v>
      </c>
      <c r="F244" s="664">
        <v>2</v>
      </c>
      <c r="G244" s="664">
        <v>0</v>
      </c>
      <c r="H244" s="664"/>
      <c r="I244" s="664">
        <v>0</v>
      </c>
      <c r="J244" s="664">
        <v>1</v>
      </c>
      <c r="K244" s="664">
        <v>0</v>
      </c>
      <c r="L244" s="664"/>
      <c r="M244" s="664">
        <v>0</v>
      </c>
      <c r="N244" s="664">
        <v>1</v>
      </c>
      <c r="O244" s="664">
        <v>0</v>
      </c>
      <c r="P244" s="677"/>
      <c r="Q244" s="665">
        <v>0</v>
      </c>
    </row>
    <row r="245" spans="1:17" ht="14.4" customHeight="1" x14ac:dyDescent="0.3">
      <c r="A245" s="660" t="s">
        <v>552</v>
      </c>
      <c r="B245" s="661" t="s">
        <v>3526</v>
      </c>
      <c r="C245" s="661" t="s">
        <v>3411</v>
      </c>
      <c r="D245" s="661" t="s">
        <v>3857</v>
      </c>
      <c r="E245" s="661" t="s">
        <v>3858</v>
      </c>
      <c r="F245" s="664">
        <v>4</v>
      </c>
      <c r="G245" s="664">
        <v>0</v>
      </c>
      <c r="H245" s="664"/>
      <c r="I245" s="664">
        <v>0</v>
      </c>
      <c r="J245" s="664">
        <v>2</v>
      </c>
      <c r="K245" s="664">
        <v>0</v>
      </c>
      <c r="L245" s="664"/>
      <c r="M245" s="664">
        <v>0</v>
      </c>
      <c r="N245" s="664">
        <v>3</v>
      </c>
      <c r="O245" s="664">
        <v>0</v>
      </c>
      <c r="P245" s="677"/>
      <c r="Q245" s="665">
        <v>0</v>
      </c>
    </row>
    <row r="246" spans="1:17" ht="14.4" customHeight="1" x14ac:dyDescent="0.3">
      <c r="A246" s="660" t="s">
        <v>552</v>
      </c>
      <c r="B246" s="661" t="s">
        <v>3526</v>
      </c>
      <c r="C246" s="661" t="s">
        <v>3411</v>
      </c>
      <c r="D246" s="661" t="s">
        <v>3859</v>
      </c>
      <c r="E246" s="661" t="s">
        <v>3860</v>
      </c>
      <c r="F246" s="664">
        <v>3</v>
      </c>
      <c r="G246" s="664">
        <v>0</v>
      </c>
      <c r="H246" s="664"/>
      <c r="I246" s="664">
        <v>0</v>
      </c>
      <c r="J246" s="664"/>
      <c r="K246" s="664"/>
      <c r="L246" s="664"/>
      <c r="M246" s="664"/>
      <c r="N246" s="664"/>
      <c r="O246" s="664"/>
      <c r="P246" s="677"/>
      <c r="Q246" s="665"/>
    </row>
    <row r="247" spans="1:17" ht="14.4" customHeight="1" x14ac:dyDescent="0.3">
      <c r="A247" s="660" t="s">
        <v>552</v>
      </c>
      <c r="B247" s="661" t="s">
        <v>3526</v>
      </c>
      <c r="C247" s="661" t="s">
        <v>3411</v>
      </c>
      <c r="D247" s="661" t="s">
        <v>3861</v>
      </c>
      <c r="E247" s="661" t="s">
        <v>3733</v>
      </c>
      <c r="F247" s="664">
        <v>1</v>
      </c>
      <c r="G247" s="664">
        <v>0</v>
      </c>
      <c r="H247" s="664"/>
      <c r="I247" s="664">
        <v>0</v>
      </c>
      <c r="J247" s="664"/>
      <c r="K247" s="664"/>
      <c r="L247" s="664"/>
      <c r="M247" s="664"/>
      <c r="N247" s="664"/>
      <c r="O247" s="664"/>
      <c r="P247" s="677"/>
      <c r="Q247" s="665"/>
    </row>
    <row r="248" spans="1:17" ht="14.4" customHeight="1" x14ac:dyDescent="0.3">
      <c r="A248" s="660" t="s">
        <v>552</v>
      </c>
      <c r="B248" s="661" t="s">
        <v>3526</v>
      </c>
      <c r="C248" s="661" t="s">
        <v>3411</v>
      </c>
      <c r="D248" s="661" t="s">
        <v>3862</v>
      </c>
      <c r="E248" s="661" t="s">
        <v>3863</v>
      </c>
      <c r="F248" s="664">
        <v>2</v>
      </c>
      <c r="G248" s="664">
        <v>0</v>
      </c>
      <c r="H248" s="664"/>
      <c r="I248" s="664">
        <v>0</v>
      </c>
      <c r="J248" s="664">
        <v>24</v>
      </c>
      <c r="K248" s="664">
        <v>0</v>
      </c>
      <c r="L248" s="664"/>
      <c r="M248" s="664">
        <v>0</v>
      </c>
      <c r="N248" s="664">
        <v>29</v>
      </c>
      <c r="O248" s="664">
        <v>0</v>
      </c>
      <c r="P248" s="677"/>
      <c r="Q248" s="665">
        <v>0</v>
      </c>
    </row>
    <row r="249" spans="1:17" ht="14.4" customHeight="1" x14ac:dyDescent="0.3">
      <c r="A249" s="660" t="s">
        <v>552</v>
      </c>
      <c r="B249" s="661" t="s">
        <v>3526</v>
      </c>
      <c r="C249" s="661" t="s">
        <v>3411</v>
      </c>
      <c r="D249" s="661" t="s">
        <v>3864</v>
      </c>
      <c r="E249" s="661" t="s">
        <v>3865</v>
      </c>
      <c r="F249" s="664"/>
      <c r="G249" s="664"/>
      <c r="H249" s="664"/>
      <c r="I249" s="664"/>
      <c r="J249" s="664">
        <v>1</v>
      </c>
      <c r="K249" s="664">
        <v>0</v>
      </c>
      <c r="L249" s="664"/>
      <c r="M249" s="664">
        <v>0</v>
      </c>
      <c r="N249" s="664">
        <v>2</v>
      </c>
      <c r="O249" s="664">
        <v>0</v>
      </c>
      <c r="P249" s="677"/>
      <c r="Q249" s="665">
        <v>0</v>
      </c>
    </row>
    <row r="250" spans="1:17" ht="14.4" customHeight="1" x14ac:dyDescent="0.3">
      <c r="A250" s="660" t="s">
        <v>552</v>
      </c>
      <c r="B250" s="661" t="s">
        <v>3526</v>
      </c>
      <c r="C250" s="661" t="s">
        <v>3411</v>
      </c>
      <c r="D250" s="661" t="s">
        <v>3866</v>
      </c>
      <c r="E250" s="661" t="s">
        <v>3860</v>
      </c>
      <c r="F250" s="664">
        <v>3</v>
      </c>
      <c r="G250" s="664">
        <v>0</v>
      </c>
      <c r="H250" s="664"/>
      <c r="I250" s="664">
        <v>0</v>
      </c>
      <c r="J250" s="664"/>
      <c r="K250" s="664"/>
      <c r="L250" s="664"/>
      <c r="M250" s="664"/>
      <c r="N250" s="664"/>
      <c r="O250" s="664"/>
      <c r="P250" s="677"/>
      <c r="Q250" s="665"/>
    </row>
    <row r="251" spans="1:17" ht="14.4" customHeight="1" x14ac:dyDescent="0.3">
      <c r="A251" s="660" t="s">
        <v>552</v>
      </c>
      <c r="B251" s="661" t="s">
        <v>3526</v>
      </c>
      <c r="C251" s="661" t="s">
        <v>3411</v>
      </c>
      <c r="D251" s="661" t="s">
        <v>3507</v>
      </c>
      <c r="E251" s="661" t="s">
        <v>3508</v>
      </c>
      <c r="F251" s="664">
        <v>2</v>
      </c>
      <c r="G251" s="664">
        <v>2422</v>
      </c>
      <c r="H251" s="664">
        <v>1</v>
      </c>
      <c r="I251" s="664">
        <v>1211</v>
      </c>
      <c r="J251" s="664"/>
      <c r="K251" s="664"/>
      <c r="L251" s="664"/>
      <c r="M251" s="664"/>
      <c r="N251" s="664"/>
      <c r="O251" s="664"/>
      <c r="P251" s="677"/>
      <c r="Q251" s="665"/>
    </row>
    <row r="252" spans="1:17" ht="14.4" customHeight="1" x14ac:dyDescent="0.3">
      <c r="A252" s="660" t="s">
        <v>552</v>
      </c>
      <c r="B252" s="661" t="s">
        <v>3526</v>
      </c>
      <c r="C252" s="661" t="s">
        <v>3411</v>
      </c>
      <c r="D252" s="661" t="s">
        <v>3867</v>
      </c>
      <c r="E252" s="661" t="s">
        <v>3868</v>
      </c>
      <c r="F252" s="664">
        <v>3</v>
      </c>
      <c r="G252" s="664">
        <v>0</v>
      </c>
      <c r="H252" s="664"/>
      <c r="I252" s="664">
        <v>0</v>
      </c>
      <c r="J252" s="664">
        <v>6</v>
      </c>
      <c r="K252" s="664">
        <v>0</v>
      </c>
      <c r="L252" s="664"/>
      <c r="M252" s="664">
        <v>0</v>
      </c>
      <c r="N252" s="664">
        <v>1</v>
      </c>
      <c r="O252" s="664">
        <v>0</v>
      </c>
      <c r="P252" s="677"/>
      <c r="Q252" s="665">
        <v>0</v>
      </c>
    </row>
    <row r="253" spans="1:17" ht="14.4" customHeight="1" x14ac:dyDescent="0.3">
      <c r="A253" s="660" t="s">
        <v>552</v>
      </c>
      <c r="B253" s="661" t="s">
        <v>3526</v>
      </c>
      <c r="C253" s="661" t="s">
        <v>3411</v>
      </c>
      <c r="D253" s="661" t="s">
        <v>3869</v>
      </c>
      <c r="E253" s="661" t="s">
        <v>3870</v>
      </c>
      <c r="F253" s="664">
        <v>1</v>
      </c>
      <c r="G253" s="664">
        <v>0</v>
      </c>
      <c r="H253" s="664"/>
      <c r="I253" s="664">
        <v>0</v>
      </c>
      <c r="J253" s="664">
        <v>3</v>
      </c>
      <c r="K253" s="664">
        <v>0</v>
      </c>
      <c r="L253" s="664"/>
      <c r="M253" s="664">
        <v>0</v>
      </c>
      <c r="N253" s="664">
        <v>1</v>
      </c>
      <c r="O253" s="664">
        <v>0</v>
      </c>
      <c r="P253" s="677"/>
      <c r="Q253" s="665">
        <v>0</v>
      </c>
    </row>
    <row r="254" spans="1:17" ht="14.4" customHeight="1" x14ac:dyDescent="0.3">
      <c r="A254" s="660" t="s">
        <v>552</v>
      </c>
      <c r="B254" s="661" t="s">
        <v>3526</v>
      </c>
      <c r="C254" s="661" t="s">
        <v>3411</v>
      </c>
      <c r="D254" s="661" t="s">
        <v>3871</v>
      </c>
      <c r="E254" s="661" t="s">
        <v>3872</v>
      </c>
      <c r="F254" s="664">
        <v>3</v>
      </c>
      <c r="G254" s="664">
        <v>143964</v>
      </c>
      <c r="H254" s="664">
        <v>1</v>
      </c>
      <c r="I254" s="664">
        <v>47988</v>
      </c>
      <c r="J254" s="664">
        <v>3</v>
      </c>
      <c r="K254" s="664">
        <v>143964</v>
      </c>
      <c r="L254" s="664">
        <v>1</v>
      </c>
      <c r="M254" s="664">
        <v>47988</v>
      </c>
      <c r="N254" s="664">
        <v>1</v>
      </c>
      <c r="O254" s="664">
        <v>48208</v>
      </c>
      <c r="P254" s="677">
        <v>0.33486149315106556</v>
      </c>
      <c r="Q254" s="665">
        <v>48208</v>
      </c>
    </row>
    <row r="255" spans="1:17" ht="14.4" customHeight="1" x14ac:dyDescent="0.3">
      <c r="A255" s="660" t="s">
        <v>552</v>
      </c>
      <c r="B255" s="661" t="s">
        <v>3526</v>
      </c>
      <c r="C255" s="661" t="s">
        <v>3411</v>
      </c>
      <c r="D255" s="661" t="s">
        <v>3873</v>
      </c>
      <c r="E255" s="661" t="s">
        <v>3757</v>
      </c>
      <c r="F255" s="664">
        <v>1</v>
      </c>
      <c r="G255" s="664">
        <v>0</v>
      </c>
      <c r="H255" s="664"/>
      <c r="I255" s="664">
        <v>0</v>
      </c>
      <c r="J255" s="664"/>
      <c r="K255" s="664"/>
      <c r="L255" s="664"/>
      <c r="M255" s="664"/>
      <c r="N255" s="664">
        <v>2</v>
      </c>
      <c r="O255" s="664">
        <v>0</v>
      </c>
      <c r="P255" s="677"/>
      <c r="Q255" s="665">
        <v>0</v>
      </c>
    </row>
    <row r="256" spans="1:17" ht="14.4" customHeight="1" x14ac:dyDescent="0.3">
      <c r="A256" s="660" t="s">
        <v>552</v>
      </c>
      <c r="B256" s="661" t="s">
        <v>3526</v>
      </c>
      <c r="C256" s="661" t="s">
        <v>3411</v>
      </c>
      <c r="D256" s="661" t="s">
        <v>3874</v>
      </c>
      <c r="E256" s="661" t="s">
        <v>3875</v>
      </c>
      <c r="F256" s="664">
        <v>2</v>
      </c>
      <c r="G256" s="664">
        <v>0</v>
      </c>
      <c r="H256" s="664"/>
      <c r="I256" s="664">
        <v>0</v>
      </c>
      <c r="J256" s="664">
        <v>1</v>
      </c>
      <c r="K256" s="664">
        <v>0</v>
      </c>
      <c r="L256" s="664"/>
      <c r="M256" s="664">
        <v>0</v>
      </c>
      <c r="N256" s="664">
        <v>3</v>
      </c>
      <c r="O256" s="664">
        <v>0</v>
      </c>
      <c r="P256" s="677"/>
      <c r="Q256" s="665">
        <v>0</v>
      </c>
    </row>
    <row r="257" spans="1:17" ht="14.4" customHeight="1" x14ac:dyDescent="0.3">
      <c r="A257" s="660" t="s">
        <v>552</v>
      </c>
      <c r="B257" s="661" t="s">
        <v>3526</v>
      </c>
      <c r="C257" s="661" t="s">
        <v>3411</v>
      </c>
      <c r="D257" s="661" t="s">
        <v>3876</v>
      </c>
      <c r="E257" s="661" t="s">
        <v>3803</v>
      </c>
      <c r="F257" s="664">
        <v>1</v>
      </c>
      <c r="G257" s="664">
        <v>60858</v>
      </c>
      <c r="H257" s="664">
        <v>1</v>
      </c>
      <c r="I257" s="664">
        <v>60858</v>
      </c>
      <c r="J257" s="664">
        <v>2</v>
      </c>
      <c r="K257" s="664">
        <v>121716</v>
      </c>
      <c r="L257" s="664">
        <v>2</v>
      </c>
      <c r="M257" s="664">
        <v>60858</v>
      </c>
      <c r="N257" s="664"/>
      <c r="O257" s="664"/>
      <c r="P257" s="677"/>
      <c r="Q257" s="665"/>
    </row>
    <row r="258" spans="1:17" ht="14.4" customHeight="1" x14ac:dyDescent="0.3">
      <c r="A258" s="660" t="s">
        <v>552</v>
      </c>
      <c r="B258" s="661" t="s">
        <v>3526</v>
      </c>
      <c r="C258" s="661" t="s">
        <v>3411</v>
      </c>
      <c r="D258" s="661" t="s">
        <v>3877</v>
      </c>
      <c r="E258" s="661" t="s">
        <v>3878</v>
      </c>
      <c r="F258" s="664">
        <v>1</v>
      </c>
      <c r="G258" s="664">
        <v>0</v>
      </c>
      <c r="H258" s="664"/>
      <c r="I258" s="664">
        <v>0</v>
      </c>
      <c r="J258" s="664"/>
      <c r="K258" s="664"/>
      <c r="L258" s="664"/>
      <c r="M258" s="664"/>
      <c r="N258" s="664">
        <v>1</v>
      </c>
      <c r="O258" s="664">
        <v>0</v>
      </c>
      <c r="P258" s="677"/>
      <c r="Q258" s="665">
        <v>0</v>
      </c>
    </row>
    <row r="259" spans="1:17" ht="14.4" customHeight="1" x14ac:dyDescent="0.3">
      <c r="A259" s="660" t="s">
        <v>552</v>
      </c>
      <c r="B259" s="661" t="s">
        <v>3526</v>
      </c>
      <c r="C259" s="661" t="s">
        <v>3411</v>
      </c>
      <c r="D259" s="661" t="s">
        <v>3879</v>
      </c>
      <c r="E259" s="661" t="s">
        <v>3880</v>
      </c>
      <c r="F259" s="664"/>
      <c r="G259" s="664"/>
      <c r="H259" s="664"/>
      <c r="I259" s="664"/>
      <c r="J259" s="664">
        <v>1</v>
      </c>
      <c r="K259" s="664">
        <v>0</v>
      </c>
      <c r="L259" s="664"/>
      <c r="M259" s="664">
        <v>0</v>
      </c>
      <c r="N259" s="664"/>
      <c r="O259" s="664"/>
      <c r="P259" s="677"/>
      <c r="Q259" s="665"/>
    </row>
    <row r="260" spans="1:17" ht="14.4" customHeight="1" x14ac:dyDescent="0.3">
      <c r="A260" s="660" t="s">
        <v>552</v>
      </c>
      <c r="B260" s="661" t="s">
        <v>3526</v>
      </c>
      <c r="C260" s="661" t="s">
        <v>3411</v>
      </c>
      <c r="D260" s="661" t="s">
        <v>3881</v>
      </c>
      <c r="E260" s="661" t="s">
        <v>3882</v>
      </c>
      <c r="F260" s="664"/>
      <c r="G260" s="664"/>
      <c r="H260" s="664"/>
      <c r="I260" s="664"/>
      <c r="J260" s="664">
        <v>2</v>
      </c>
      <c r="K260" s="664">
        <v>0</v>
      </c>
      <c r="L260" s="664"/>
      <c r="M260" s="664">
        <v>0</v>
      </c>
      <c r="N260" s="664"/>
      <c r="O260" s="664"/>
      <c r="P260" s="677"/>
      <c r="Q260" s="665"/>
    </row>
    <row r="261" spans="1:17" ht="14.4" customHeight="1" x14ac:dyDescent="0.3">
      <c r="A261" s="660" t="s">
        <v>552</v>
      </c>
      <c r="B261" s="661" t="s">
        <v>3526</v>
      </c>
      <c r="C261" s="661" t="s">
        <v>3411</v>
      </c>
      <c r="D261" s="661" t="s">
        <v>3883</v>
      </c>
      <c r="E261" s="661" t="s">
        <v>3884</v>
      </c>
      <c r="F261" s="664"/>
      <c r="G261" s="664"/>
      <c r="H261" s="664"/>
      <c r="I261" s="664"/>
      <c r="J261" s="664">
        <v>1</v>
      </c>
      <c r="K261" s="664">
        <v>0</v>
      </c>
      <c r="L261" s="664"/>
      <c r="M261" s="664">
        <v>0</v>
      </c>
      <c r="N261" s="664"/>
      <c r="O261" s="664"/>
      <c r="P261" s="677"/>
      <c r="Q261" s="665"/>
    </row>
    <row r="262" spans="1:17" ht="14.4" customHeight="1" x14ac:dyDescent="0.3">
      <c r="A262" s="660" t="s">
        <v>552</v>
      </c>
      <c r="B262" s="661" t="s">
        <v>3526</v>
      </c>
      <c r="C262" s="661" t="s">
        <v>3411</v>
      </c>
      <c r="D262" s="661" t="s">
        <v>3885</v>
      </c>
      <c r="E262" s="661" t="s">
        <v>3886</v>
      </c>
      <c r="F262" s="664"/>
      <c r="G262" s="664"/>
      <c r="H262" s="664"/>
      <c r="I262" s="664"/>
      <c r="J262" s="664">
        <v>1</v>
      </c>
      <c r="K262" s="664">
        <v>0</v>
      </c>
      <c r="L262" s="664"/>
      <c r="M262" s="664">
        <v>0</v>
      </c>
      <c r="N262" s="664"/>
      <c r="O262" s="664"/>
      <c r="P262" s="677"/>
      <c r="Q262" s="665"/>
    </row>
    <row r="263" spans="1:17" ht="14.4" customHeight="1" x14ac:dyDescent="0.3">
      <c r="A263" s="660" t="s">
        <v>552</v>
      </c>
      <c r="B263" s="661" t="s">
        <v>3526</v>
      </c>
      <c r="C263" s="661" t="s">
        <v>3411</v>
      </c>
      <c r="D263" s="661" t="s">
        <v>3887</v>
      </c>
      <c r="E263" s="661" t="s">
        <v>3888</v>
      </c>
      <c r="F263" s="664"/>
      <c r="G263" s="664"/>
      <c r="H263" s="664"/>
      <c r="I263" s="664"/>
      <c r="J263" s="664">
        <v>1</v>
      </c>
      <c r="K263" s="664">
        <v>0</v>
      </c>
      <c r="L263" s="664"/>
      <c r="M263" s="664">
        <v>0</v>
      </c>
      <c r="N263" s="664"/>
      <c r="O263" s="664"/>
      <c r="P263" s="677"/>
      <c r="Q263" s="665"/>
    </row>
    <row r="264" spans="1:17" ht="14.4" customHeight="1" x14ac:dyDescent="0.3">
      <c r="A264" s="660" t="s">
        <v>552</v>
      </c>
      <c r="B264" s="661" t="s">
        <v>3526</v>
      </c>
      <c r="C264" s="661" t="s">
        <v>3411</v>
      </c>
      <c r="D264" s="661" t="s">
        <v>3889</v>
      </c>
      <c r="E264" s="661" t="s">
        <v>3890</v>
      </c>
      <c r="F264" s="664"/>
      <c r="G264" s="664"/>
      <c r="H264" s="664"/>
      <c r="I264" s="664"/>
      <c r="J264" s="664">
        <v>1</v>
      </c>
      <c r="K264" s="664">
        <v>0</v>
      </c>
      <c r="L264" s="664"/>
      <c r="M264" s="664">
        <v>0</v>
      </c>
      <c r="N264" s="664"/>
      <c r="O264" s="664"/>
      <c r="P264" s="677"/>
      <c r="Q264" s="665"/>
    </row>
    <row r="265" spans="1:17" ht="14.4" customHeight="1" x14ac:dyDescent="0.3">
      <c r="A265" s="660" t="s">
        <v>552</v>
      </c>
      <c r="B265" s="661" t="s">
        <v>3526</v>
      </c>
      <c r="C265" s="661" t="s">
        <v>3411</v>
      </c>
      <c r="D265" s="661" t="s">
        <v>3891</v>
      </c>
      <c r="E265" s="661" t="s">
        <v>3892</v>
      </c>
      <c r="F265" s="664"/>
      <c r="G265" s="664"/>
      <c r="H265" s="664"/>
      <c r="I265" s="664"/>
      <c r="J265" s="664">
        <v>2</v>
      </c>
      <c r="K265" s="664">
        <v>0</v>
      </c>
      <c r="L265" s="664"/>
      <c r="M265" s="664">
        <v>0</v>
      </c>
      <c r="N265" s="664"/>
      <c r="O265" s="664"/>
      <c r="P265" s="677"/>
      <c r="Q265" s="665"/>
    </row>
    <row r="266" spans="1:17" ht="14.4" customHeight="1" x14ac:dyDescent="0.3">
      <c r="A266" s="660" t="s">
        <v>552</v>
      </c>
      <c r="B266" s="661" t="s">
        <v>3526</v>
      </c>
      <c r="C266" s="661" t="s">
        <v>3411</v>
      </c>
      <c r="D266" s="661" t="s">
        <v>3893</v>
      </c>
      <c r="E266" s="661" t="s">
        <v>3888</v>
      </c>
      <c r="F266" s="664"/>
      <c r="G266" s="664"/>
      <c r="H266" s="664"/>
      <c r="I266" s="664"/>
      <c r="J266" s="664"/>
      <c r="K266" s="664"/>
      <c r="L266" s="664"/>
      <c r="M266" s="664"/>
      <c r="N266" s="664">
        <v>1</v>
      </c>
      <c r="O266" s="664">
        <v>0</v>
      </c>
      <c r="P266" s="677"/>
      <c r="Q266" s="665">
        <v>0</v>
      </c>
    </row>
    <row r="267" spans="1:17" ht="14.4" customHeight="1" x14ac:dyDescent="0.3">
      <c r="A267" s="660" t="s">
        <v>552</v>
      </c>
      <c r="B267" s="661" t="s">
        <v>3526</v>
      </c>
      <c r="C267" s="661" t="s">
        <v>3411</v>
      </c>
      <c r="D267" s="661" t="s">
        <v>3894</v>
      </c>
      <c r="E267" s="661" t="s">
        <v>3895</v>
      </c>
      <c r="F267" s="664"/>
      <c r="G267" s="664"/>
      <c r="H267" s="664"/>
      <c r="I267" s="664"/>
      <c r="J267" s="664"/>
      <c r="K267" s="664"/>
      <c r="L267" s="664"/>
      <c r="M267" s="664"/>
      <c r="N267" s="664">
        <v>1</v>
      </c>
      <c r="O267" s="664">
        <v>0</v>
      </c>
      <c r="P267" s="677"/>
      <c r="Q267" s="665">
        <v>0</v>
      </c>
    </row>
    <row r="268" spans="1:17" ht="14.4" customHeight="1" x14ac:dyDescent="0.3">
      <c r="A268" s="660" t="s">
        <v>552</v>
      </c>
      <c r="B268" s="661" t="s">
        <v>3526</v>
      </c>
      <c r="C268" s="661" t="s">
        <v>3411</v>
      </c>
      <c r="D268" s="661" t="s">
        <v>3896</v>
      </c>
      <c r="E268" s="661" t="s">
        <v>3897</v>
      </c>
      <c r="F268" s="664"/>
      <c r="G268" s="664"/>
      <c r="H268" s="664"/>
      <c r="I268" s="664"/>
      <c r="J268" s="664"/>
      <c r="K268" s="664"/>
      <c r="L268" s="664"/>
      <c r="M268" s="664"/>
      <c r="N268" s="664">
        <v>1</v>
      </c>
      <c r="O268" s="664">
        <v>0</v>
      </c>
      <c r="P268" s="677"/>
      <c r="Q268" s="665">
        <v>0</v>
      </c>
    </row>
    <row r="269" spans="1:17" ht="14.4" customHeight="1" x14ac:dyDescent="0.3">
      <c r="A269" s="660" t="s">
        <v>552</v>
      </c>
      <c r="B269" s="661" t="s">
        <v>3526</v>
      </c>
      <c r="C269" s="661" t="s">
        <v>3411</v>
      </c>
      <c r="D269" s="661" t="s">
        <v>3898</v>
      </c>
      <c r="E269" s="661" t="s">
        <v>3899</v>
      </c>
      <c r="F269" s="664"/>
      <c r="G269" s="664"/>
      <c r="H269" s="664"/>
      <c r="I269" s="664"/>
      <c r="J269" s="664"/>
      <c r="K269" s="664"/>
      <c r="L269" s="664"/>
      <c r="M269" s="664"/>
      <c r="N269" s="664">
        <v>1</v>
      </c>
      <c r="O269" s="664">
        <v>0</v>
      </c>
      <c r="P269" s="677"/>
      <c r="Q269" s="665">
        <v>0</v>
      </c>
    </row>
    <row r="270" spans="1:17" ht="14.4" customHeight="1" x14ac:dyDescent="0.3">
      <c r="A270" s="660" t="s">
        <v>552</v>
      </c>
      <c r="B270" s="661" t="s">
        <v>3526</v>
      </c>
      <c r="C270" s="661" t="s">
        <v>3411</v>
      </c>
      <c r="D270" s="661" t="s">
        <v>3900</v>
      </c>
      <c r="E270" s="661" t="s">
        <v>3901</v>
      </c>
      <c r="F270" s="664"/>
      <c r="G270" s="664"/>
      <c r="H270" s="664"/>
      <c r="I270" s="664"/>
      <c r="J270" s="664"/>
      <c r="K270" s="664"/>
      <c r="L270" s="664"/>
      <c r="M270" s="664"/>
      <c r="N270" s="664">
        <v>1</v>
      </c>
      <c r="O270" s="664">
        <v>0</v>
      </c>
      <c r="P270" s="677"/>
      <c r="Q270" s="665">
        <v>0</v>
      </c>
    </row>
    <row r="271" spans="1:17" ht="14.4" customHeight="1" x14ac:dyDescent="0.3">
      <c r="A271" s="660" t="s">
        <v>552</v>
      </c>
      <c r="B271" s="661" t="s">
        <v>3526</v>
      </c>
      <c r="C271" s="661" t="s">
        <v>3411</v>
      </c>
      <c r="D271" s="661" t="s">
        <v>3902</v>
      </c>
      <c r="E271" s="661" t="s">
        <v>3903</v>
      </c>
      <c r="F271" s="664"/>
      <c r="G271" s="664"/>
      <c r="H271" s="664"/>
      <c r="I271" s="664"/>
      <c r="J271" s="664"/>
      <c r="K271" s="664"/>
      <c r="L271" s="664"/>
      <c r="M271" s="664"/>
      <c r="N271" s="664">
        <v>1</v>
      </c>
      <c r="O271" s="664">
        <v>0</v>
      </c>
      <c r="P271" s="677"/>
      <c r="Q271" s="665">
        <v>0</v>
      </c>
    </row>
    <row r="272" spans="1:17" ht="14.4" customHeight="1" x14ac:dyDescent="0.3">
      <c r="A272" s="660" t="s">
        <v>552</v>
      </c>
      <c r="B272" s="661" t="s">
        <v>3904</v>
      </c>
      <c r="C272" s="661" t="s">
        <v>3411</v>
      </c>
      <c r="D272" s="661" t="s">
        <v>3905</v>
      </c>
      <c r="E272" s="661" t="s">
        <v>3906</v>
      </c>
      <c r="F272" s="664"/>
      <c r="G272" s="664"/>
      <c r="H272" s="664"/>
      <c r="I272" s="664"/>
      <c r="J272" s="664">
        <v>4</v>
      </c>
      <c r="K272" s="664">
        <v>688</v>
      </c>
      <c r="L272" s="664"/>
      <c r="M272" s="664">
        <v>172</v>
      </c>
      <c r="N272" s="664"/>
      <c r="O272" s="664"/>
      <c r="P272" s="677"/>
      <c r="Q272" s="665"/>
    </row>
    <row r="273" spans="1:17" ht="14.4" customHeight="1" x14ac:dyDescent="0.3">
      <c r="A273" s="660" t="s">
        <v>552</v>
      </c>
      <c r="B273" s="661" t="s">
        <v>3904</v>
      </c>
      <c r="C273" s="661" t="s">
        <v>3411</v>
      </c>
      <c r="D273" s="661" t="s">
        <v>3907</v>
      </c>
      <c r="E273" s="661" t="s">
        <v>3908</v>
      </c>
      <c r="F273" s="664"/>
      <c r="G273" s="664"/>
      <c r="H273" s="664"/>
      <c r="I273" s="664"/>
      <c r="J273" s="664">
        <v>2</v>
      </c>
      <c r="K273" s="664">
        <v>7142</v>
      </c>
      <c r="L273" s="664"/>
      <c r="M273" s="664">
        <v>3571</v>
      </c>
      <c r="N273" s="664"/>
      <c r="O273" s="664"/>
      <c r="P273" s="677"/>
      <c r="Q273" s="665"/>
    </row>
    <row r="274" spans="1:17" ht="14.4" customHeight="1" x14ac:dyDescent="0.3">
      <c r="A274" s="660" t="s">
        <v>552</v>
      </c>
      <c r="B274" s="661" t="s">
        <v>3904</v>
      </c>
      <c r="C274" s="661" t="s">
        <v>3411</v>
      </c>
      <c r="D274" s="661" t="s">
        <v>3909</v>
      </c>
      <c r="E274" s="661" t="s">
        <v>3910</v>
      </c>
      <c r="F274" s="664"/>
      <c r="G274" s="664"/>
      <c r="H274" s="664"/>
      <c r="I274" s="664"/>
      <c r="J274" s="664">
        <v>2</v>
      </c>
      <c r="K274" s="664">
        <v>2976</v>
      </c>
      <c r="L274" s="664"/>
      <c r="M274" s="664">
        <v>1488</v>
      </c>
      <c r="N274" s="664"/>
      <c r="O274" s="664"/>
      <c r="P274" s="677"/>
      <c r="Q274" s="665"/>
    </row>
    <row r="275" spans="1:17" ht="14.4" customHeight="1" x14ac:dyDescent="0.3">
      <c r="A275" s="660" t="s">
        <v>552</v>
      </c>
      <c r="B275" s="661" t="s">
        <v>3904</v>
      </c>
      <c r="C275" s="661" t="s">
        <v>3411</v>
      </c>
      <c r="D275" s="661" t="s">
        <v>3911</v>
      </c>
      <c r="E275" s="661" t="s">
        <v>3912</v>
      </c>
      <c r="F275" s="664"/>
      <c r="G275" s="664"/>
      <c r="H275" s="664"/>
      <c r="I275" s="664"/>
      <c r="J275" s="664">
        <v>1</v>
      </c>
      <c r="K275" s="664">
        <v>2678</v>
      </c>
      <c r="L275" s="664"/>
      <c r="M275" s="664">
        <v>2678</v>
      </c>
      <c r="N275" s="664"/>
      <c r="O275" s="664"/>
      <c r="P275" s="677"/>
      <c r="Q275" s="665"/>
    </row>
    <row r="276" spans="1:17" ht="14.4" customHeight="1" x14ac:dyDescent="0.3">
      <c r="A276" s="660" t="s">
        <v>552</v>
      </c>
      <c r="B276" s="661" t="s">
        <v>3904</v>
      </c>
      <c r="C276" s="661" t="s">
        <v>3411</v>
      </c>
      <c r="D276" s="661" t="s">
        <v>3913</v>
      </c>
      <c r="E276" s="661" t="s">
        <v>3914</v>
      </c>
      <c r="F276" s="664"/>
      <c r="G276" s="664"/>
      <c r="H276" s="664"/>
      <c r="I276" s="664"/>
      <c r="J276" s="664">
        <v>2</v>
      </c>
      <c r="K276" s="664">
        <v>2208</v>
      </c>
      <c r="L276" s="664"/>
      <c r="M276" s="664">
        <v>1104</v>
      </c>
      <c r="N276" s="664"/>
      <c r="O276" s="664"/>
      <c r="P276" s="677"/>
      <c r="Q276" s="665"/>
    </row>
    <row r="277" spans="1:17" ht="14.4" customHeight="1" x14ac:dyDescent="0.3">
      <c r="A277" s="660" t="s">
        <v>552</v>
      </c>
      <c r="B277" s="661" t="s">
        <v>3904</v>
      </c>
      <c r="C277" s="661" t="s">
        <v>3411</v>
      </c>
      <c r="D277" s="661" t="s">
        <v>3915</v>
      </c>
      <c r="E277" s="661" t="s">
        <v>3916</v>
      </c>
      <c r="F277" s="664"/>
      <c r="G277" s="664"/>
      <c r="H277" s="664"/>
      <c r="I277" s="664"/>
      <c r="J277" s="664">
        <v>1</v>
      </c>
      <c r="K277" s="664">
        <v>5298</v>
      </c>
      <c r="L277" s="664"/>
      <c r="M277" s="664">
        <v>5298</v>
      </c>
      <c r="N277" s="664"/>
      <c r="O277" s="664"/>
      <c r="P277" s="677"/>
      <c r="Q277" s="665"/>
    </row>
    <row r="278" spans="1:17" ht="14.4" customHeight="1" x14ac:dyDescent="0.3">
      <c r="A278" s="660" t="s">
        <v>552</v>
      </c>
      <c r="B278" s="661" t="s">
        <v>3904</v>
      </c>
      <c r="C278" s="661" t="s">
        <v>3411</v>
      </c>
      <c r="D278" s="661" t="s">
        <v>3917</v>
      </c>
      <c r="E278" s="661" t="s">
        <v>3918</v>
      </c>
      <c r="F278" s="664"/>
      <c r="G278" s="664"/>
      <c r="H278" s="664"/>
      <c r="I278" s="664"/>
      <c r="J278" s="664">
        <v>4</v>
      </c>
      <c r="K278" s="664">
        <v>4956</v>
      </c>
      <c r="L278" s="664"/>
      <c r="M278" s="664">
        <v>1239</v>
      </c>
      <c r="N278" s="664"/>
      <c r="O278" s="664"/>
      <c r="P278" s="677"/>
      <c r="Q278" s="665"/>
    </row>
    <row r="279" spans="1:17" ht="14.4" customHeight="1" x14ac:dyDescent="0.3">
      <c r="A279" s="660" t="s">
        <v>552</v>
      </c>
      <c r="B279" s="661" t="s">
        <v>3904</v>
      </c>
      <c r="C279" s="661" t="s">
        <v>3411</v>
      </c>
      <c r="D279" s="661" t="s">
        <v>3919</v>
      </c>
      <c r="E279" s="661" t="s">
        <v>3920</v>
      </c>
      <c r="F279" s="664"/>
      <c r="G279" s="664"/>
      <c r="H279" s="664"/>
      <c r="I279" s="664"/>
      <c r="J279" s="664">
        <v>3</v>
      </c>
      <c r="K279" s="664">
        <v>1326</v>
      </c>
      <c r="L279" s="664"/>
      <c r="M279" s="664">
        <v>442</v>
      </c>
      <c r="N279" s="664"/>
      <c r="O279" s="664"/>
      <c r="P279" s="677"/>
      <c r="Q279" s="665"/>
    </row>
    <row r="280" spans="1:17" ht="14.4" customHeight="1" x14ac:dyDescent="0.3">
      <c r="A280" s="660" t="s">
        <v>552</v>
      </c>
      <c r="B280" s="661" t="s">
        <v>3921</v>
      </c>
      <c r="C280" s="661" t="s">
        <v>3527</v>
      </c>
      <c r="D280" s="661" t="s">
        <v>3922</v>
      </c>
      <c r="E280" s="661" t="s">
        <v>1888</v>
      </c>
      <c r="F280" s="664"/>
      <c r="G280" s="664"/>
      <c r="H280" s="664"/>
      <c r="I280" s="664"/>
      <c r="J280" s="664">
        <v>1.5</v>
      </c>
      <c r="K280" s="664">
        <v>959.94</v>
      </c>
      <c r="L280" s="664"/>
      <c r="M280" s="664">
        <v>639.96</v>
      </c>
      <c r="N280" s="664"/>
      <c r="O280" s="664"/>
      <c r="P280" s="677"/>
      <c r="Q280" s="665"/>
    </row>
    <row r="281" spans="1:17" ht="14.4" customHeight="1" x14ac:dyDescent="0.3">
      <c r="A281" s="660" t="s">
        <v>552</v>
      </c>
      <c r="B281" s="661" t="s">
        <v>3921</v>
      </c>
      <c r="C281" s="661" t="s">
        <v>3527</v>
      </c>
      <c r="D281" s="661" t="s">
        <v>3534</v>
      </c>
      <c r="E281" s="661" t="s">
        <v>3403</v>
      </c>
      <c r="F281" s="664">
        <v>1.4</v>
      </c>
      <c r="G281" s="664">
        <v>1511.04</v>
      </c>
      <c r="H281" s="664">
        <v>1</v>
      </c>
      <c r="I281" s="664">
        <v>1079.3142857142857</v>
      </c>
      <c r="J281" s="664"/>
      <c r="K281" s="664"/>
      <c r="L281" s="664"/>
      <c r="M281" s="664"/>
      <c r="N281" s="664"/>
      <c r="O281" s="664"/>
      <c r="P281" s="677"/>
      <c r="Q281" s="665"/>
    </row>
    <row r="282" spans="1:17" ht="14.4" customHeight="1" x14ac:dyDescent="0.3">
      <c r="A282" s="660" t="s">
        <v>552</v>
      </c>
      <c r="B282" s="661" t="s">
        <v>3921</v>
      </c>
      <c r="C282" s="661" t="s">
        <v>3527</v>
      </c>
      <c r="D282" s="661" t="s">
        <v>3535</v>
      </c>
      <c r="E282" s="661" t="s">
        <v>1220</v>
      </c>
      <c r="F282" s="664">
        <v>129</v>
      </c>
      <c r="G282" s="664">
        <v>8715.6999999999989</v>
      </c>
      <c r="H282" s="664">
        <v>1</v>
      </c>
      <c r="I282" s="664">
        <v>67.563565891472862</v>
      </c>
      <c r="J282" s="664">
        <v>96</v>
      </c>
      <c r="K282" s="664">
        <v>5860.8</v>
      </c>
      <c r="L282" s="664">
        <v>0.67244168569363338</v>
      </c>
      <c r="M282" s="664">
        <v>61.050000000000004</v>
      </c>
      <c r="N282" s="664">
        <v>106.3</v>
      </c>
      <c r="O282" s="664">
        <v>6287.42</v>
      </c>
      <c r="P282" s="677">
        <v>0.7213901350436569</v>
      </c>
      <c r="Q282" s="665">
        <v>59.147883349012233</v>
      </c>
    </row>
    <row r="283" spans="1:17" ht="14.4" customHeight="1" x14ac:dyDescent="0.3">
      <c r="A283" s="660" t="s">
        <v>552</v>
      </c>
      <c r="B283" s="661" t="s">
        <v>3921</v>
      </c>
      <c r="C283" s="661" t="s">
        <v>3527</v>
      </c>
      <c r="D283" s="661" t="s">
        <v>3923</v>
      </c>
      <c r="E283" s="661" t="s">
        <v>3924</v>
      </c>
      <c r="F283" s="664">
        <v>32</v>
      </c>
      <c r="G283" s="664">
        <v>112077.08</v>
      </c>
      <c r="H283" s="664">
        <v>1</v>
      </c>
      <c r="I283" s="664">
        <v>3502.4087500000001</v>
      </c>
      <c r="J283" s="664"/>
      <c r="K283" s="664"/>
      <c r="L283" s="664"/>
      <c r="M283" s="664"/>
      <c r="N283" s="664"/>
      <c r="O283" s="664"/>
      <c r="P283" s="677"/>
      <c r="Q283" s="665"/>
    </row>
    <row r="284" spans="1:17" ht="14.4" customHeight="1" x14ac:dyDescent="0.3">
      <c r="A284" s="660" t="s">
        <v>552</v>
      </c>
      <c r="B284" s="661" t="s">
        <v>3921</v>
      </c>
      <c r="C284" s="661" t="s">
        <v>3527</v>
      </c>
      <c r="D284" s="661" t="s">
        <v>3538</v>
      </c>
      <c r="E284" s="661" t="s">
        <v>1865</v>
      </c>
      <c r="F284" s="664">
        <v>44</v>
      </c>
      <c r="G284" s="664">
        <v>2551.44</v>
      </c>
      <c r="H284" s="664">
        <v>1</v>
      </c>
      <c r="I284" s="664">
        <v>57.987272727272732</v>
      </c>
      <c r="J284" s="664">
        <v>13</v>
      </c>
      <c r="K284" s="664">
        <v>524.67999999999995</v>
      </c>
      <c r="L284" s="664">
        <v>0.20564073621170786</v>
      </c>
      <c r="M284" s="664">
        <v>40.36</v>
      </c>
      <c r="N284" s="664">
        <v>26</v>
      </c>
      <c r="O284" s="664">
        <v>1003.86</v>
      </c>
      <c r="P284" s="677">
        <v>0.39344840560624589</v>
      </c>
      <c r="Q284" s="665">
        <v>38.61</v>
      </c>
    </row>
    <row r="285" spans="1:17" ht="14.4" customHeight="1" x14ac:dyDescent="0.3">
      <c r="A285" s="660" t="s">
        <v>552</v>
      </c>
      <c r="B285" s="661" t="s">
        <v>3921</v>
      </c>
      <c r="C285" s="661" t="s">
        <v>3527</v>
      </c>
      <c r="D285" s="661" t="s">
        <v>3925</v>
      </c>
      <c r="E285" s="661" t="s">
        <v>3403</v>
      </c>
      <c r="F285" s="664">
        <v>35</v>
      </c>
      <c r="G285" s="664">
        <v>9585.17</v>
      </c>
      <c r="H285" s="664">
        <v>1</v>
      </c>
      <c r="I285" s="664">
        <v>273.86200000000002</v>
      </c>
      <c r="J285" s="664"/>
      <c r="K285" s="664"/>
      <c r="L285" s="664"/>
      <c r="M285" s="664"/>
      <c r="N285" s="664"/>
      <c r="O285" s="664"/>
      <c r="P285" s="677"/>
      <c r="Q285" s="665"/>
    </row>
    <row r="286" spans="1:17" ht="14.4" customHeight="1" x14ac:dyDescent="0.3">
      <c r="A286" s="660" t="s">
        <v>552</v>
      </c>
      <c r="B286" s="661" t="s">
        <v>3921</v>
      </c>
      <c r="C286" s="661" t="s">
        <v>3527</v>
      </c>
      <c r="D286" s="661" t="s">
        <v>3539</v>
      </c>
      <c r="E286" s="661" t="s">
        <v>1242</v>
      </c>
      <c r="F286" s="664">
        <v>12.1</v>
      </c>
      <c r="G286" s="664">
        <v>4880.67</v>
      </c>
      <c r="H286" s="664">
        <v>1</v>
      </c>
      <c r="I286" s="664">
        <v>403.36115702479339</v>
      </c>
      <c r="J286" s="664">
        <v>4.9000000000000004</v>
      </c>
      <c r="K286" s="664">
        <v>1980.58</v>
      </c>
      <c r="L286" s="664">
        <v>0.40580084291705848</v>
      </c>
      <c r="M286" s="664">
        <v>404.19999999999993</v>
      </c>
      <c r="N286" s="664">
        <v>4</v>
      </c>
      <c r="O286" s="664">
        <v>1546.48</v>
      </c>
      <c r="P286" s="677">
        <v>0.31685813628046972</v>
      </c>
      <c r="Q286" s="665">
        <v>386.62</v>
      </c>
    </row>
    <row r="287" spans="1:17" ht="14.4" customHeight="1" x14ac:dyDescent="0.3">
      <c r="A287" s="660" t="s">
        <v>552</v>
      </c>
      <c r="B287" s="661" t="s">
        <v>3921</v>
      </c>
      <c r="C287" s="661" t="s">
        <v>3527</v>
      </c>
      <c r="D287" s="661" t="s">
        <v>3926</v>
      </c>
      <c r="E287" s="661" t="s">
        <v>3927</v>
      </c>
      <c r="F287" s="664"/>
      <c r="G287" s="664"/>
      <c r="H287" s="664"/>
      <c r="I287" s="664"/>
      <c r="J287" s="664">
        <v>3</v>
      </c>
      <c r="K287" s="664">
        <v>20689.5</v>
      </c>
      <c r="L287" s="664"/>
      <c r="M287" s="664">
        <v>6896.5</v>
      </c>
      <c r="N287" s="664">
        <v>1</v>
      </c>
      <c r="O287" s="664">
        <v>9343.06</v>
      </c>
      <c r="P287" s="677"/>
      <c r="Q287" s="665">
        <v>9343.06</v>
      </c>
    </row>
    <row r="288" spans="1:17" ht="14.4" customHeight="1" x14ac:dyDescent="0.3">
      <c r="A288" s="660" t="s">
        <v>552</v>
      </c>
      <c r="B288" s="661" t="s">
        <v>3921</v>
      </c>
      <c r="C288" s="661" t="s">
        <v>3527</v>
      </c>
      <c r="D288" s="661" t="s">
        <v>3542</v>
      </c>
      <c r="E288" s="661" t="s">
        <v>1892</v>
      </c>
      <c r="F288" s="664">
        <v>53</v>
      </c>
      <c r="G288" s="664">
        <v>2517.5</v>
      </c>
      <c r="H288" s="664">
        <v>1</v>
      </c>
      <c r="I288" s="664">
        <v>47.5</v>
      </c>
      <c r="J288" s="664">
        <v>60</v>
      </c>
      <c r="K288" s="664">
        <v>2850</v>
      </c>
      <c r="L288" s="664">
        <v>1.1320754716981132</v>
      </c>
      <c r="M288" s="664">
        <v>47.5</v>
      </c>
      <c r="N288" s="664">
        <v>6</v>
      </c>
      <c r="O288" s="664">
        <v>272.58</v>
      </c>
      <c r="P288" s="677">
        <v>0.10827408142999007</v>
      </c>
      <c r="Q288" s="665">
        <v>45.43</v>
      </c>
    </row>
    <row r="289" spans="1:17" ht="14.4" customHeight="1" x14ac:dyDescent="0.3">
      <c r="A289" s="660" t="s">
        <v>552</v>
      </c>
      <c r="B289" s="661" t="s">
        <v>3921</v>
      </c>
      <c r="C289" s="661" t="s">
        <v>3527</v>
      </c>
      <c r="D289" s="661" t="s">
        <v>3543</v>
      </c>
      <c r="E289" s="661" t="s">
        <v>3544</v>
      </c>
      <c r="F289" s="664">
        <v>1.9</v>
      </c>
      <c r="G289" s="664">
        <v>1093.07</v>
      </c>
      <c r="H289" s="664">
        <v>1</v>
      </c>
      <c r="I289" s="664">
        <v>575.29999999999995</v>
      </c>
      <c r="J289" s="664">
        <v>3.9</v>
      </c>
      <c r="K289" s="664">
        <v>2243.67</v>
      </c>
      <c r="L289" s="664">
        <v>2.0526315789473686</v>
      </c>
      <c r="M289" s="664">
        <v>575.30000000000007</v>
      </c>
      <c r="N289" s="664">
        <v>1.5</v>
      </c>
      <c r="O289" s="664">
        <v>825.45</v>
      </c>
      <c r="P289" s="677">
        <v>0.75516664074578943</v>
      </c>
      <c r="Q289" s="665">
        <v>550.30000000000007</v>
      </c>
    </row>
    <row r="290" spans="1:17" ht="14.4" customHeight="1" x14ac:dyDescent="0.3">
      <c r="A290" s="660" t="s">
        <v>552</v>
      </c>
      <c r="B290" s="661" t="s">
        <v>3921</v>
      </c>
      <c r="C290" s="661" t="s">
        <v>3527</v>
      </c>
      <c r="D290" s="661" t="s">
        <v>3928</v>
      </c>
      <c r="E290" s="661" t="s">
        <v>1628</v>
      </c>
      <c r="F290" s="664"/>
      <c r="G290" s="664"/>
      <c r="H290" s="664"/>
      <c r="I290" s="664"/>
      <c r="J290" s="664"/>
      <c r="K290" s="664"/>
      <c r="L290" s="664"/>
      <c r="M290" s="664"/>
      <c r="N290" s="664">
        <v>11</v>
      </c>
      <c r="O290" s="664">
        <v>849.42</v>
      </c>
      <c r="P290" s="677"/>
      <c r="Q290" s="665">
        <v>77.22</v>
      </c>
    </row>
    <row r="291" spans="1:17" ht="14.4" customHeight="1" x14ac:dyDescent="0.3">
      <c r="A291" s="660" t="s">
        <v>552</v>
      </c>
      <c r="B291" s="661" t="s">
        <v>3921</v>
      </c>
      <c r="C291" s="661" t="s">
        <v>3527</v>
      </c>
      <c r="D291" s="661" t="s">
        <v>3929</v>
      </c>
      <c r="E291" s="661" t="s">
        <v>3930</v>
      </c>
      <c r="F291" s="664"/>
      <c r="G291" s="664"/>
      <c r="H291" s="664"/>
      <c r="I291" s="664"/>
      <c r="J291" s="664">
        <v>24.2</v>
      </c>
      <c r="K291" s="664">
        <v>6835.59</v>
      </c>
      <c r="L291" s="664"/>
      <c r="M291" s="664">
        <v>282.46239669421487</v>
      </c>
      <c r="N291" s="664"/>
      <c r="O291" s="664"/>
      <c r="P291" s="677"/>
      <c r="Q291" s="665"/>
    </row>
    <row r="292" spans="1:17" ht="14.4" customHeight="1" x14ac:dyDescent="0.3">
      <c r="A292" s="660" t="s">
        <v>552</v>
      </c>
      <c r="B292" s="661" t="s">
        <v>3921</v>
      </c>
      <c r="C292" s="661" t="s">
        <v>3527</v>
      </c>
      <c r="D292" s="661" t="s">
        <v>3545</v>
      </c>
      <c r="E292" s="661" t="s">
        <v>1859</v>
      </c>
      <c r="F292" s="664">
        <v>3.2</v>
      </c>
      <c r="G292" s="664">
        <v>1211.25</v>
      </c>
      <c r="H292" s="664">
        <v>1</v>
      </c>
      <c r="I292" s="664">
        <v>378.515625</v>
      </c>
      <c r="J292" s="664">
        <v>1.2</v>
      </c>
      <c r="K292" s="664">
        <v>455.7</v>
      </c>
      <c r="L292" s="664">
        <v>0.37622291021671828</v>
      </c>
      <c r="M292" s="664">
        <v>379.75</v>
      </c>
      <c r="N292" s="664">
        <v>14</v>
      </c>
      <c r="O292" s="664">
        <v>5085.5</v>
      </c>
      <c r="P292" s="677">
        <v>4.1985552115583076</v>
      </c>
      <c r="Q292" s="665">
        <v>363.25</v>
      </c>
    </row>
    <row r="293" spans="1:17" ht="14.4" customHeight="1" x14ac:dyDescent="0.3">
      <c r="A293" s="660" t="s">
        <v>552</v>
      </c>
      <c r="B293" s="661" t="s">
        <v>3921</v>
      </c>
      <c r="C293" s="661" t="s">
        <v>3527</v>
      </c>
      <c r="D293" s="661" t="s">
        <v>3931</v>
      </c>
      <c r="E293" s="661" t="s">
        <v>3932</v>
      </c>
      <c r="F293" s="664"/>
      <c r="G293" s="664"/>
      <c r="H293" s="664"/>
      <c r="I293" s="664"/>
      <c r="J293" s="664"/>
      <c r="K293" s="664"/>
      <c r="L293" s="664"/>
      <c r="M293" s="664"/>
      <c r="N293" s="664">
        <v>1</v>
      </c>
      <c r="O293" s="664">
        <v>5985.71</v>
      </c>
      <c r="P293" s="677"/>
      <c r="Q293" s="665">
        <v>5985.71</v>
      </c>
    </row>
    <row r="294" spans="1:17" ht="14.4" customHeight="1" x14ac:dyDescent="0.3">
      <c r="A294" s="660" t="s">
        <v>552</v>
      </c>
      <c r="B294" s="661" t="s">
        <v>3921</v>
      </c>
      <c r="C294" s="661" t="s">
        <v>3527</v>
      </c>
      <c r="D294" s="661" t="s">
        <v>3546</v>
      </c>
      <c r="E294" s="661" t="s">
        <v>3547</v>
      </c>
      <c r="F294" s="664">
        <v>2</v>
      </c>
      <c r="G294" s="664">
        <v>81.900000000000006</v>
      </c>
      <c r="H294" s="664">
        <v>1</v>
      </c>
      <c r="I294" s="664">
        <v>40.950000000000003</v>
      </c>
      <c r="J294" s="664">
        <v>15</v>
      </c>
      <c r="K294" s="664">
        <v>614.25</v>
      </c>
      <c r="L294" s="664">
        <v>7.4999999999999991</v>
      </c>
      <c r="M294" s="664">
        <v>40.950000000000003</v>
      </c>
      <c r="N294" s="664"/>
      <c r="O294" s="664"/>
      <c r="P294" s="677"/>
      <c r="Q294" s="665"/>
    </row>
    <row r="295" spans="1:17" ht="14.4" customHeight="1" x14ac:dyDescent="0.3">
      <c r="A295" s="660" t="s">
        <v>552</v>
      </c>
      <c r="B295" s="661" t="s">
        <v>3921</v>
      </c>
      <c r="C295" s="661" t="s">
        <v>3527</v>
      </c>
      <c r="D295" s="661" t="s">
        <v>3933</v>
      </c>
      <c r="E295" s="661" t="s">
        <v>3934</v>
      </c>
      <c r="F295" s="664">
        <v>6.6</v>
      </c>
      <c r="G295" s="664">
        <v>25911.05</v>
      </c>
      <c r="H295" s="664">
        <v>1</v>
      </c>
      <c r="I295" s="664">
        <v>3925.916666666667</v>
      </c>
      <c r="J295" s="664">
        <v>3</v>
      </c>
      <c r="K295" s="664">
        <v>11777.7</v>
      </c>
      <c r="L295" s="664">
        <v>0.45454352486680399</v>
      </c>
      <c r="M295" s="664">
        <v>3925.9</v>
      </c>
      <c r="N295" s="664"/>
      <c r="O295" s="664"/>
      <c r="P295" s="677"/>
      <c r="Q295" s="665"/>
    </row>
    <row r="296" spans="1:17" ht="14.4" customHeight="1" x14ac:dyDescent="0.3">
      <c r="A296" s="660" t="s">
        <v>552</v>
      </c>
      <c r="B296" s="661" t="s">
        <v>3921</v>
      </c>
      <c r="C296" s="661" t="s">
        <v>3527</v>
      </c>
      <c r="D296" s="661" t="s">
        <v>3548</v>
      </c>
      <c r="E296" s="661" t="s">
        <v>3549</v>
      </c>
      <c r="F296" s="664"/>
      <c r="G296" s="664"/>
      <c r="H296" s="664"/>
      <c r="I296" s="664"/>
      <c r="J296" s="664"/>
      <c r="K296" s="664"/>
      <c r="L296" s="664"/>
      <c r="M296" s="664"/>
      <c r="N296" s="664">
        <v>43</v>
      </c>
      <c r="O296" s="664">
        <v>9714.44</v>
      </c>
      <c r="P296" s="677"/>
      <c r="Q296" s="665">
        <v>225.9172093023256</v>
      </c>
    </row>
    <row r="297" spans="1:17" ht="14.4" customHeight="1" x14ac:dyDescent="0.3">
      <c r="A297" s="660" t="s">
        <v>552</v>
      </c>
      <c r="B297" s="661" t="s">
        <v>3921</v>
      </c>
      <c r="C297" s="661" t="s">
        <v>3527</v>
      </c>
      <c r="D297" s="661" t="s">
        <v>3552</v>
      </c>
      <c r="E297" s="661" t="s">
        <v>3553</v>
      </c>
      <c r="F297" s="664">
        <v>7.5</v>
      </c>
      <c r="G297" s="664">
        <v>722.05</v>
      </c>
      <c r="H297" s="664">
        <v>1</v>
      </c>
      <c r="I297" s="664">
        <v>96.273333333333326</v>
      </c>
      <c r="J297" s="664">
        <v>7.2</v>
      </c>
      <c r="K297" s="664">
        <v>698.07999999999993</v>
      </c>
      <c r="L297" s="664">
        <v>0.96680285298802016</v>
      </c>
      <c r="M297" s="664">
        <v>96.955555555555549</v>
      </c>
      <c r="N297" s="664">
        <v>1.2</v>
      </c>
      <c r="O297" s="664">
        <v>113.4</v>
      </c>
      <c r="P297" s="677">
        <v>0.15705283567619974</v>
      </c>
      <c r="Q297" s="665">
        <v>94.500000000000014</v>
      </c>
    </row>
    <row r="298" spans="1:17" ht="14.4" customHeight="1" x14ac:dyDescent="0.3">
      <c r="A298" s="660" t="s">
        <v>552</v>
      </c>
      <c r="B298" s="661" t="s">
        <v>3921</v>
      </c>
      <c r="C298" s="661" t="s">
        <v>3527</v>
      </c>
      <c r="D298" s="661" t="s">
        <v>3554</v>
      </c>
      <c r="E298" s="661" t="s">
        <v>3555</v>
      </c>
      <c r="F298" s="664">
        <v>35</v>
      </c>
      <c r="G298" s="664">
        <v>47105.8</v>
      </c>
      <c r="H298" s="664">
        <v>1</v>
      </c>
      <c r="I298" s="664">
        <v>1345.88</v>
      </c>
      <c r="J298" s="664">
        <v>22</v>
      </c>
      <c r="K298" s="664">
        <v>29609.360000000001</v>
      </c>
      <c r="L298" s="664">
        <v>0.62857142857142856</v>
      </c>
      <c r="M298" s="664">
        <v>1345.88</v>
      </c>
      <c r="N298" s="664">
        <v>12</v>
      </c>
      <c r="O298" s="664">
        <v>15506.84</v>
      </c>
      <c r="P298" s="677">
        <v>0.32919173435118393</v>
      </c>
      <c r="Q298" s="665">
        <v>1292.2366666666667</v>
      </c>
    </row>
    <row r="299" spans="1:17" ht="14.4" customHeight="1" x14ac:dyDescent="0.3">
      <c r="A299" s="660" t="s">
        <v>552</v>
      </c>
      <c r="B299" s="661" t="s">
        <v>3921</v>
      </c>
      <c r="C299" s="661" t="s">
        <v>3527</v>
      </c>
      <c r="D299" s="661" t="s">
        <v>3935</v>
      </c>
      <c r="E299" s="661" t="s">
        <v>3936</v>
      </c>
      <c r="F299" s="664"/>
      <c r="G299" s="664"/>
      <c r="H299" s="664"/>
      <c r="I299" s="664"/>
      <c r="J299" s="664"/>
      <c r="K299" s="664"/>
      <c r="L299" s="664"/>
      <c r="M299" s="664"/>
      <c r="N299" s="664">
        <v>1</v>
      </c>
      <c r="O299" s="664">
        <v>3382.11</v>
      </c>
      <c r="P299" s="677"/>
      <c r="Q299" s="665">
        <v>3382.11</v>
      </c>
    </row>
    <row r="300" spans="1:17" ht="14.4" customHeight="1" x14ac:dyDescent="0.3">
      <c r="A300" s="660" t="s">
        <v>552</v>
      </c>
      <c r="B300" s="661" t="s">
        <v>3921</v>
      </c>
      <c r="C300" s="661" t="s">
        <v>3527</v>
      </c>
      <c r="D300" s="661" t="s">
        <v>3937</v>
      </c>
      <c r="E300" s="661" t="s">
        <v>1643</v>
      </c>
      <c r="F300" s="664"/>
      <c r="G300" s="664"/>
      <c r="H300" s="664"/>
      <c r="I300" s="664"/>
      <c r="J300" s="664"/>
      <c r="K300" s="664"/>
      <c r="L300" s="664"/>
      <c r="M300" s="664"/>
      <c r="N300" s="664">
        <v>7</v>
      </c>
      <c r="O300" s="664">
        <v>647.42999999999995</v>
      </c>
      <c r="P300" s="677"/>
      <c r="Q300" s="665">
        <v>92.49</v>
      </c>
    </row>
    <row r="301" spans="1:17" ht="14.4" customHeight="1" x14ac:dyDescent="0.3">
      <c r="A301" s="660" t="s">
        <v>552</v>
      </c>
      <c r="B301" s="661" t="s">
        <v>3921</v>
      </c>
      <c r="C301" s="661" t="s">
        <v>3527</v>
      </c>
      <c r="D301" s="661" t="s">
        <v>3556</v>
      </c>
      <c r="E301" s="661" t="s">
        <v>1253</v>
      </c>
      <c r="F301" s="664">
        <v>0.4</v>
      </c>
      <c r="G301" s="664">
        <v>229.99</v>
      </c>
      <c r="H301" s="664">
        <v>1</v>
      </c>
      <c r="I301" s="664">
        <v>574.97500000000002</v>
      </c>
      <c r="J301" s="664"/>
      <c r="K301" s="664"/>
      <c r="L301" s="664"/>
      <c r="M301" s="664"/>
      <c r="N301" s="664">
        <v>0.2</v>
      </c>
      <c r="O301" s="664">
        <v>77.2</v>
      </c>
      <c r="P301" s="677">
        <v>0.33566676812035307</v>
      </c>
      <c r="Q301" s="665">
        <v>386</v>
      </c>
    </row>
    <row r="302" spans="1:17" ht="14.4" customHeight="1" x14ac:dyDescent="0.3">
      <c r="A302" s="660" t="s">
        <v>552</v>
      </c>
      <c r="B302" s="661" t="s">
        <v>3921</v>
      </c>
      <c r="C302" s="661" t="s">
        <v>3527</v>
      </c>
      <c r="D302" s="661" t="s">
        <v>3557</v>
      </c>
      <c r="E302" s="661" t="s">
        <v>1231</v>
      </c>
      <c r="F302" s="664">
        <v>2.5</v>
      </c>
      <c r="G302" s="664">
        <v>2874.91</v>
      </c>
      <c r="H302" s="664">
        <v>1</v>
      </c>
      <c r="I302" s="664">
        <v>1149.9639999999999</v>
      </c>
      <c r="J302" s="664"/>
      <c r="K302" s="664"/>
      <c r="L302" s="664"/>
      <c r="M302" s="664"/>
      <c r="N302" s="664">
        <v>2.5</v>
      </c>
      <c r="O302" s="664">
        <v>1930.39</v>
      </c>
      <c r="P302" s="677">
        <v>0.67146101964931082</v>
      </c>
      <c r="Q302" s="665">
        <v>772.15600000000006</v>
      </c>
    </row>
    <row r="303" spans="1:17" ht="14.4" customHeight="1" x14ac:dyDescent="0.3">
      <c r="A303" s="660" t="s">
        <v>552</v>
      </c>
      <c r="B303" s="661" t="s">
        <v>3921</v>
      </c>
      <c r="C303" s="661" t="s">
        <v>3527</v>
      </c>
      <c r="D303" s="661" t="s">
        <v>3558</v>
      </c>
      <c r="E303" s="661" t="s">
        <v>3559</v>
      </c>
      <c r="F303" s="664">
        <v>2.7</v>
      </c>
      <c r="G303" s="664">
        <v>1693.17</v>
      </c>
      <c r="H303" s="664">
        <v>1</v>
      </c>
      <c r="I303" s="664">
        <v>627.1</v>
      </c>
      <c r="J303" s="664"/>
      <c r="K303" s="664"/>
      <c r="L303" s="664"/>
      <c r="M303" s="664"/>
      <c r="N303" s="664"/>
      <c r="O303" s="664"/>
      <c r="P303" s="677"/>
      <c r="Q303" s="665"/>
    </row>
    <row r="304" spans="1:17" ht="14.4" customHeight="1" x14ac:dyDescent="0.3">
      <c r="A304" s="660" t="s">
        <v>552</v>
      </c>
      <c r="B304" s="661" t="s">
        <v>3921</v>
      </c>
      <c r="C304" s="661" t="s">
        <v>3527</v>
      </c>
      <c r="D304" s="661" t="s">
        <v>3938</v>
      </c>
      <c r="E304" s="661" t="s">
        <v>3939</v>
      </c>
      <c r="F304" s="664">
        <v>2.62</v>
      </c>
      <c r="G304" s="664">
        <v>9505.4599999999991</v>
      </c>
      <c r="H304" s="664">
        <v>1</v>
      </c>
      <c r="I304" s="664">
        <v>3628.0381679389307</v>
      </c>
      <c r="J304" s="664">
        <v>5.35</v>
      </c>
      <c r="K304" s="664">
        <v>19409.990000000002</v>
      </c>
      <c r="L304" s="664">
        <v>2.0419832391067874</v>
      </c>
      <c r="M304" s="664">
        <v>3628.0355140186921</v>
      </c>
      <c r="N304" s="664">
        <v>3.17</v>
      </c>
      <c r="O304" s="664">
        <v>11000.9</v>
      </c>
      <c r="P304" s="677">
        <v>1.1573243167611036</v>
      </c>
      <c r="Q304" s="665">
        <v>3470.3154574132491</v>
      </c>
    </row>
    <row r="305" spans="1:17" ht="14.4" customHeight="1" x14ac:dyDescent="0.3">
      <c r="A305" s="660" t="s">
        <v>552</v>
      </c>
      <c r="B305" s="661" t="s">
        <v>3921</v>
      </c>
      <c r="C305" s="661" t="s">
        <v>3527</v>
      </c>
      <c r="D305" s="661" t="s">
        <v>3560</v>
      </c>
      <c r="E305" s="661" t="s">
        <v>577</v>
      </c>
      <c r="F305" s="664"/>
      <c r="G305" s="664"/>
      <c r="H305" s="664"/>
      <c r="I305" s="664"/>
      <c r="J305" s="664"/>
      <c r="K305" s="664"/>
      <c r="L305" s="664"/>
      <c r="M305" s="664"/>
      <c r="N305" s="664">
        <v>0.5</v>
      </c>
      <c r="O305" s="664">
        <v>291.95000000000005</v>
      </c>
      <c r="P305" s="677"/>
      <c r="Q305" s="665">
        <v>583.90000000000009</v>
      </c>
    </row>
    <row r="306" spans="1:17" ht="14.4" customHeight="1" x14ac:dyDescent="0.3">
      <c r="A306" s="660" t="s">
        <v>552</v>
      </c>
      <c r="B306" s="661" t="s">
        <v>3921</v>
      </c>
      <c r="C306" s="661" t="s">
        <v>3527</v>
      </c>
      <c r="D306" s="661" t="s">
        <v>3940</v>
      </c>
      <c r="E306" s="661" t="s">
        <v>3941</v>
      </c>
      <c r="F306" s="664"/>
      <c r="G306" s="664"/>
      <c r="H306" s="664"/>
      <c r="I306" s="664"/>
      <c r="J306" s="664"/>
      <c r="K306" s="664"/>
      <c r="L306" s="664"/>
      <c r="M306" s="664"/>
      <c r="N306" s="664">
        <v>0.4</v>
      </c>
      <c r="O306" s="664">
        <v>132.57</v>
      </c>
      <c r="P306" s="677"/>
      <c r="Q306" s="665">
        <v>331.42499999999995</v>
      </c>
    </row>
    <row r="307" spans="1:17" ht="14.4" customHeight="1" x14ac:dyDescent="0.3">
      <c r="A307" s="660" t="s">
        <v>552</v>
      </c>
      <c r="B307" s="661" t="s">
        <v>3921</v>
      </c>
      <c r="C307" s="661" t="s">
        <v>3561</v>
      </c>
      <c r="D307" s="661" t="s">
        <v>3562</v>
      </c>
      <c r="E307" s="661" t="s">
        <v>3563</v>
      </c>
      <c r="F307" s="664">
        <v>144</v>
      </c>
      <c r="G307" s="664">
        <v>381595.62</v>
      </c>
      <c r="H307" s="664">
        <v>1</v>
      </c>
      <c r="I307" s="664">
        <v>2649.9695833333335</v>
      </c>
      <c r="J307" s="664">
        <v>99</v>
      </c>
      <c r="K307" s="664">
        <v>270142.29000000004</v>
      </c>
      <c r="L307" s="664">
        <v>0.7079281727604736</v>
      </c>
      <c r="M307" s="664">
        <v>2728.7100000000005</v>
      </c>
      <c r="N307" s="664">
        <v>84</v>
      </c>
      <c r="O307" s="664">
        <v>229211.63999999998</v>
      </c>
      <c r="P307" s="677">
        <v>0.60066632840282597</v>
      </c>
      <c r="Q307" s="665">
        <v>2728.71</v>
      </c>
    </row>
    <row r="308" spans="1:17" ht="14.4" customHeight="1" x14ac:dyDescent="0.3">
      <c r="A308" s="660" t="s">
        <v>552</v>
      </c>
      <c r="B308" s="661" t="s">
        <v>3921</v>
      </c>
      <c r="C308" s="661" t="s">
        <v>3561</v>
      </c>
      <c r="D308" s="661" t="s">
        <v>3942</v>
      </c>
      <c r="E308" s="661" t="s">
        <v>3943</v>
      </c>
      <c r="F308" s="664">
        <v>6</v>
      </c>
      <c r="G308" s="664">
        <v>55536.060000000005</v>
      </c>
      <c r="H308" s="664">
        <v>1</v>
      </c>
      <c r="I308" s="664">
        <v>9256.01</v>
      </c>
      <c r="J308" s="664">
        <v>5</v>
      </c>
      <c r="K308" s="664">
        <v>48430.5</v>
      </c>
      <c r="L308" s="664">
        <v>0.87205502154816161</v>
      </c>
      <c r="M308" s="664">
        <v>9686.1</v>
      </c>
      <c r="N308" s="664">
        <v>2</v>
      </c>
      <c r="O308" s="664">
        <v>19372.2</v>
      </c>
      <c r="P308" s="677">
        <v>0.34882200861926466</v>
      </c>
      <c r="Q308" s="665">
        <v>9686.1</v>
      </c>
    </row>
    <row r="309" spans="1:17" ht="14.4" customHeight="1" x14ac:dyDescent="0.3">
      <c r="A309" s="660" t="s">
        <v>552</v>
      </c>
      <c r="B309" s="661" t="s">
        <v>3921</v>
      </c>
      <c r="C309" s="661" t="s">
        <v>3561</v>
      </c>
      <c r="D309" s="661" t="s">
        <v>3564</v>
      </c>
      <c r="E309" s="661" t="s">
        <v>3565</v>
      </c>
      <c r="F309" s="664">
        <v>96</v>
      </c>
      <c r="G309" s="664">
        <v>85848.6</v>
      </c>
      <c r="H309" s="664">
        <v>1</v>
      </c>
      <c r="I309" s="664">
        <v>894.25625000000002</v>
      </c>
      <c r="J309" s="664">
        <v>63</v>
      </c>
      <c r="K309" s="664">
        <v>58310.91</v>
      </c>
      <c r="L309" s="664">
        <v>0.67922959722115439</v>
      </c>
      <c r="M309" s="664">
        <v>925.57</v>
      </c>
      <c r="N309" s="664">
        <v>42</v>
      </c>
      <c r="O309" s="664">
        <v>38873.94</v>
      </c>
      <c r="P309" s="677">
        <v>0.45281973148076965</v>
      </c>
      <c r="Q309" s="665">
        <v>925.57</v>
      </c>
    </row>
    <row r="310" spans="1:17" ht="14.4" customHeight="1" x14ac:dyDescent="0.3">
      <c r="A310" s="660" t="s">
        <v>552</v>
      </c>
      <c r="B310" s="661" t="s">
        <v>3921</v>
      </c>
      <c r="C310" s="661" t="s">
        <v>3566</v>
      </c>
      <c r="D310" s="661" t="s">
        <v>3944</v>
      </c>
      <c r="E310" s="661" t="s">
        <v>3945</v>
      </c>
      <c r="F310" s="664"/>
      <c r="G310" s="664"/>
      <c r="H310" s="664"/>
      <c r="I310" s="664"/>
      <c r="J310" s="664">
        <v>1</v>
      </c>
      <c r="K310" s="664">
        <v>687</v>
      </c>
      <c r="L310" s="664"/>
      <c r="M310" s="664">
        <v>687</v>
      </c>
      <c r="N310" s="664"/>
      <c r="O310" s="664"/>
      <c r="P310" s="677"/>
      <c r="Q310" s="665"/>
    </row>
    <row r="311" spans="1:17" ht="14.4" customHeight="1" x14ac:dyDescent="0.3">
      <c r="A311" s="660" t="s">
        <v>552</v>
      </c>
      <c r="B311" s="661" t="s">
        <v>3921</v>
      </c>
      <c r="C311" s="661" t="s">
        <v>3566</v>
      </c>
      <c r="D311" s="661" t="s">
        <v>3946</v>
      </c>
      <c r="E311" s="661" t="s">
        <v>3947</v>
      </c>
      <c r="F311" s="664">
        <v>3</v>
      </c>
      <c r="G311" s="664">
        <v>2293.1999999999998</v>
      </c>
      <c r="H311" s="664">
        <v>1</v>
      </c>
      <c r="I311" s="664">
        <v>764.4</v>
      </c>
      <c r="J311" s="664">
        <v>3</v>
      </c>
      <c r="K311" s="664">
        <v>2293.1999999999998</v>
      </c>
      <c r="L311" s="664">
        <v>1</v>
      </c>
      <c r="M311" s="664">
        <v>764.4</v>
      </c>
      <c r="N311" s="664">
        <v>1</v>
      </c>
      <c r="O311" s="664">
        <v>764.4</v>
      </c>
      <c r="P311" s="677">
        <v>0.33333333333333337</v>
      </c>
      <c r="Q311" s="665">
        <v>764.4</v>
      </c>
    </row>
    <row r="312" spans="1:17" ht="14.4" customHeight="1" x14ac:dyDescent="0.3">
      <c r="A312" s="660" t="s">
        <v>552</v>
      </c>
      <c r="B312" s="661" t="s">
        <v>3921</v>
      </c>
      <c r="C312" s="661" t="s">
        <v>3566</v>
      </c>
      <c r="D312" s="661" t="s">
        <v>3579</v>
      </c>
      <c r="E312" s="661" t="s">
        <v>3580</v>
      </c>
      <c r="F312" s="664">
        <v>12</v>
      </c>
      <c r="G312" s="664">
        <v>211824</v>
      </c>
      <c r="H312" s="664">
        <v>1</v>
      </c>
      <c r="I312" s="664">
        <v>17652</v>
      </c>
      <c r="J312" s="664">
        <v>9</v>
      </c>
      <c r="K312" s="664">
        <v>158868</v>
      </c>
      <c r="L312" s="664">
        <v>0.75</v>
      </c>
      <c r="M312" s="664">
        <v>17652</v>
      </c>
      <c r="N312" s="664">
        <v>7</v>
      </c>
      <c r="O312" s="664">
        <v>123564</v>
      </c>
      <c r="P312" s="677">
        <v>0.58333333333333337</v>
      </c>
      <c r="Q312" s="665">
        <v>17652</v>
      </c>
    </row>
    <row r="313" spans="1:17" ht="14.4" customHeight="1" x14ac:dyDescent="0.3">
      <c r="A313" s="660" t="s">
        <v>552</v>
      </c>
      <c r="B313" s="661" t="s">
        <v>3921</v>
      </c>
      <c r="C313" s="661" t="s">
        <v>3566</v>
      </c>
      <c r="D313" s="661" t="s">
        <v>3581</v>
      </c>
      <c r="E313" s="661" t="s">
        <v>3582</v>
      </c>
      <c r="F313" s="664">
        <v>12</v>
      </c>
      <c r="G313" s="664">
        <v>80220</v>
      </c>
      <c r="H313" s="664">
        <v>1</v>
      </c>
      <c r="I313" s="664">
        <v>6685</v>
      </c>
      <c r="J313" s="664">
        <v>9</v>
      </c>
      <c r="K313" s="664">
        <v>60165</v>
      </c>
      <c r="L313" s="664">
        <v>0.75</v>
      </c>
      <c r="M313" s="664">
        <v>6685</v>
      </c>
      <c r="N313" s="664">
        <v>7</v>
      </c>
      <c r="O313" s="664">
        <v>46795</v>
      </c>
      <c r="P313" s="677">
        <v>0.58333333333333337</v>
      </c>
      <c r="Q313" s="665">
        <v>6685</v>
      </c>
    </row>
    <row r="314" spans="1:17" ht="14.4" customHeight="1" x14ac:dyDescent="0.3">
      <c r="A314" s="660" t="s">
        <v>552</v>
      </c>
      <c r="B314" s="661" t="s">
        <v>3921</v>
      </c>
      <c r="C314" s="661" t="s">
        <v>3566</v>
      </c>
      <c r="D314" s="661" t="s">
        <v>3583</v>
      </c>
      <c r="E314" s="661" t="s">
        <v>3584</v>
      </c>
      <c r="F314" s="664">
        <v>3</v>
      </c>
      <c r="G314" s="664">
        <v>53655</v>
      </c>
      <c r="H314" s="664">
        <v>1</v>
      </c>
      <c r="I314" s="664">
        <v>17885</v>
      </c>
      <c r="J314" s="664">
        <v>1</v>
      </c>
      <c r="K314" s="664">
        <v>17885</v>
      </c>
      <c r="L314" s="664">
        <v>0.33333333333333331</v>
      </c>
      <c r="M314" s="664">
        <v>17885</v>
      </c>
      <c r="N314" s="664">
        <v>2</v>
      </c>
      <c r="O314" s="664">
        <v>35770</v>
      </c>
      <c r="P314" s="677">
        <v>0.66666666666666663</v>
      </c>
      <c r="Q314" s="665">
        <v>17885</v>
      </c>
    </row>
    <row r="315" spans="1:17" ht="14.4" customHeight="1" x14ac:dyDescent="0.3">
      <c r="A315" s="660" t="s">
        <v>552</v>
      </c>
      <c r="B315" s="661" t="s">
        <v>3921</v>
      </c>
      <c r="C315" s="661" t="s">
        <v>3566</v>
      </c>
      <c r="D315" s="661" t="s">
        <v>3585</v>
      </c>
      <c r="E315" s="661" t="s">
        <v>3586</v>
      </c>
      <c r="F315" s="664">
        <v>3</v>
      </c>
      <c r="G315" s="664">
        <v>20460</v>
      </c>
      <c r="H315" s="664">
        <v>1</v>
      </c>
      <c r="I315" s="664">
        <v>6820</v>
      </c>
      <c r="J315" s="664">
        <v>1</v>
      </c>
      <c r="K315" s="664">
        <v>6820</v>
      </c>
      <c r="L315" s="664">
        <v>0.33333333333333331</v>
      </c>
      <c r="M315" s="664">
        <v>6820</v>
      </c>
      <c r="N315" s="664">
        <v>2</v>
      </c>
      <c r="O315" s="664">
        <v>13640</v>
      </c>
      <c r="P315" s="677">
        <v>0.66666666666666663</v>
      </c>
      <c r="Q315" s="665">
        <v>6820</v>
      </c>
    </row>
    <row r="316" spans="1:17" ht="14.4" customHeight="1" x14ac:dyDescent="0.3">
      <c r="A316" s="660" t="s">
        <v>552</v>
      </c>
      <c r="B316" s="661" t="s">
        <v>3921</v>
      </c>
      <c r="C316" s="661" t="s">
        <v>3566</v>
      </c>
      <c r="D316" s="661" t="s">
        <v>3587</v>
      </c>
      <c r="E316" s="661" t="s">
        <v>3588</v>
      </c>
      <c r="F316" s="664">
        <v>9</v>
      </c>
      <c r="G316" s="664">
        <v>63900</v>
      </c>
      <c r="H316" s="664">
        <v>1</v>
      </c>
      <c r="I316" s="664">
        <v>7100</v>
      </c>
      <c r="J316" s="664">
        <v>10</v>
      </c>
      <c r="K316" s="664">
        <v>71000</v>
      </c>
      <c r="L316" s="664">
        <v>1.1111111111111112</v>
      </c>
      <c r="M316" s="664">
        <v>7100</v>
      </c>
      <c r="N316" s="664">
        <v>9</v>
      </c>
      <c r="O316" s="664">
        <v>63900</v>
      </c>
      <c r="P316" s="677">
        <v>1</v>
      </c>
      <c r="Q316" s="665">
        <v>7100</v>
      </c>
    </row>
    <row r="317" spans="1:17" ht="14.4" customHeight="1" x14ac:dyDescent="0.3">
      <c r="A317" s="660" t="s">
        <v>552</v>
      </c>
      <c r="B317" s="661" t="s">
        <v>3921</v>
      </c>
      <c r="C317" s="661" t="s">
        <v>3566</v>
      </c>
      <c r="D317" s="661" t="s">
        <v>3589</v>
      </c>
      <c r="E317" s="661" t="s">
        <v>3590</v>
      </c>
      <c r="F317" s="664">
        <v>3</v>
      </c>
      <c r="G317" s="664">
        <v>26400</v>
      </c>
      <c r="H317" s="664">
        <v>1</v>
      </c>
      <c r="I317" s="664">
        <v>8800</v>
      </c>
      <c r="J317" s="664">
        <v>1</v>
      </c>
      <c r="K317" s="664">
        <v>8800</v>
      </c>
      <c r="L317" s="664">
        <v>0.33333333333333331</v>
      </c>
      <c r="M317" s="664">
        <v>8800</v>
      </c>
      <c r="N317" s="664">
        <v>2</v>
      </c>
      <c r="O317" s="664">
        <v>17600</v>
      </c>
      <c r="P317" s="677">
        <v>0.66666666666666663</v>
      </c>
      <c r="Q317" s="665">
        <v>8800</v>
      </c>
    </row>
    <row r="318" spans="1:17" ht="14.4" customHeight="1" x14ac:dyDescent="0.3">
      <c r="A318" s="660" t="s">
        <v>552</v>
      </c>
      <c r="B318" s="661" t="s">
        <v>3921</v>
      </c>
      <c r="C318" s="661" t="s">
        <v>3566</v>
      </c>
      <c r="D318" s="661" t="s">
        <v>3591</v>
      </c>
      <c r="E318" s="661" t="s">
        <v>3592</v>
      </c>
      <c r="F318" s="664">
        <v>14</v>
      </c>
      <c r="G318" s="664">
        <v>16310</v>
      </c>
      <c r="H318" s="664">
        <v>1</v>
      </c>
      <c r="I318" s="664">
        <v>1165</v>
      </c>
      <c r="J318" s="664">
        <v>9</v>
      </c>
      <c r="K318" s="664">
        <v>10485</v>
      </c>
      <c r="L318" s="664">
        <v>0.6428571428571429</v>
      </c>
      <c r="M318" s="664">
        <v>1165</v>
      </c>
      <c r="N318" s="664">
        <v>9</v>
      </c>
      <c r="O318" s="664">
        <v>10485</v>
      </c>
      <c r="P318" s="677">
        <v>0.6428571428571429</v>
      </c>
      <c r="Q318" s="665">
        <v>1165</v>
      </c>
    </row>
    <row r="319" spans="1:17" ht="14.4" customHeight="1" x14ac:dyDescent="0.3">
      <c r="A319" s="660" t="s">
        <v>552</v>
      </c>
      <c r="B319" s="661" t="s">
        <v>3921</v>
      </c>
      <c r="C319" s="661" t="s">
        <v>3566</v>
      </c>
      <c r="D319" s="661" t="s">
        <v>3593</v>
      </c>
      <c r="E319" s="661" t="s">
        <v>3594</v>
      </c>
      <c r="F319" s="664">
        <v>6</v>
      </c>
      <c r="G319" s="664">
        <v>4452</v>
      </c>
      <c r="H319" s="664">
        <v>1</v>
      </c>
      <c r="I319" s="664">
        <v>742</v>
      </c>
      <c r="J319" s="664">
        <v>4</v>
      </c>
      <c r="K319" s="664">
        <v>2968</v>
      </c>
      <c r="L319" s="664">
        <v>0.66666666666666663</v>
      </c>
      <c r="M319" s="664">
        <v>742</v>
      </c>
      <c r="N319" s="664">
        <v>2</v>
      </c>
      <c r="O319" s="664">
        <v>1484</v>
      </c>
      <c r="P319" s="677">
        <v>0.33333333333333331</v>
      </c>
      <c r="Q319" s="665">
        <v>742</v>
      </c>
    </row>
    <row r="320" spans="1:17" ht="14.4" customHeight="1" x14ac:dyDescent="0.3">
      <c r="A320" s="660" t="s">
        <v>552</v>
      </c>
      <c r="B320" s="661" t="s">
        <v>3921</v>
      </c>
      <c r="C320" s="661" t="s">
        <v>3566</v>
      </c>
      <c r="D320" s="661" t="s">
        <v>3595</v>
      </c>
      <c r="E320" s="661" t="s">
        <v>3596</v>
      </c>
      <c r="F320" s="664">
        <v>16</v>
      </c>
      <c r="G320" s="664">
        <v>8416</v>
      </c>
      <c r="H320" s="664">
        <v>1</v>
      </c>
      <c r="I320" s="664">
        <v>526</v>
      </c>
      <c r="J320" s="664">
        <v>11</v>
      </c>
      <c r="K320" s="664">
        <v>5786</v>
      </c>
      <c r="L320" s="664">
        <v>0.6875</v>
      </c>
      <c r="M320" s="664">
        <v>526</v>
      </c>
      <c r="N320" s="664">
        <v>9</v>
      </c>
      <c r="O320" s="664">
        <v>4734</v>
      </c>
      <c r="P320" s="677">
        <v>0.5625</v>
      </c>
      <c r="Q320" s="665">
        <v>526</v>
      </c>
    </row>
    <row r="321" spans="1:17" ht="14.4" customHeight="1" x14ac:dyDescent="0.3">
      <c r="A321" s="660" t="s">
        <v>552</v>
      </c>
      <c r="B321" s="661" t="s">
        <v>3921</v>
      </c>
      <c r="C321" s="661" t="s">
        <v>3566</v>
      </c>
      <c r="D321" s="661" t="s">
        <v>3599</v>
      </c>
      <c r="E321" s="661" t="s">
        <v>3600</v>
      </c>
      <c r="F321" s="664">
        <v>9</v>
      </c>
      <c r="G321" s="664">
        <v>8422.56</v>
      </c>
      <c r="H321" s="664">
        <v>1</v>
      </c>
      <c r="I321" s="664">
        <v>935.83999999999992</v>
      </c>
      <c r="J321" s="664">
        <v>9</v>
      </c>
      <c r="K321" s="664">
        <v>8422.56</v>
      </c>
      <c r="L321" s="664">
        <v>1</v>
      </c>
      <c r="M321" s="664">
        <v>935.83999999999992</v>
      </c>
      <c r="N321" s="664">
        <v>7</v>
      </c>
      <c r="O321" s="664">
        <v>6550.88</v>
      </c>
      <c r="P321" s="677">
        <v>0.77777777777777779</v>
      </c>
      <c r="Q321" s="665">
        <v>935.84</v>
      </c>
    </row>
    <row r="322" spans="1:17" ht="14.4" customHeight="1" x14ac:dyDescent="0.3">
      <c r="A322" s="660" t="s">
        <v>552</v>
      </c>
      <c r="B322" s="661" t="s">
        <v>3921</v>
      </c>
      <c r="C322" s="661" t="s">
        <v>3566</v>
      </c>
      <c r="D322" s="661" t="s">
        <v>3601</v>
      </c>
      <c r="E322" s="661" t="s">
        <v>3602</v>
      </c>
      <c r="F322" s="664">
        <v>1</v>
      </c>
      <c r="G322" s="664">
        <v>7254.55</v>
      </c>
      <c r="H322" s="664">
        <v>1</v>
      </c>
      <c r="I322" s="664">
        <v>7254.55</v>
      </c>
      <c r="J322" s="664">
        <v>2</v>
      </c>
      <c r="K322" s="664">
        <v>14509.1</v>
      </c>
      <c r="L322" s="664">
        <v>2</v>
      </c>
      <c r="M322" s="664">
        <v>7254.55</v>
      </c>
      <c r="N322" s="664"/>
      <c r="O322" s="664"/>
      <c r="P322" s="677"/>
      <c r="Q322" s="665"/>
    </row>
    <row r="323" spans="1:17" ht="14.4" customHeight="1" x14ac:dyDescent="0.3">
      <c r="A323" s="660" t="s">
        <v>552</v>
      </c>
      <c r="B323" s="661" t="s">
        <v>3921</v>
      </c>
      <c r="C323" s="661" t="s">
        <v>3566</v>
      </c>
      <c r="D323" s="661" t="s">
        <v>3948</v>
      </c>
      <c r="E323" s="661" t="s">
        <v>3949</v>
      </c>
      <c r="F323" s="664"/>
      <c r="G323" s="664"/>
      <c r="H323" s="664"/>
      <c r="I323" s="664"/>
      <c r="J323" s="664"/>
      <c r="K323" s="664"/>
      <c r="L323" s="664"/>
      <c r="M323" s="664"/>
      <c r="N323" s="664">
        <v>2</v>
      </c>
      <c r="O323" s="664">
        <v>2154.6</v>
      </c>
      <c r="P323" s="677"/>
      <c r="Q323" s="665">
        <v>1077.3</v>
      </c>
    </row>
    <row r="324" spans="1:17" ht="14.4" customHeight="1" x14ac:dyDescent="0.3">
      <c r="A324" s="660" t="s">
        <v>552</v>
      </c>
      <c r="B324" s="661" t="s">
        <v>3921</v>
      </c>
      <c r="C324" s="661" t="s">
        <v>3566</v>
      </c>
      <c r="D324" s="661" t="s">
        <v>3603</v>
      </c>
      <c r="E324" s="661" t="s">
        <v>3604</v>
      </c>
      <c r="F324" s="664">
        <v>2</v>
      </c>
      <c r="G324" s="664">
        <v>17288</v>
      </c>
      <c r="H324" s="664">
        <v>1</v>
      </c>
      <c r="I324" s="664">
        <v>8644</v>
      </c>
      <c r="J324" s="664">
        <v>2</v>
      </c>
      <c r="K324" s="664">
        <v>17288</v>
      </c>
      <c r="L324" s="664">
        <v>1</v>
      </c>
      <c r="M324" s="664">
        <v>8644</v>
      </c>
      <c r="N324" s="664"/>
      <c r="O324" s="664"/>
      <c r="P324" s="677"/>
      <c r="Q324" s="665"/>
    </row>
    <row r="325" spans="1:17" ht="14.4" customHeight="1" x14ac:dyDescent="0.3">
      <c r="A325" s="660" t="s">
        <v>552</v>
      </c>
      <c r="B325" s="661" t="s">
        <v>3921</v>
      </c>
      <c r="C325" s="661" t="s">
        <v>3566</v>
      </c>
      <c r="D325" s="661" t="s">
        <v>3605</v>
      </c>
      <c r="E325" s="661" t="s">
        <v>3606</v>
      </c>
      <c r="F325" s="664">
        <v>1</v>
      </c>
      <c r="G325" s="664">
        <v>38853.269999999997</v>
      </c>
      <c r="H325" s="664">
        <v>1</v>
      </c>
      <c r="I325" s="664">
        <v>38853.269999999997</v>
      </c>
      <c r="J325" s="664"/>
      <c r="K325" s="664"/>
      <c r="L325" s="664"/>
      <c r="M325" s="664"/>
      <c r="N325" s="664"/>
      <c r="O325" s="664"/>
      <c r="P325" s="677"/>
      <c r="Q325" s="665"/>
    </row>
    <row r="326" spans="1:17" ht="14.4" customHeight="1" x14ac:dyDescent="0.3">
      <c r="A326" s="660" t="s">
        <v>552</v>
      </c>
      <c r="B326" s="661" t="s">
        <v>3921</v>
      </c>
      <c r="C326" s="661" t="s">
        <v>3566</v>
      </c>
      <c r="D326" s="661" t="s">
        <v>3609</v>
      </c>
      <c r="E326" s="661" t="s">
        <v>3610</v>
      </c>
      <c r="F326" s="664">
        <v>3</v>
      </c>
      <c r="G326" s="664">
        <v>4082.25</v>
      </c>
      <c r="H326" s="664">
        <v>1</v>
      </c>
      <c r="I326" s="664">
        <v>1360.75</v>
      </c>
      <c r="J326" s="664">
        <v>2</v>
      </c>
      <c r="K326" s="664">
        <v>2721.5</v>
      </c>
      <c r="L326" s="664">
        <v>0.66666666666666663</v>
      </c>
      <c r="M326" s="664">
        <v>1360.75</v>
      </c>
      <c r="N326" s="664">
        <v>2</v>
      </c>
      <c r="O326" s="664">
        <v>2721.5</v>
      </c>
      <c r="P326" s="677">
        <v>0.66666666666666663</v>
      </c>
      <c r="Q326" s="665">
        <v>1360.75</v>
      </c>
    </row>
    <row r="327" spans="1:17" ht="14.4" customHeight="1" x14ac:dyDescent="0.3">
      <c r="A327" s="660" t="s">
        <v>552</v>
      </c>
      <c r="B327" s="661" t="s">
        <v>3921</v>
      </c>
      <c r="C327" s="661" t="s">
        <v>3566</v>
      </c>
      <c r="D327" s="661" t="s">
        <v>3611</v>
      </c>
      <c r="E327" s="661" t="s">
        <v>3612</v>
      </c>
      <c r="F327" s="664">
        <v>1</v>
      </c>
      <c r="G327" s="664">
        <v>4677.5</v>
      </c>
      <c r="H327" s="664">
        <v>1</v>
      </c>
      <c r="I327" s="664">
        <v>4677.5</v>
      </c>
      <c r="J327" s="664">
        <v>3</v>
      </c>
      <c r="K327" s="664">
        <v>14032.5</v>
      </c>
      <c r="L327" s="664">
        <v>3</v>
      </c>
      <c r="M327" s="664">
        <v>4677.5</v>
      </c>
      <c r="N327" s="664"/>
      <c r="O327" s="664"/>
      <c r="P327" s="677"/>
      <c r="Q327" s="665"/>
    </row>
    <row r="328" spans="1:17" ht="14.4" customHeight="1" x14ac:dyDescent="0.3">
      <c r="A328" s="660" t="s">
        <v>552</v>
      </c>
      <c r="B328" s="661" t="s">
        <v>3921</v>
      </c>
      <c r="C328" s="661" t="s">
        <v>3566</v>
      </c>
      <c r="D328" s="661" t="s">
        <v>3613</v>
      </c>
      <c r="E328" s="661" t="s">
        <v>3614</v>
      </c>
      <c r="F328" s="664">
        <v>1</v>
      </c>
      <c r="G328" s="664">
        <v>18952.96</v>
      </c>
      <c r="H328" s="664">
        <v>1</v>
      </c>
      <c r="I328" s="664">
        <v>18952.96</v>
      </c>
      <c r="J328" s="664"/>
      <c r="K328" s="664"/>
      <c r="L328" s="664"/>
      <c r="M328" s="664"/>
      <c r="N328" s="664">
        <v>1</v>
      </c>
      <c r="O328" s="664">
        <v>18952.96</v>
      </c>
      <c r="P328" s="677">
        <v>1</v>
      </c>
      <c r="Q328" s="665">
        <v>18952.96</v>
      </c>
    </row>
    <row r="329" spans="1:17" ht="14.4" customHeight="1" x14ac:dyDescent="0.3">
      <c r="A329" s="660" t="s">
        <v>552</v>
      </c>
      <c r="B329" s="661" t="s">
        <v>3921</v>
      </c>
      <c r="C329" s="661" t="s">
        <v>3566</v>
      </c>
      <c r="D329" s="661" t="s">
        <v>3619</v>
      </c>
      <c r="E329" s="661" t="s">
        <v>3620</v>
      </c>
      <c r="F329" s="664">
        <v>2</v>
      </c>
      <c r="G329" s="664">
        <v>3676</v>
      </c>
      <c r="H329" s="664">
        <v>1</v>
      </c>
      <c r="I329" s="664">
        <v>1838</v>
      </c>
      <c r="J329" s="664">
        <v>3</v>
      </c>
      <c r="K329" s="664">
        <v>5514</v>
      </c>
      <c r="L329" s="664">
        <v>1.5</v>
      </c>
      <c r="M329" s="664">
        <v>1838</v>
      </c>
      <c r="N329" s="664">
        <v>1</v>
      </c>
      <c r="O329" s="664">
        <v>1838</v>
      </c>
      <c r="P329" s="677">
        <v>0.5</v>
      </c>
      <c r="Q329" s="665">
        <v>1838</v>
      </c>
    </row>
    <row r="330" spans="1:17" ht="14.4" customHeight="1" x14ac:dyDescent="0.3">
      <c r="A330" s="660" t="s">
        <v>552</v>
      </c>
      <c r="B330" s="661" t="s">
        <v>3921</v>
      </c>
      <c r="C330" s="661" t="s">
        <v>3566</v>
      </c>
      <c r="D330" s="661" t="s">
        <v>3950</v>
      </c>
      <c r="E330" s="661" t="s">
        <v>3951</v>
      </c>
      <c r="F330" s="664">
        <v>2</v>
      </c>
      <c r="G330" s="664">
        <v>138457.98000000001</v>
      </c>
      <c r="H330" s="664">
        <v>1</v>
      </c>
      <c r="I330" s="664">
        <v>69228.990000000005</v>
      </c>
      <c r="J330" s="664">
        <v>1</v>
      </c>
      <c r="K330" s="664">
        <v>69228.990000000005</v>
      </c>
      <c r="L330" s="664">
        <v>0.5</v>
      </c>
      <c r="M330" s="664">
        <v>69228.990000000005</v>
      </c>
      <c r="N330" s="664">
        <v>1</v>
      </c>
      <c r="O330" s="664">
        <v>69228.990000000005</v>
      </c>
      <c r="P330" s="677">
        <v>0.5</v>
      </c>
      <c r="Q330" s="665">
        <v>69228.990000000005</v>
      </c>
    </row>
    <row r="331" spans="1:17" ht="14.4" customHeight="1" x14ac:dyDescent="0.3">
      <c r="A331" s="660" t="s">
        <v>552</v>
      </c>
      <c r="B331" s="661" t="s">
        <v>3921</v>
      </c>
      <c r="C331" s="661" t="s">
        <v>3566</v>
      </c>
      <c r="D331" s="661" t="s">
        <v>3952</v>
      </c>
      <c r="E331" s="661" t="s">
        <v>3953</v>
      </c>
      <c r="F331" s="664">
        <v>1</v>
      </c>
      <c r="G331" s="664">
        <v>1796</v>
      </c>
      <c r="H331" s="664">
        <v>1</v>
      </c>
      <c r="I331" s="664">
        <v>1796</v>
      </c>
      <c r="J331" s="664"/>
      <c r="K331" s="664"/>
      <c r="L331" s="664"/>
      <c r="M331" s="664"/>
      <c r="N331" s="664"/>
      <c r="O331" s="664"/>
      <c r="P331" s="677"/>
      <c r="Q331" s="665"/>
    </row>
    <row r="332" spans="1:17" ht="14.4" customHeight="1" x14ac:dyDescent="0.3">
      <c r="A332" s="660" t="s">
        <v>552</v>
      </c>
      <c r="B332" s="661" t="s">
        <v>3921</v>
      </c>
      <c r="C332" s="661" t="s">
        <v>3566</v>
      </c>
      <c r="D332" s="661" t="s">
        <v>3625</v>
      </c>
      <c r="E332" s="661" t="s">
        <v>3626</v>
      </c>
      <c r="F332" s="664"/>
      <c r="G332" s="664"/>
      <c r="H332" s="664"/>
      <c r="I332" s="664"/>
      <c r="J332" s="664"/>
      <c r="K332" s="664"/>
      <c r="L332" s="664"/>
      <c r="M332" s="664"/>
      <c r="N332" s="664">
        <v>1</v>
      </c>
      <c r="O332" s="664">
        <v>17618.18</v>
      </c>
      <c r="P332" s="677"/>
      <c r="Q332" s="665">
        <v>17618.18</v>
      </c>
    </row>
    <row r="333" spans="1:17" ht="14.4" customHeight="1" x14ac:dyDescent="0.3">
      <c r="A333" s="660" t="s">
        <v>552</v>
      </c>
      <c r="B333" s="661" t="s">
        <v>3921</v>
      </c>
      <c r="C333" s="661" t="s">
        <v>3566</v>
      </c>
      <c r="D333" s="661" t="s">
        <v>3627</v>
      </c>
      <c r="E333" s="661" t="s">
        <v>3628</v>
      </c>
      <c r="F333" s="664">
        <v>3</v>
      </c>
      <c r="G333" s="664">
        <v>71509.08</v>
      </c>
      <c r="H333" s="664">
        <v>1</v>
      </c>
      <c r="I333" s="664">
        <v>23836.36</v>
      </c>
      <c r="J333" s="664"/>
      <c r="K333" s="664"/>
      <c r="L333" s="664"/>
      <c r="M333" s="664"/>
      <c r="N333" s="664">
        <v>1</v>
      </c>
      <c r="O333" s="664">
        <v>23836.36</v>
      </c>
      <c r="P333" s="677">
        <v>0.33333333333333331</v>
      </c>
      <c r="Q333" s="665">
        <v>23836.36</v>
      </c>
    </row>
    <row r="334" spans="1:17" ht="14.4" customHeight="1" x14ac:dyDescent="0.3">
      <c r="A334" s="660" t="s">
        <v>552</v>
      </c>
      <c r="B334" s="661" t="s">
        <v>3921</v>
      </c>
      <c r="C334" s="661" t="s">
        <v>3566</v>
      </c>
      <c r="D334" s="661" t="s">
        <v>3629</v>
      </c>
      <c r="E334" s="661" t="s">
        <v>3630</v>
      </c>
      <c r="F334" s="664">
        <v>3</v>
      </c>
      <c r="G334" s="664">
        <v>64619.34</v>
      </c>
      <c r="H334" s="664">
        <v>1</v>
      </c>
      <c r="I334" s="664">
        <v>21539.78</v>
      </c>
      <c r="J334" s="664"/>
      <c r="K334" s="664"/>
      <c r="L334" s="664"/>
      <c r="M334" s="664"/>
      <c r="N334" s="664"/>
      <c r="O334" s="664"/>
      <c r="P334" s="677"/>
      <c r="Q334" s="665"/>
    </row>
    <row r="335" spans="1:17" ht="14.4" customHeight="1" x14ac:dyDescent="0.3">
      <c r="A335" s="660" t="s">
        <v>552</v>
      </c>
      <c r="B335" s="661" t="s">
        <v>3921</v>
      </c>
      <c r="C335" s="661" t="s">
        <v>3566</v>
      </c>
      <c r="D335" s="661" t="s">
        <v>3631</v>
      </c>
      <c r="E335" s="661" t="s">
        <v>3632</v>
      </c>
      <c r="F335" s="664">
        <v>4</v>
      </c>
      <c r="G335" s="664">
        <v>19799.52</v>
      </c>
      <c r="H335" s="664">
        <v>1</v>
      </c>
      <c r="I335" s="664">
        <v>4949.88</v>
      </c>
      <c r="J335" s="664">
        <v>3</v>
      </c>
      <c r="K335" s="664">
        <v>14849.64</v>
      </c>
      <c r="L335" s="664">
        <v>0.75</v>
      </c>
      <c r="M335" s="664">
        <v>4949.88</v>
      </c>
      <c r="N335" s="664"/>
      <c r="O335" s="664"/>
      <c r="P335" s="677"/>
      <c r="Q335" s="665"/>
    </row>
    <row r="336" spans="1:17" ht="14.4" customHeight="1" x14ac:dyDescent="0.3">
      <c r="A336" s="660" t="s">
        <v>552</v>
      </c>
      <c r="B336" s="661" t="s">
        <v>3921</v>
      </c>
      <c r="C336" s="661" t="s">
        <v>3566</v>
      </c>
      <c r="D336" s="661" t="s">
        <v>3633</v>
      </c>
      <c r="E336" s="661" t="s">
        <v>3634</v>
      </c>
      <c r="F336" s="664"/>
      <c r="G336" s="664"/>
      <c r="H336" s="664"/>
      <c r="I336" s="664"/>
      <c r="J336" s="664">
        <v>1</v>
      </c>
      <c r="K336" s="664">
        <v>20441.03</v>
      </c>
      <c r="L336" s="664"/>
      <c r="M336" s="664">
        <v>20441.03</v>
      </c>
      <c r="N336" s="664">
        <v>1</v>
      </c>
      <c r="O336" s="664">
        <v>20441.03</v>
      </c>
      <c r="P336" s="677"/>
      <c r="Q336" s="665">
        <v>20441.03</v>
      </c>
    </row>
    <row r="337" spans="1:17" ht="14.4" customHeight="1" x14ac:dyDescent="0.3">
      <c r="A337" s="660" t="s">
        <v>552</v>
      </c>
      <c r="B337" s="661" t="s">
        <v>3921</v>
      </c>
      <c r="C337" s="661" t="s">
        <v>3566</v>
      </c>
      <c r="D337" s="661" t="s">
        <v>3635</v>
      </c>
      <c r="E337" s="661" t="s">
        <v>3636</v>
      </c>
      <c r="F337" s="664">
        <v>3</v>
      </c>
      <c r="G337" s="664">
        <v>77460.81</v>
      </c>
      <c r="H337" s="664">
        <v>1</v>
      </c>
      <c r="I337" s="664">
        <v>25820.27</v>
      </c>
      <c r="J337" s="664"/>
      <c r="K337" s="664"/>
      <c r="L337" s="664"/>
      <c r="M337" s="664"/>
      <c r="N337" s="664">
        <v>2</v>
      </c>
      <c r="O337" s="664">
        <v>51640.54</v>
      </c>
      <c r="P337" s="677">
        <v>0.66666666666666674</v>
      </c>
      <c r="Q337" s="665">
        <v>25820.27</v>
      </c>
    </row>
    <row r="338" spans="1:17" ht="14.4" customHeight="1" x14ac:dyDescent="0.3">
      <c r="A338" s="660" t="s">
        <v>552</v>
      </c>
      <c r="B338" s="661" t="s">
        <v>3921</v>
      </c>
      <c r="C338" s="661" t="s">
        <v>3566</v>
      </c>
      <c r="D338" s="661" t="s">
        <v>3954</v>
      </c>
      <c r="E338" s="661" t="s">
        <v>3955</v>
      </c>
      <c r="F338" s="664">
        <v>1</v>
      </c>
      <c r="G338" s="664">
        <v>16336</v>
      </c>
      <c r="H338" s="664">
        <v>1</v>
      </c>
      <c r="I338" s="664">
        <v>16336</v>
      </c>
      <c r="J338" s="664">
        <v>3</v>
      </c>
      <c r="K338" s="664">
        <v>49008</v>
      </c>
      <c r="L338" s="664">
        <v>3</v>
      </c>
      <c r="M338" s="664">
        <v>16336</v>
      </c>
      <c r="N338" s="664">
        <v>1</v>
      </c>
      <c r="O338" s="664">
        <v>16336</v>
      </c>
      <c r="P338" s="677">
        <v>1</v>
      </c>
      <c r="Q338" s="665">
        <v>16336</v>
      </c>
    </row>
    <row r="339" spans="1:17" ht="14.4" customHeight="1" x14ac:dyDescent="0.3">
      <c r="A339" s="660" t="s">
        <v>552</v>
      </c>
      <c r="B339" s="661" t="s">
        <v>3921</v>
      </c>
      <c r="C339" s="661" t="s">
        <v>3566</v>
      </c>
      <c r="D339" s="661" t="s">
        <v>3639</v>
      </c>
      <c r="E339" s="661" t="s">
        <v>3640</v>
      </c>
      <c r="F339" s="664">
        <v>12</v>
      </c>
      <c r="G339" s="664">
        <v>15660</v>
      </c>
      <c r="H339" s="664">
        <v>1</v>
      </c>
      <c r="I339" s="664">
        <v>1305</v>
      </c>
      <c r="J339" s="664">
        <v>8</v>
      </c>
      <c r="K339" s="664">
        <v>10440</v>
      </c>
      <c r="L339" s="664">
        <v>0.66666666666666663</v>
      </c>
      <c r="M339" s="664">
        <v>1305</v>
      </c>
      <c r="N339" s="664">
        <v>9</v>
      </c>
      <c r="O339" s="664">
        <v>11745</v>
      </c>
      <c r="P339" s="677">
        <v>0.75</v>
      </c>
      <c r="Q339" s="665">
        <v>1305</v>
      </c>
    </row>
    <row r="340" spans="1:17" ht="14.4" customHeight="1" x14ac:dyDescent="0.3">
      <c r="A340" s="660" t="s">
        <v>552</v>
      </c>
      <c r="B340" s="661" t="s">
        <v>3921</v>
      </c>
      <c r="C340" s="661" t="s">
        <v>3566</v>
      </c>
      <c r="D340" s="661" t="s">
        <v>3641</v>
      </c>
      <c r="E340" s="661" t="s">
        <v>3642</v>
      </c>
      <c r="F340" s="664">
        <v>15</v>
      </c>
      <c r="G340" s="664">
        <v>16170</v>
      </c>
      <c r="H340" s="664">
        <v>1</v>
      </c>
      <c r="I340" s="664">
        <v>1078</v>
      </c>
      <c r="J340" s="664">
        <v>8</v>
      </c>
      <c r="K340" s="664">
        <v>8624</v>
      </c>
      <c r="L340" s="664">
        <v>0.53333333333333333</v>
      </c>
      <c r="M340" s="664">
        <v>1078</v>
      </c>
      <c r="N340" s="664">
        <v>9</v>
      </c>
      <c r="O340" s="664">
        <v>9702</v>
      </c>
      <c r="P340" s="677">
        <v>0.6</v>
      </c>
      <c r="Q340" s="665">
        <v>1078</v>
      </c>
    </row>
    <row r="341" spans="1:17" ht="14.4" customHeight="1" x14ac:dyDescent="0.3">
      <c r="A341" s="660" t="s">
        <v>552</v>
      </c>
      <c r="B341" s="661" t="s">
        <v>3921</v>
      </c>
      <c r="C341" s="661" t="s">
        <v>3566</v>
      </c>
      <c r="D341" s="661" t="s">
        <v>3643</v>
      </c>
      <c r="E341" s="661" t="s">
        <v>3644</v>
      </c>
      <c r="F341" s="664">
        <v>1</v>
      </c>
      <c r="G341" s="664">
        <v>8509</v>
      </c>
      <c r="H341" s="664">
        <v>1</v>
      </c>
      <c r="I341" s="664">
        <v>8509</v>
      </c>
      <c r="J341" s="664">
        <v>2</v>
      </c>
      <c r="K341" s="664">
        <v>17018</v>
      </c>
      <c r="L341" s="664">
        <v>2</v>
      </c>
      <c r="M341" s="664">
        <v>8509</v>
      </c>
      <c r="N341" s="664"/>
      <c r="O341" s="664"/>
      <c r="P341" s="677"/>
      <c r="Q341" s="665"/>
    </row>
    <row r="342" spans="1:17" ht="14.4" customHeight="1" x14ac:dyDescent="0.3">
      <c r="A342" s="660" t="s">
        <v>552</v>
      </c>
      <c r="B342" s="661" t="s">
        <v>3921</v>
      </c>
      <c r="C342" s="661" t="s">
        <v>3566</v>
      </c>
      <c r="D342" s="661" t="s">
        <v>3645</v>
      </c>
      <c r="E342" s="661" t="s">
        <v>3646</v>
      </c>
      <c r="F342" s="664">
        <v>2</v>
      </c>
      <c r="G342" s="664">
        <v>11344</v>
      </c>
      <c r="H342" s="664">
        <v>1</v>
      </c>
      <c r="I342" s="664">
        <v>5672</v>
      </c>
      <c r="J342" s="664">
        <v>3</v>
      </c>
      <c r="K342" s="664">
        <v>17016</v>
      </c>
      <c r="L342" s="664">
        <v>1.5</v>
      </c>
      <c r="M342" s="664">
        <v>5672</v>
      </c>
      <c r="N342" s="664">
        <v>2</v>
      </c>
      <c r="O342" s="664">
        <v>11344</v>
      </c>
      <c r="P342" s="677">
        <v>1</v>
      </c>
      <c r="Q342" s="665">
        <v>5672</v>
      </c>
    </row>
    <row r="343" spans="1:17" ht="14.4" customHeight="1" x14ac:dyDescent="0.3">
      <c r="A343" s="660" t="s">
        <v>552</v>
      </c>
      <c r="B343" s="661" t="s">
        <v>3921</v>
      </c>
      <c r="C343" s="661" t="s">
        <v>3566</v>
      </c>
      <c r="D343" s="661" t="s">
        <v>3647</v>
      </c>
      <c r="E343" s="661" t="s">
        <v>3648</v>
      </c>
      <c r="F343" s="664">
        <v>34</v>
      </c>
      <c r="G343" s="664">
        <v>7208</v>
      </c>
      <c r="H343" s="664">
        <v>1</v>
      </c>
      <c r="I343" s="664">
        <v>212</v>
      </c>
      <c r="J343" s="664">
        <v>16</v>
      </c>
      <c r="K343" s="664">
        <v>3392</v>
      </c>
      <c r="L343" s="664">
        <v>0.47058823529411764</v>
      </c>
      <c r="M343" s="664">
        <v>212</v>
      </c>
      <c r="N343" s="664">
        <v>8</v>
      </c>
      <c r="O343" s="664">
        <v>1696</v>
      </c>
      <c r="P343" s="677">
        <v>0.23529411764705882</v>
      </c>
      <c r="Q343" s="665">
        <v>212</v>
      </c>
    </row>
    <row r="344" spans="1:17" ht="14.4" customHeight="1" x14ac:dyDescent="0.3">
      <c r="A344" s="660" t="s">
        <v>552</v>
      </c>
      <c r="B344" s="661" t="s">
        <v>3921</v>
      </c>
      <c r="C344" s="661" t="s">
        <v>3566</v>
      </c>
      <c r="D344" s="661" t="s">
        <v>3956</v>
      </c>
      <c r="E344" s="661" t="s">
        <v>3957</v>
      </c>
      <c r="F344" s="664"/>
      <c r="G344" s="664"/>
      <c r="H344" s="664"/>
      <c r="I344" s="664"/>
      <c r="J344" s="664">
        <v>2</v>
      </c>
      <c r="K344" s="664">
        <v>26182</v>
      </c>
      <c r="L344" s="664"/>
      <c r="M344" s="664">
        <v>13091</v>
      </c>
      <c r="N344" s="664"/>
      <c r="O344" s="664"/>
      <c r="P344" s="677"/>
      <c r="Q344" s="665"/>
    </row>
    <row r="345" spans="1:17" ht="14.4" customHeight="1" x14ac:dyDescent="0.3">
      <c r="A345" s="660" t="s">
        <v>552</v>
      </c>
      <c r="B345" s="661" t="s">
        <v>3921</v>
      </c>
      <c r="C345" s="661" t="s">
        <v>3566</v>
      </c>
      <c r="D345" s="661" t="s">
        <v>3958</v>
      </c>
      <c r="E345" s="661" t="s">
        <v>3959</v>
      </c>
      <c r="F345" s="664"/>
      <c r="G345" s="664"/>
      <c r="H345" s="664"/>
      <c r="I345" s="664"/>
      <c r="J345" s="664">
        <v>1</v>
      </c>
      <c r="K345" s="664">
        <v>8286.76</v>
      </c>
      <c r="L345" s="664"/>
      <c r="M345" s="664">
        <v>8286.76</v>
      </c>
      <c r="N345" s="664"/>
      <c r="O345" s="664"/>
      <c r="P345" s="677"/>
      <c r="Q345" s="665"/>
    </row>
    <row r="346" spans="1:17" ht="14.4" customHeight="1" x14ac:dyDescent="0.3">
      <c r="A346" s="660" t="s">
        <v>552</v>
      </c>
      <c r="B346" s="661" t="s">
        <v>3921</v>
      </c>
      <c r="C346" s="661" t="s">
        <v>3566</v>
      </c>
      <c r="D346" s="661" t="s">
        <v>3960</v>
      </c>
      <c r="E346" s="661" t="s">
        <v>3959</v>
      </c>
      <c r="F346" s="664"/>
      <c r="G346" s="664"/>
      <c r="H346" s="664"/>
      <c r="I346" s="664"/>
      <c r="J346" s="664">
        <v>6</v>
      </c>
      <c r="K346" s="664">
        <v>17323.86</v>
      </c>
      <c r="L346" s="664"/>
      <c r="M346" s="664">
        <v>2887.31</v>
      </c>
      <c r="N346" s="664"/>
      <c r="O346" s="664"/>
      <c r="P346" s="677"/>
      <c r="Q346" s="665"/>
    </row>
    <row r="347" spans="1:17" ht="14.4" customHeight="1" x14ac:dyDescent="0.3">
      <c r="A347" s="660" t="s">
        <v>552</v>
      </c>
      <c r="B347" s="661" t="s">
        <v>3921</v>
      </c>
      <c r="C347" s="661" t="s">
        <v>3566</v>
      </c>
      <c r="D347" s="661" t="s">
        <v>3657</v>
      </c>
      <c r="E347" s="661" t="s">
        <v>3658</v>
      </c>
      <c r="F347" s="664">
        <v>2</v>
      </c>
      <c r="G347" s="664">
        <v>11617.64</v>
      </c>
      <c r="H347" s="664">
        <v>1</v>
      </c>
      <c r="I347" s="664">
        <v>5808.82</v>
      </c>
      <c r="J347" s="664">
        <v>2</v>
      </c>
      <c r="K347" s="664">
        <v>11617.64</v>
      </c>
      <c r="L347" s="664">
        <v>1</v>
      </c>
      <c r="M347" s="664">
        <v>5808.82</v>
      </c>
      <c r="N347" s="664">
        <v>2</v>
      </c>
      <c r="O347" s="664">
        <v>11617.64</v>
      </c>
      <c r="P347" s="677">
        <v>1</v>
      </c>
      <c r="Q347" s="665">
        <v>5808.82</v>
      </c>
    </row>
    <row r="348" spans="1:17" ht="14.4" customHeight="1" x14ac:dyDescent="0.3">
      <c r="A348" s="660" t="s">
        <v>552</v>
      </c>
      <c r="B348" s="661" t="s">
        <v>3921</v>
      </c>
      <c r="C348" s="661" t="s">
        <v>3566</v>
      </c>
      <c r="D348" s="661" t="s">
        <v>3659</v>
      </c>
      <c r="E348" s="661" t="s">
        <v>3660</v>
      </c>
      <c r="F348" s="664">
        <v>4</v>
      </c>
      <c r="G348" s="664">
        <v>32898.32</v>
      </c>
      <c r="H348" s="664">
        <v>1</v>
      </c>
      <c r="I348" s="664">
        <v>8224.58</v>
      </c>
      <c r="J348" s="664">
        <v>2</v>
      </c>
      <c r="K348" s="664">
        <v>16449.16</v>
      </c>
      <c r="L348" s="664">
        <v>0.5</v>
      </c>
      <c r="M348" s="664">
        <v>8224.58</v>
      </c>
      <c r="N348" s="664">
        <v>2</v>
      </c>
      <c r="O348" s="664">
        <v>16449.16</v>
      </c>
      <c r="P348" s="677">
        <v>0.5</v>
      </c>
      <c r="Q348" s="665">
        <v>8224.58</v>
      </c>
    </row>
    <row r="349" spans="1:17" ht="14.4" customHeight="1" x14ac:dyDescent="0.3">
      <c r="A349" s="660" t="s">
        <v>552</v>
      </c>
      <c r="B349" s="661" t="s">
        <v>3921</v>
      </c>
      <c r="C349" s="661" t="s">
        <v>3566</v>
      </c>
      <c r="D349" s="661" t="s">
        <v>3663</v>
      </c>
      <c r="E349" s="661" t="s">
        <v>3664</v>
      </c>
      <c r="F349" s="664">
        <v>19</v>
      </c>
      <c r="G349" s="664">
        <v>23629.16</v>
      </c>
      <c r="H349" s="664">
        <v>1</v>
      </c>
      <c r="I349" s="664">
        <v>1243.6400000000001</v>
      </c>
      <c r="J349" s="664">
        <v>6</v>
      </c>
      <c r="K349" s="664">
        <v>7461.84</v>
      </c>
      <c r="L349" s="664">
        <v>0.31578947368421051</v>
      </c>
      <c r="M349" s="664">
        <v>1243.6400000000001</v>
      </c>
      <c r="N349" s="664">
        <v>10</v>
      </c>
      <c r="O349" s="664">
        <v>12436.400000000001</v>
      </c>
      <c r="P349" s="677">
        <v>0.52631578947368429</v>
      </c>
      <c r="Q349" s="665">
        <v>1243.6400000000001</v>
      </c>
    </row>
    <row r="350" spans="1:17" ht="14.4" customHeight="1" x14ac:dyDescent="0.3">
      <c r="A350" s="660" t="s">
        <v>552</v>
      </c>
      <c r="B350" s="661" t="s">
        <v>3921</v>
      </c>
      <c r="C350" s="661" t="s">
        <v>3566</v>
      </c>
      <c r="D350" s="661" t="s">
        <v>3665</v>
      </c>
      <c r="E350" s="661" t="s">
        <v>3666</v>
      </c>
      <c r="F350" s="664"/>
      <c r="G350" s="664"/>
      <c r="H350" s="664"/>
      <c r="I350" s="664"/>
      <c r="J350" s="664"/>
      <c r="K350" s="664"/>
      <c r="L350" s="664"/>
      <c r="M350" s="664"/>
      <c r="N350" s="664">
        <v>1</v>
      </c>
      <c r="O350" s="664">
        <v>16137.22</v>
      </c>
      <c r="P350" s="677"/>
      <c r="Q350" s="665">
        <v>16137.22</v>
      </c>
    </row>
    <row r="351" spans="1:17" ht="14.4" customHeight="1" x14ac:dyDescent="0.3">
      <c r="A351" s="660" t="s">
        <v>552</v>
      </c>
      <c r="B351" s="661" t="s">
        <v>3921</v>
      </c>
      <c r="C351" s="661" t="s">
        <v>3566</v>
      </c>
      <c r="D351" s="661" t="s">
        <v>3667</v>
      </c>
      <c r="E351" s="661" t="s">
        <v>3668</v>
      </c>
      <c r="F351" s="664">
        <v>5</v>
      </c>
      <c r="G351" s="664">
        <v>8290</v>
      </c>
      <c r="H351" s="664">
        <v>1</v>
      </c>
      <c r="I351" s="664">
        <v>1658</v>
      </c>
      <c r="J351" s="664">
        <v>2</v>
      </c>
      <c r="K351" s="664">
        <v>3316</v>
      </c>
      <c r="L351" s="664">
        <v>0.4</v>
      </c>
      <c r="M351" s="664">
        <v>1658</v>
      </c>
      <c r="N351" s="664"/>
      <c r="O351" s="664"/>
      <c r="P351" s="677"/>
      <c r="Q351" s="665"/>
    </row>
    <row r="352" spans="1:17" ht="14.4" customHeight="1" x14ac:dyDescent="0.3">
      <c r="A352" s="660" t="s">
        <v>552</v>
      </c>
      <c r="B352" s="661" t="s">
        <v>3921</v>
      </c>
      <c r="C352" s="661" t="s">
        <v>3566</v>
      </c>
      <c r="D352" s="661" t="s">
        <v>3961</v>
      </c>
      <c r="E352" s="661" t="s">
        <v>3962</v>
      </c>
      <c r="F352" s="664"/>
      <c r="G352" s="664"/>
      <c r="H352" s="664"/>
      <c r="I352" s="664"/>
      <c r="J352" s="664"/>
      <c r="K352" s="664"/>
      <c r="L352" s="664"/>
      <c r="M352" s="664"/>
      <c r="N352" s="664">
        <v>6</v>
      </c>
      <c r="O352" s="664">
        <v>8563.68</v>
      </c>
      <c r="P352" s="677"/>
      <c r="Q352" s="665">
        <v>1427.28</v>
      </c>
    </row>
    <row r="353" spans="1:17" ht="14.4" customHeight="1" x14ac:dyDescent="0.3">
      <c r="A353" s="660" t="s">
        <v>552</v>
      </c>
      <c r="B353" s="661" t="s">
        <v>3921</v>
      </c>
      <c r="C353" s="661" t="s">
        <v>3566</v>
      </c>
      <c r="D353" s="661" t="s">
        <v>3963</v>
      </c>
      <c r="E353" s="661" t="s">
        <v>3964</v>
      </c>
      <c r="F353" s="664"/>
      <c r="G353" s="664"/>
      <c r="H353" s="664"/>
      <c r="I353" s="664"/>
      <c r="J353" s="664"/>
      <c r="K353" s="664"/>
      <c r="L353" s="664"/>
      <c r="M353" s="664"/>
      <c r="N353" s="664">
        <v>1</v>
      </c>
      <c r="O353" s="664">
        <v>8449.4699999999993</v>
      </c>
      <c r="P353" s="677"/>
      <c r="Q353" s="665">
        <v>8449.4699999999993</v>
      </c>
    </row>
    <row r="354" spans="1:17" ht="14.4" customHeight="1" x14ac:dyDescent="0.3">
      <c r="A354" s="660" t="s">
        <v>552</v>
      </c>
      <c r="B354" s="661" t="s">
        <v>3921</v>
      </c>
      <c r="C354" s="661" t="s">
        <v>3566</v>
      </c>
      <c r="D354" s="661" t="s">
        <v>3672</v>
      </c>
      <c r="E354" s="661" t="s">
        <v>3673</v>
      </c>
      <c r="F354" s="664">
        <v>5</v>
      </c>
      <c r="G354" s="664">
        <v>8938</v>
      </c>
      <c r="H354" s="664">
        <v>1</v>
      </c>
      <c r="I354" s="664">
        <v>1787.6</v>
      </c>
      <c r="J354" s="664">
        <v>10</v>
      </c>
      <c r="K354" s="664">
        <v>17876</v>
      </c>
      <c r="L354" s="664">
        <v>2</v>
      </c>
      <c r="M354" s="664">
        <v>1787.6</v>
      </c>
      <c r="N354" s="664">
        <v>20</v>
      </c>
      <c r="O354" s="664">
        <v>35752</v>
      </c>
      <c r="P354" s="677">
        <v>4</v>
      </c>
      <c r="Q354" s="665">
        <v>1787.6</v>
      </c>
    </row>
    <row r="355" spans="1:17" ht="14.4" customHeight="1" x14ac:dyDescent="0.3">
      <c r="A355" s="660" t="s">
        <v>552</v>
      </c>
      <c r="B355" s="661" t="s">
        <v>3921</v>
      </c>
      <c r="C355" s="661" t="s">
        <v>3566</v>
      </c>
      <c r="D355" s="661" t="s">
        <v>3674</v>
      </c>
      <c r="E355" s="661" t="s">
        <v>3675</v>
      </c>
      <c r="F355" s="664"/>
      <c r="G355" s="664"/>
      <c r="H355" s="664"/>
      <c r="I355" s="664"/>
      <c r="J355" s="664">
        <v>1</v>
      </c>
      <c r="K355" s="664">
        <v>72421.09</v>
      </c>
      <c r="L355" s="664"/>
      <c r="M355" s="664">
        <v>72421.09</v>
      </c>
      <c r="N355" s="664"/>
      <c r="O355" s="664"/>
      <c r="P355" s="677"/>
      <c r="Q355" s="665"/>
    </row>
    <row r="356" spans="1:17" ht="14.4" customHeight="1" x14ac:dyDescent="0.3">
      <c r="A356" s="660" t="s">
        <v>552</v>
      </c>
      <c r="B356" s="661" t="s">
        <v>3921</v>
      </c>
      <c r="C356" s="661" t="s">
        <v>3566</v>
      </c>
      <c r="D356" s="661" t="s">
        <v>3681</v>
      </c>
      <c r="E356" s="661" t="s">
        <v>3682</v>
      </c>
      <c r="F356" s="664"/>
      <c r="G356" s="664"/>
      <c r="H356" s="664"/>
      <c r="I356" s="664"/>
      <c r="J356" s="664">
        <v>1</v>
      </c>
      <c r="K356" s="664">
        <v>12500</v>
      </c>
      <c r="L356" s="664"/>
      <c r="M356" s="664">
        <v>12500</v>
      </c>
      <c r="N356" s="664">
        <v>1</v>
      </c>
      <c r="O356" s="664">
        <v>12500</v>
      </c>
      <c r="P356" s="677"/>
      <c r="Q356" s="665">
        <v>12500</v>
      </c>
    </row>
    <row r="357" spans="1:17" ht="14.4" customHeight="1" x14ac:dyDescent="0.3">
      <c r="A357" s="660" t="s">
        <v>552</v>
      </c>
      <c r="B357" s="661" t="s">
        <v>3921</v>
      </c>
      <c r="C357" s="661" t="s">
        <v>3566</v>
      </c>
      <c r="D357" s="661" t="s">
        <v>3683</v>
      </c>
      <c r="E357" s="661" t="s">
        <v>3684</v>
      </c>
      <c r="F357" s="664">
        <v>1</v>
      </c>
      <c r="G357" s="664">
        <v>57507</v>
      </c>
      <c r="H357" s="664">
        <v>1</v>
      </c>
      <c r="I357" s="664">
        <v>57507</v>
      </c>
      <c r="J357" s="664"/>
      <c r="K357" s="664"/>
      <c r="L357" s="664"/>
      <c r="M357" s="664"/>
      <c r="N357" s="664">
        <v>1</v>
      </c>
      <c r="O357" s="664">
        <v>57507</v>
      </c>
      <c r="P357" s="677">
        <v>1</v>
      </c>
      <c r="Q357" s="665">
        <v>57507</v>
      </c>
    </row>
    <row r="358" spans="1:17" ht="14.4" customHeight="1" x14ac:dyDescent="0.3">
      <c r="A358" s="660" t="s">
        <v>552</v>
      </c>
      <c r="B358" s="661" t="s">
        <v>3921</v>
      </c>
      <c r="C358" s="661" t="s">
        <v>3566</v>
      </c>
      <c r="D358" s="661" t="s">
        <v>3687</v>
      </c>
      <c r="E358" s="661" t="s">
        <v>3688</v>
      </c>
      <c r="F358" s="664">
        <v>1</v>
      </c>
      <c r="G358" s="664">
        <v>13690.36</v>
      </c>
      <c r="H358" s="664">
        <v>1</v>
      </c>
      <c r="I358" s="664">
        <v>13690.36</v>
      </c>
      <c r="J358" s="664">
        <v>3</v>
      </c>
      <c r="K358" s="664">
        <v>41071.08</v>
      </c>
      <c r="L358" s="664">
        <v>3</v>
      </c>
      <c r="M358" s="664">
        <v>13690.36</v>
      </c>
      <c r="N358" s="664"/>
      <c r="O358" s="664"/>
      <c r="P358" s="677"/>
      <c r="Q358" s="665"/>
    </row>
    <row r="359" spans="1:17" ht="14.4" customHeight="1" x14ac:dyDescent="0.3">
      <c r="A359" s="660" t="s">
        <v>552</v>
      </c>
      <c r="B359" s="661" t="s">
        <v>3921</v>
      </c>
      <c r="C359" s="661" t="s">
        <v>3566</v>
      </c>
      <c r="D359" s="661" t="s">
        <v>3965</v>
      </c>
      <c r="E359" s="661" t="s">
        <v>3966</v>
      </c>
      <c r="F359" s="664">
        <v>2</v>
      </c>
      <c r="G359" s="664">
        <v>38800</v>
      </c>
      <c r="H359" s="664">
        <v>1</v>
      </c>
      <c r="I359" s="664">
        <v>19400</v>
      </c>
      <c r="J359" s="664">
        <v>1</v>
      </c>
      <c r="K359" s="664">
        <v>19400</v>
      </c>
      <c r="L359" s="664">
        <v>0.5</v>
      </c>
      <c r="M359" s="664">
        <v>19400</v>
      </c>
      <c r="N359" s="664"/>
      <c r="O359" s="664"/>
      <c r="P359" s="677"/>
      <c r="Q359" s="665"/>
    </row>
    <row r="360" spans="1:17" ht="14.4" customHeight="1" x14ac:dyDescent="0.3">
      <c r="A360" s="660" t="s">
        <v>552</v>
      </c>
      <c r="B360" s="661" t="s">
        <v>3921</v>
      </c>
      <c r="C360" s="661" t="s">
        <v>3566</v>
      </c>
      <c r="D360" s="661" t="s">
        <v>3691</v>
      </c>
      <c r="E360" s="661" t="s">
        <v>3692</v>
      </c>
      <c r="F360" s="664"/>
      <c r="G360" s="664"/>
      <c r="H360" s="664"/>
      <c r="I360" s="664"/>
      <c r="J360" s="664"/>
      <c r="K360" s="664"/>
      <c r="L360" s="664"/>
      <c r="M360" s="664"/>
      <c r="N360" s="664">
        <v>1</v>
      </c>
      <c r="O360" s="664">
        <v>2487.27</v>
      </c>
      <c r="P360" s="677"/>
      <c r="Q360" s="665">
        <v>2487.27</v>
      </c>
    </row>
    <row r="361" spans="1:17" ht="14.4" customHeight="1" x14ac:dyDescent="0.3">
      <c r="A361" s="660" t="s">
        <v>552</v>
      </c>
      <c r="B361" s="661" t="s">
        <v>3921</v>
      </c>
      <c r="C361" s="661" t="s">
        <v>3566</v>
      </c>
      <c r="D361" s="661" t="s">
        <v>3967</v>
      </c>
      <c r="E361" s="661" t="s">
        <v>3968</v>
      </c>
      <c r="F361" s="664"/>
      <c r="G361" s="664"/>
      <c r="H361" s="664"/>
      <c r="I361" s="664"/>
      <c r="J361" s="664">
        <v>1</v>
      </c>
      <c r="K361" s="664">
        <v>8683.69</v>
      </c>
      <c r="L361" s="664"/>
      <c r="M361" s="664">
        <v>8683.69</v>
      </c>
      <c r="N361" s="664"/>
      <c r="O361" s="664"/>
      <c r="P361" s="677"/>
      <c r="Q361" s="665"/>
    </row>
    <row r="362" spans="1:17" ht="14.4" customHeight="1" x14ac:dyDescent="0.3">
      <c r="A362" s="660" t="s">
        <v>552</v>
      </c>
      <c r="B362" s="661" t="s">
        <v>3921</v>
      </c>
      <c r="C362" s="661" t="s">
        <v>3566</v>
      </c>
      <c r="D362" s="661" t="s">
        <v>3969</v>
      </c>
      <c r="E362" s="661" t="s">
        <v>3403</v>
      </c>
      <c r="F362" s="664">
        <v>1</v>
      </c>
      <c r="G362" s="664">
        <v>181500</v>
      </c>
      <c r="H362" s="664">
        <v>1</v>
      </c>
      <c r="I362" s="664">
        <v>181500</v>
      </c>
      <c r="J362" s="664"/>
      <c r="K362" s="664"/>
      <c r="L362" s="664"/>
      <c r="M362" s="664"/>
      <c r="N362" s="664"/>
      <c r="O362" s="664"/>
      <c r="P362" s="677"/>
      <c r="Q362" s="665"/>
    </row>
    <row r="363" spans="1:17" ht="14.4" customHeight="1" x14ac:dyDescent="0.3">
      <c r="A363" s="660" t="s">
        <v>552</v>
      </c>
      <c r="B363" s="661" t="s">
        <v>3921</v>
      </c>
      <c r="C363" s="661" t="s">
        <v>3566</v>
      </c>
      <c r="D363" s="661" t="s">
        <v>3970</v>
      </c>
      <c r="E363" s="661" t="s">
        <v>3971</v>
      </c>
      <c r="F363" s="664"/>
      <c r="G363" s="664"/>
      <c r="H363" s="664"/>
      <c r="I363" s="664"/>
      <c r="J363" s="664"/>
      <c r="K363" s="664"/>
      <c r="L363" s="664"/>
      <c r="M363" s="664"/>
      <c r="N363" s="664">
        <v>2</v>
      </c>
      <c r="O363" s="664">
        <v>14180.56</v>
      </c>
      <c r="P363" s="677"/>
      <c r="Q363" s="665">
        <v>7090.28</v>
      </c>
    </row>
    <row r="364" spans="1:17" ht="14.4" customHeight="1" x14ac:dyDescent="0.3">
      <c r="A364" s="660" t="s">
        <v>552</v>
      </c>
      <c r="B364" s="661" t="s">
        <v>3921</v>
      </c>
      <c r="C364" s="661" t="s">
        <v>3566</v>
      </c>
      <c r="D364" s="661" t="s">
        <v>3972</v>
      </c>
      <c r="E364" s="661" t="s">
        <v>3973</v>
      </c>
      <c r="F364" s="664"/>
      <c r="G364" s="664"/>
      <c r="H364" s="664"/>
      <c r="I364" s="664"/>
      <c r="J364" s="664"/>
      <c r="K364" s="664"/>
      <c r="L364" s="664"/>
      <c r="M364" s="664"/>
      <c r="N364" s="664">
        <v>1</v>
      </c>
      <c r="O364" s="664">
        <v>52000</v>
      </c>
      <c r="P364" s="677"/>
      <c r="Q364" s="665">
        <v>52000</v>
      </c>
    </row>
    <row r="365" spans="1:17" ht="14.4" customHeight="1" x14ac:dyDescent="0.3">
      <c r="A365" s="660" t="s">
        <v>552</v>
      </c>
      <c r="B365" s="661" t="s">
        <v>3921</v>
      </c>
      <c r="C365" s="661" t="s">
        <v>3411</v>
      </c>
      <c r="D365" s="661" t="s">
        <v>3974</v>
      </c>
      <c r="E365" s="661" t="s">
        <v>3975</v>
      </c>
      <c r="F365" s="664">
        <v>150</v>
      </c>
      <c r="G365" s="664">
        <v>4794752</v>
      </c>
      <c r="H365" s="664">
        <v>1</v>
      </c>
      <c r="I365" s="664">
        <v>31965.013333333332</v>
      </c>
      <c r="J365" s="664">
        <v>179</v>
      </c>
      <c r="K365" s="664">
        <v>5721914</v>
      </c>
      <c r="L365" s="664">
        <v>1.1933701680504019</v>
      </c>
      <c r="M365" s="664">
        <v>31966</v>
      </c>
      <c r="N365" s="664">
        <v>178</v>
      </c>
      <c r="O365" s="664">
        <v>5689948</v>
      </c>
      <c r="P365" s="677">
        <v>1.1867032956031929</v>
      </c>
      <c r="Q365" s="665">
        <v>31966</v>
      </c>
    </row>
    <row r="366" spans="1:17" ht="14.4" customHeight="1" x14ac:dyDescent="0.3">
      <c r="A366" s="660" t="s">
        <v>552</v>
      </c>
      <c r="B366" s="661" t="s">
        <v>3921</v>
      </c>
      <c r="C366" s="661" t="s">
        <v>3411</v>
      </c>
      <c r="D366" s="661" t="s">
        <v>3976</v>
      </c>
      <c r="E366" s="661" t="s">
        <v>3977</v>
      </c>
      <c r="F366" s="664">
        <v>2</v>
      </c>
      <c r="G366" s="664">
        <v>23792</v>
      </c>
      <c r="H366" s="664">
        <v>1</v>
      </c>
      <c r="I366" s="664">
        <v>11896</v>
      </c>
      <c r="J366" s="664">
        <v>4</v>
      </c>
      <c r="K366" s="664">
        <v>47588</v>
      </c>
      <c r="L366" s="664">
        <v>2.0001681237390718</v>
      </c>
      <c r="M366" s="664">
        <v>11897</v>
      </c>
      <c r="N366" s="664">
        <v>1</v>
      </c>
      <c r="O366" s="664">
        <v>11897</v>
      </c>
      <c r="P366" s="677">
        <v>0.50004203093476796</v>
      </c>
      <c r="Q366" s="665">
        <v>11897</v>
      </c>
    </row>
    <row r="367" spans="1:17" ht="14.4" customHeight="1" x14ac:dyDescent="0.3">
      <c r="A367" s="660" t="s">
        <v>552</v>
      </c>
      <c r="B367" s="661" t="s">
        <v>3921</v>
      </c>
      <c r="C367" s="661" t="s">
        <v>3411</v>
      </c>
      <c r="D367" s="661" t="s">
        <v>3414</v>
      </c>
      <c r="E367" s="661" t="s">
        <v>3415</v>
      </c>
      <c r="F367" s="664">
        <v>13</v>
      </c>
      <c r="G367" s="664">
        <v>8489</v>
      </c>
      <c r="H367" s="664">
        <v>1</v>
      </c>
      <c r="I367" s="664">
        <v>653</v>
      </c>
      <c r="J367" s="664"/>
      <c r="K367" s="664"/>
      <c r="L367" s="664"/>
      <c r="M367" s="664"/>
      <c r="N367" s="664"/>
      <c r="O367" s="664"/>
      <c r="P367" s="677"/>
      <c r="Q367" s="665"/>
    </row>
    <row r="368" spans="1:17" ht="14.4" customHeight="1" x14ac:dyDescent="0.3">
      <c r="A368" s="660" t="s">
        <v>552</v>
      </c>
      <c r="B368" s="661" t="s">
        <v>3921</v>
      </c>
      <c r="C368" s="661" t="s">
        <v>3411</v>
      </c>
      <c r="D368" s="661" t="s">
        <v>3484</v>
      </c>
      <c r="E368" s="661" t="s">
        <v>3485</v>
      </c>
      <c r="F368" s="664">
        <v>4</v>
      </c>
      <c r="G368" s="664">
        <v>928</v>
      </c>
      <c r="H368" s="664">
        <v>1</v>
      </c>
      <c r="I368" s="664">
        <v>232</v>
      </c>
      <c r="J368" s="664"/>
      <c r="K368" s="664"/>
      <c r="L368" s="664"/>
      <c r="M368" s="664"/>
      <c r="N368" s="664"/>
      <c r="O368" s="664"/>
      <c r="P368" s="677"/>
      <c r="Q368" s="665"/>
    </row>
    <row r="369" spans="1:17" ht="14.4" customHeight="1" x14ac:dyDescent="0.3">
      <c r="A369" s="660" t="s">
        <v>552</v>
      </c>
      <c r="B369" s="661" t="s">
        <v>3921</v>
      </c>
      <c r="C369" s="661" t="s">
        <v>3411</v>
      </c>
      <c r="D369" s="661" t="s">
        <v>3978</v>
      </c>
      <c r="E369" s="661" t="s">
        <v>3979</v>
      </c>
      <c r="F369" s="664">
        <v>10</v>
      </c>
      <c r="G369" s="664">
        <v>93200</v>
      </c>
      <c r="H369" s="664">
        <v>1</v>
      </c>
      <c r="I369" s="664">
        <v>9320</v>
      </c>
      <c r="J369" s="664">
        <v>20</v>
      </c>
      <c r="K369" s="664">
        <v>186400</v>
      </c>
      <c r="L369" s="664">
        <v>2</v>
      </c>
      <c r="M369" s="664">
        <v>9320</v>
      </c>
      <c r="N369" s="664">
        <v>14</v>
      </c>
      <c r="O369" s="664">
        <v>130480</v>
      </c>
      <c r="P369" s="677">
        <v>1.4</v>
      </c>
      <c r="Q369" s="665">
        <v>9320</v>
      </c>
    </row>
    <row r="370" spans="1:17" ht="14.4" customHeight="1" x14ac:dyDescent="0.3">
      <c r="A370" s="660" t="s">
        <v>552</v>
      </c>
      <c r="B370" s="661" t="s">
        <v>3921</v>
      </c>
      <c r="C370" s="661" t="s">
        <v>3411</v>
      </c>
      <c r="D370" s="661" t="s">
        <v>3715</v>
      </c>
      <c r="E370" s="661" t="s">
        <v>3716</v>
      </c>
      <c r="F370" s="664">
        <v>0</v>
      </c>
      <c r="G370" s="664">
        <v>0</v>
      </c>
      <c r="H370" s="664"/>
      <c r="I370" s="664"/>
      <c r="J370" s="664">
        <v>0</v>
      </c>
      <c r="K370" s="664">
        <v>0</v>
      </c>
      <c r="L370" s="664"/>
      <c r="M370" s="664"/>
      <c r="N370" s="664">
        <v>0</v>
      </c>
      <c r="O370" s="664">
        <v>0</v>
      </c>
      <c r="P370" s="677"/>
      <c r="Q370" s="665"/>
    </row>
    <row r="371" spans="1:17" ht="14.4" customHeight="1" x14ac:dyDescent="0.3">
      <c r="A371" s="660" t="s">
        <v>552</v>
      </c>
      <c r="B371" s="661" t="s">
        <v>3921</v>
      </c>
      <c r="C371" s="661" t="s">
        <v>3411</v>
      </c>
      <c r="D371" s="661" t="s">
        <v>3717</v>
      </c>
      <c r="E371" s="661" t="s">
        <v>3718</v>
      </c>
      <c r="F371" s="664">
        <v>174</v>
      </c>
      <c r="G371" s="664">
        <v>0</v>
      </c>
      <c r="H371" s="664"/>
      <c r="I371" s="664">
        <v>0</v>
      </c>
      <c r="J371" s="664">
        <v>178</v>
      </c>
      <c r="K371" s="664">
        <v>0</v>
      </c>
      <c r="L371" s="664"/>
      <c r="M371" s="664">
        <v>0</v>
      </c>
      <c r="N371" s="664">
        <v>160</v>
      </c>
      <c r="O371" s="664">
        <v>0</v>
      </c>
      <c r="P371" s="677"/>
      <c r="Q371" s="665">
        <v>0</v>
      </c>
    </row>
    <row r="372" spans="1:17" ht="14.4" customHeight="1" x14ac:dyDescent="0.3">
      <c r="A372" s="660" t="s">
        <v>552</v>
      </c>
      <c r="B372" s="661" t="s">
        <v>3921</v>
      </c>
      <c r="C372" s="661" t="s">
        <v>3411</v>
      </c>
      <c r="D372" s="661" t="s">
        <v>3980</v>
      </c>
      <c r="E372" s="661" t="s">
        <v>3981</v>
      </c>
      <c r="F372" s="664">
        <v>4</v>
      </c>
      <c r="G372" s="664">
        <v>0</v>
      </c>
      <c r="H372" s="664"/>
      <c r="I372" s="664">
        <v>0</v>
      </c>
      <c r="J372" s="664"/>
      <c r="K372" s="664"/>
      <c r="L372" s="664"/>
      <c r="M372" s="664"/>
      <c r="N372" s="664">
        <v>1</v>
      </c>
      <c r="O372" s="664">
        <v>0</v>
      </c>
      <c r="P372" s="677"/>
      <c r="Q372" s="665">
        <v>0</v>
      </c>
    </row>
    <row r="373" spans="1:17" ht="14.4" customHeight="1" x14ac:dyDescent="0.3">
      <c r="A373" s="660" t="s">
        <v>552</v>
      </c>
      <c r="B373" s="661" t="s">
        <v>3921</v>
      </c>
      <c r="C373" s="661" t="s">
        <v>3411</v>
      </c>
      <c r="D373" s="661" t="s">
        <v>3982</v>
      </c>
      <c r="E373" s="661" t="s">
        <v>3983</v>
      </c>
      <c r="F373" s="664">
        <v>1</v>
      </c>
      <c r="G373" s="664">
        <v>0</v>
      </c>
      <c r="H373" s="664"/>
      <c r="I373" s="664">
        <v>0</v>
      </c>
      <c r="J373" s="664"/>
      <c r="K373" s="664"/>
      <c r="L373" s="664"/>
      <c r="M373" s="664"/>
      <c r="N373" s="664"/>
      <c r="O373" s="664"/>
      <c r="P373" s="677"/>
      <c r="Q373" s="665"/>
    </row>
    <row r="374" spans="1:17" ht="14.4" customHeight="1" x14ac:dyDescent="0.3">
      <c r="A374" s="660" t="s">
        <v>552</v>
      </c>
      <c r="B374" s="661" t="s">
        <v>3921</v>
      </c>
      <c r="C374" s="661" t="s">
        <v>3411</v>
      </c>
      <c r="D374" s="661" t="s">
        <v>3788</v>
      </c>
      <c r="E374" s="661" t="s">
        <v>3789</v>
      </c>
      <c r="F374" s="664">
        <v>51</v>
      </c>
      <c r="G374" s="664">
        <v>0</v>
      </c>
      <c r="H374" s="664"/>
      <c r="I374" s="664">
        <v>0</v>
      </c>
      <c r="J374" s="664"/>
      <c r="K374" s="664"/>
      <c r="L374" s="664"/>
      <c r="M374" s="664"/>
      <c r="N374" s="664"/>
      <c r="O374" s="664"/>
      <c r="P374" s="677"/>
      <c r="Q374" s="665"/>
    </row>
    <row r="375" spans="1:17" ht="14.4" customHeight="1" x14ac:dyDescent="0.3">
      <c r="A375" s="660" t="s">
        <v>552</v>
      </c>
      <c r="B375" s="661" t="s">
        <v>3921</v>
      </c>
      <c r="C375" s="661" t="s">
        <v>3411</v>
      </c>
      <c r="D375" s="661" t="s">
        <v>3984</v>
      </c>
      <c r="E375" s="661" t="s">
        <v>3981</v>
      </c>
      <c r="F375" s="664">
        <v>2</v>
      </c>
      <c r="G375" s="664">
        <v>0</v>
      </c>
      <c r="H375" s="664"/>
      <c r="I375" s="664">
        <v>0</v>
      </c>
      <c r="J375" s="664">
        <v>2</v>
      </c>
      <c r="K375" s="664">
        <v>0</v>
      </c>
      <c r="L375" s="664"/>
      <c r="M375" s="664">
        <v>0</v>
      </c>
      <c r="N375" s="664">
        <v>2</v>
      </c>
      <c r="O375" s="664">
        <v>0</v>
      </c>
      <c r="P375" s="677"/>
      <c r="Q375" s="665">
        <v>0</v>
      </c>
    </row>
    <row r="376" spans="1:17" ht="14.4" customHeight="1" x14ac:dyDescent="0.3">
      <c r="A376" s="660" t="s">
        <v>552</v>
      </c>
      <c r="B376" s="661" t="s">
        <v>3921</v>
      </c>
      <c r="C376" s="661" t="s">
        <v>3411</v>
      </c>
      <c r="D376" s="661" t="s">
        <v>3434</v>
      </c>
      <c r="E376" s="661" t="s">
        <v>3435</v>
      </c>
      <c r="F376" s="664">
        <v>3</v>
      </c>
      <c r="G376" s="664">
        <v>981</v>
      </c>
      <c r="H376" s="664">
        <v>1</v>
      </c>
      <c r="I376" s="664">
        <v>327</v>
      </c>
      <c r="J376" s="664"/>
      <c r="K376" s="664"/>
      <c r="L376" s="664"/>
      <c r="M376" s="664"/>
      <c r="N376" s="664"/>
      <c r="O376" s="664"/>
      <c r="P376" s="677"/>
      <c r="Q376" s="665"/>
    </row>
    <row r="377" spans="1:17" ht="14.4" customHeight="1" x14ac:dyDescent="0.3">
      <c r="A377" s="660" t="s">
        <v>552</v>
      </c>
      <c r="B377" s="661" t="s">
        <v>3921</v>
      </c>
      <c r="C377" s="661" t="s">
        <v>3411</v>
      </c>
      <c r="D377" s="661" t="s">
        <v>3985</v>
      </c>
      <c r="E377" s="661" t="s">
        <v>3986</v>
      </c>
      <c r="F377" s="664">
        <v>1</v>
      </c>
      <c r="G377" s="664">
        <v>5476</v>
      </c>
      <c r="H377" s="664">
        <v>1</v>
      </c>
      <c r="I377" s="664">
        <v>5476</v>
      </c>
      <c r="J377" s="664"/>
      <c r="K377" s="664"/>
      <c r="L377" s="664"/>
      <c r="M377" s="664"/>
      <c r="N377" s="664"/>
      <c r="O377" s="664"/>
      <c r="P377" s="677"/>
      <c r="Q377" s="665"/>
    </row>
    <row r="378" spans="1:17" ht="14.4" customHeight="1" x14ac:dyDescent="0.3">
      <c r="A378" s="660" t="s">
        <v>552</v>
      </c>
      <c r="B378" s="661" t="s">
        <v>3921</v>
      </c>
      <c r="C378" s="661" t="s">
        <v>3411</v>
      </c>
      <c r="D378" s="661" t="s">
        <v>3987</v>
      </c>
      <c r="E378" s="661" t="s">
        <v>3988</v>
      </c>
      <c r="F378" s="664">
        <v>45</v>
      </c>
      <c r="G378" s="664">
        <v>1078418</v>
      </c>
      <c r="H378" s="664">
        <v>1</v>
      </c>
      <c r="I378" s="664">
        <v>23964.844444444443</v>
      </c>
      <c r="J378" s="664">
        <v>27</v>
      </c>
      <c r="K378" s="664">
        <v>647082</v>
      </c>
      <c r="L378" s="664">
        <v>0.60002893126783863</v>
      </c>
      <c r="M378" s="664">
        <v>23966</v>
      </c>
      <c r="N378" s="664">
        <v>14</v>
      </c>
      <c r="O378" s="664">
        <v>335524</v>
      </c>
      <c r="P378" s="677">
        <v>0.31112611250924965</v>
      </c>
      <c r="Q378" s="665">
        <v>23966</v>
      </c>
    </row>
    <row r="379" spans="1:17" ht="14.4" customHeight="1" x14ac:dyDescent="0.3">
      <c r="A379" s="660" t="s">
        <v>552</v>
      </c>
      <c r="B379" s="661" t="s">
        <v>3921</v>
      </c>
      <c r="C379" s="661" t="s">
        <v>3411</v>
      </c>
      <c r="D379" s="661" t="s">
        <v>3989</v>
      </c>
      <c r="E379" s="661" t="s">
        <v>3990</v>
      </c>
      <c r="F379" s="664">
        <v>4</v>
      </c>
      <c r="G379" s="664">
        <v>26696</v>
      </c>
      <c r="H379" s="664">
        <v>1</v>
      </c>
      <c r="I379" s="664">
        <v>6674</v>
      </c>
      <c r="J379" s="664"/>
      <c r="K379" s="664"/>
      <c r="L379" s="664"/>
      <c r="M379" s="664"/>
      <c r="N379" s="664"/>
      <c r="O379" s="664"/>
      <c r="P379" s="677"/>
      <c r="Q379" s="665"/>
    </row>
    <row r="380" spans="1:17" ht="14.4" customHeight="1" x14ac:dyDescent="0.3">
      <c r="A380" s="660" t="s">
        <v>552</v>
      </c>
      <c r="B380" s="661" t="s">
        <v>3921</v>
      </c>
      <c r="C380" s="661" t="s">
        <v>3411</v>
      </c>
      <c r="D380" s="661" t="s">
        <v>3991</v>
      </c>
      <c r="E380" s="661" t="s">
        <v>3981</v>
      </c>
      <c r="F380" s="664"/>
      <c r="G380" s="664"/>
      <c r="H380" s="664"/>
      <c r="I380" s="664"/>
      <c r="J380" s="664">
        <v>2</v>
      </c>
      <c r="K380" s="664">
        <v>0</v>
      </c>
      <c r="L380" s="664"/>
      <c r="M380" s="664">
        <v>0</v>
      </c>
      <c r="N380" s="664">
        <v>3</v>
      </c>
      <c r="O380" s="664">
        <v>0</v>
      </c>
      <c r="P380" s="677"/>
      <c r="Q380" s="665">
        <v>0</v>
      </c>
    </row>
    <row r="381" spans="1:17" ht="14.4" customHeight="1" x14ac:dyDescent="0.3">
      <c r="A381" s="660" t="s">
        <v>552</v>
      </c>
      <c r="B381" s="661" t="s">
        <v>3921</v>
      </c>
      <c r="C381" s="661" t="s">
        <v>3411</v>
      </c>
      <c r="D381" s="661" t="s">
        <v>3992</v>
      </c>
      <c r="E381" s="661" t="s">
        <v>3993</v>
      </c>
      <c r="F381" s="664">
        <v>86</v>
      </c>
      <c r="G381" s="664">
        <v>2404972</v>
      </c>
      <c r="H381" s="664">
        <v>1</v>
      </c>
      <c r="I381" s="664">
        <v>27964.79069767442</v>
      </c>
      <c r="J381" s="664">
        <v>75</v>
      </c>
      <c r="K381" s="664">
        <v>2097450</v>
      </c>
      <c r="L381" s="664">
        <v>0.87213073582561462</v>
      </c>
      <c r="M381" s="664">
        <v>27966</v>
      </c>
      <c r="N381" s="664">
        <v>52</v>
      </c>
      <c r="O381" s="664">
        <v>1454232</v>
      </c>
      <c r="P381" s="677">
        <v>0.6046773101724261</v>
      </c>
      <c r="Q381" s="665">
        <v>27966</v>
      </c>
    </row>
    <row r="382" spans="1:17" ht="14.4" customHeight="1" x14ac:dyDescent="0.3">
      <c r="A382" s="660" t="s">
        <v>552</v>
      </c>
      <c r="B382" s="661" t="s">
        <v>3921</v>
      </c>
      <c r="C382" s="661" t="s">
        <v>3411</v>
      </c>
      <c r="D382" s="661" t="s">
        <v>3467</v>
      </c>
      <c r="E382" s="661" t="s">
        <v>3468</v>
      </c>
      <c r="F382" s="664">
        <v>10</v>
      </c>
      <c r="G382" s="664">
        <v>3440</v>
      </c>
      <c r="H382" s="664">
        <v>1</v>
      </c>
      <c r="I382" s="664">
        <v>344</v>
      </c>
      <c r="J382" s="664"/>
      <c r="K382" s="664"/>
      <c r="L382" s="664"/>
      <c r="M382" s="664"/>
      <c r="N382" s="664"/>
      <c r="O382" s="664"/>
      <c r="P382" s="677"/>
      <c r="Q382" s="665"/>
    </row>
    <row r="383" spans="1:17" ht="14.4" customHeight="1" x14ac:dyDescent="0.3">
      <c r="A383" s="660" t="s">
        <v>552</v>
      </c>
      <c r="B383" s="661" t="s">
        <v>3921</v>
      </c>
      <c r="C383" s="661" t="s">
        <v>3411</v>
      </c>
      <c r="D383" s="661" t="s">
        <v>3486</v>
      </c>
      <c r="E383" s="661" t="s">
        <v>3487</v>
      </c>
      <c r="F383" s="664"/>
      <c r="G383" s="664"/>
      <c r="H383" s="664"/>
      <c r="I383" s="664"/>
      <c r="J383" s="664">
        <v>10</v>
      </c>
      <c r="K383" s="664">
        <v>3440</v>
      </c>
      <c r="L383" s="664"/>
      <c r="M383" s="664">
        <v>344</v>
      </c>
      <c r="N383" s="664">
        <v>16</v>
      </c>
      <c r="O383" s="664">
        <v>5584</v>
      </c>
      <c r="P383" s="677"/>
      <c r="Q383" s="665">
        <v>349</v>
      </c>
    </row>
    <row r="384" spans="1:17" ht="14.4" customHeight="1" x14ac:dyDescent="0.3">
      <c r="A384" s="660" t="s">
        <v>552</v>
      </c>
      <c r="B384" s="661" t="s">
        <v>3921</v>
      </c>
      <c r="C384" s="661" t="s">
        <v>3411</v>
      </c>
      <c r="D384" s="661" t="s">
        <v>3493</v>
      </c>
      <c r="E384" s="661" t="s">
        <v>3494</v>
      </c>
      <c r="F384" s="664"/>
      <c r="G384" s="664"/>
      <c r="H384" s="664"/>
      <c r="I384" s="664"/>
      <c r="J384" s="664">
        <v>7</v>
      </c>
      <c r="K384" s="664">
        <v>1624</v>
      </c>
      <c r="L384" s="664"/>
      <c r="M384" s="664">
        <v>232</v>
      </c>
      <c r="N384" s="664">
        <v>6</v>
      </c>
      <c r="O384" s="664">
        <v>1410</v>
      </c>
      <c r="P384" s="677"/>
      <c r="Q384" s="665">
        <v>235</v>
      </c>
    </row>
    <row r="385" spans="1:17" ht="14.4" customHeight="1" x14ac:dyDescent="0.3">
      <c r="A385" s="660" t="s">
        <v>552</v>
      </c>
      <c r="B385" s="661" t="s">
        <v>3921</v>
      </c>
      <c r="C385" s="661" t="s">
        <v>3411</v>
      </c>
      <c r="D385" s="661" t="s">
        <v>3994</v>
      </c>
      <c r="E385" s="661" t="s">
        <v>3981</v>
      </c>
      <c r="F385" s="664">
        <v>3</v>
      </c>
      <c r="G385" s="664">
        <v>0</v>
      </c>
      <c r="H385" s="664"/>
      <c r="I385" s="664">
        <v>0</v>
      </c>
      <c r="J385" s="664">
        <v>1</v>
      </c>
      <c r="K385" s="664">
        <v>0</v>
      </c>
      <c r="L385" s="664"/>
      <c r="M385" s="664">
        <v>0</v>
      </c>
      <c r="N385" s="664"/>
      <c r="O385" s="664"/>
      <c r="P385" s="677"/>
      <c r="Q385" s="665"/>
    </row>
    <row r="386" spans="1:17" ht="14.4" customHeight="1" x14ac:dyDescent="0.3">
      <c r="A386" s="660" t="s">
        <v>552</v>
      </c>
      <c r="B386" s="661" t="s">
        <v>3995</v>
      </c>
      <c r="C386" s="661" t="s">
        <v>3411</v>
      </c>
      <c r="D386" s="661" t="s">
        <v>3705</v>
      </c>
      <c r="E386" s="661" t="s">
        <v>3706</v>
      </c>
      <c r="F386" s="664">
        <v>44</v>
      </c>
      <c r="G386" s="664">
        <v>10208</v>
      </c>
      <c r="H386" s="664">
        <v>1</v>
      </c>
      <c r="I386" s="664">
        <v>232</v>
      </c>
      <c r="J386" s="664">
        <v>86</v>
      </c>
      <c r="K386" s="664">
        <v>19952</v>
      </c>
      <c r="L386" s="664">
        <v>1.9545454545454546</v>
      </c>
      <c r="M386" s="664">
        <v>232</v>
      </c>
      <c r="N386" s="664">
        <v>85</v>
      </c>
      <c r="O386" s="664">
        <v>19975</v>
      </c>
      <c r="P386" s="677">
        <v>1.9567985893416928</v>
      </c>
      <c r="Q386" s="665">
        <v>235</v>
      </c>
    </row>
    <row r="387" spans="1:17" ht="14.4" customHeight="1" x14ac:dyDescent="0.3">
      <c r="A387" s="660" t="s">
        <v>552</v>
      </c>
      <c r="B387" s="661" t="s">
        <v>3995</v>
      </c>
      <c r="C387" s="661" t="s">
        <v>3411</v>
      </c>
      <c r="D387" s="661" t="s">
        <v>3707</v>
      </c>
      <c r="E387" s="661" t="s">
        <v>3708</v>
      </c>
      <c r="F387" s="664">
        <v>33</v>
      </c>
      <c r="G387" s="664">
        <v>3828</v>
      </c>
      <c r="H387" s="664">
        <v>1</v>
      </c>
      <c r="I387" s="664">
        <v>116</v>
      </c>
      <c r="J387" s="664">
        <v>78</v>
      </c>
      <c r="K387" s="664">
        <v>9048</v>
      </c>
      <c r="L387" s="664">
        <v>2.3636363636363638</v>
      </c>
      <c r="M387" s="664">
        <v>116</v>
      </c>
      <c r="N387" s="664">
        <v>78</v>
      </c>
      <c r="O387" s="664">
        <v>9204</v>
      </c>
      <c r="P387" s="677">
        <v>2.4043887147335421</v>
      </c>
      <c r="Q387" s="665">
        <v>118</v>
      </c>
    </row>
    <row r="388" spans="1:17" ht="14.4" customHeight="1" x14ac:dyDescent="0.3">
      <c r="A388" s="660" t="s">
        <v>552</v>
      </c>
      <c r="B388" s="661" t="s">
        <v>3995</v>
      </c>
      <c r="C388" s="661" t="s">
        <v>3411</v>
      </c>
      <c r="D388" s="661" t="s">
        <v>3709</v>
      </c>
      <c r="E388" s="661" t="s">
        <v>3710</v>
      </c>
      <c r="F388" s="664">
        <v>28</v>
      </c>
      <c r="G388" s="664">
        <v>25060</v>
      </c>
      <c r="H388" s="664">
        <v>1</v>
      </c>
      <c r="I388" s="664">
        <v>895</v>
      </c>
      <c r="J388" s="664">
        <v>46</v>
      </c>
      <c r="K388" s="664">
        <v>41170</v>
      </c>
      <c r="L388" s="664">
        <v>1.6428571428571428</v>
      </c>
      <c r="M388" s="664">
        <v>895</v>
      </c>
      <c r="N388" s="664">
        <v>48</v>
      </c>
      <c r="O388" s="664">
        <v>43200</v>
      </c>
      <c r="P388" s="677">
        <v>1.7238627294493216</v>
      </c>
      <c r="Q388" s="665">
        <v>900</v>
      </c>
    </row>
    <row r="389" spans="1:17" ht="14.4" customHeight="1" x14ac:dyDescent="0.3">
      <c r="A389" s="660" t="s">
        <v>552</v>
      </c>
      <c r="B389" s="661" t="s">
        <v>3995</v>
      </c>
      <c r="C389" s="661" t="s">
        <v>3411</v>
      </c>
      <c r="D389" s="661" t="s">
        <v>3778</v>
      </c>
      <c r="E389" s="661" t="s">
        <v>3779</v>
      </c>
      <c r="F389" s="664">
        <v>518</v>
      </c>
      <c r="G389" s="664">
        <v>42476</v>
      </c>
      <c r="H389" s="664">
        <v>1</v>
      </c>
      <c r="I389" s="664">
        <v>82</v>
      </c>
      <c r="J389" s="664">
        <v>1027</v>
      </c>
      <c r="K389" s="664">
        <v>84214</v>
      </c>
      <c r="L389" s="664">
        <v>1.9826254826254825</v>
      </c>
      <c r="M389" s="664">
        <v>82</v>
      </c>
      <c r="N389" s="664">
        <v>958</v>
      </c>
      <c r="O389" s="664">
        <v>81430</v>
      </c>
      <c r="P389" s="677">
        <v>1.9170825878142952</v>
      </c>
      <c r="Q389" s="665">
        <v>85</v>
      </c>
    </row>
    <row r="390" spans="1:17" ht="14.4" customHeight="1" x14ac:dyDescent="0.3">
      <c r="A390" s="660" t="s">
        <v>552</v>
      </c>
      <c r="B390" s="661" t="s">
        <v>3995</v>
      </c>
      <c r="C390" s="661" t="s">
        <v>3411</v>
      </c>
      <c r="D390" s="661" t="s">
        <v>3790</v>
      </c>
      <c r="E390" s="661" t="s">
        <v>3791</v>
      </c>
      <c r="F390" s="664">
        <v>518</v>
      </c>
      <c r="G390" s="664">
        <v>271432</v>
      </c>
      <c r="H390" s="664">
        <v>1</v>
      </c>
      <c r="I390" s="664">
        <v>524</v>
      </c>
      <c r="J390" s="664">
        <v>1027</v>
      </c>
      <c r="K390" s="664">
        <v>538148</v>
      </c>
      <c r="L390" s="664">
        <v>1.9826254826254825</v>
      </c>
      <c r="M390" s="664">
        <v>524</v>
      </c>
      <c r="N390" s="664">
        <v>979</v>
      </c>
      <c r="O390" s="664">
        <v>515933</v>
      </c>
      <c r="P390" s="677">
        <v>1.9007817795985735</v>
      </c>
      <c r="Q390" s="665">
        <v>527</v>
      </c>
    </row>
    <row r="391" spans="1:17" ht="14.4" customHeight="1" x14ac:dyDescent="0.3">
      <c r="A391" s="660" t="s">
        <v>552</v>
      </c>
      <c r="B391" s="661" t="s">
        <v>3995</v>
      </c>
      <c r="C391" s="661" t="s">
        <v>3411</v>
      </c>
      <c r="D391" s="661" t="s">
        <v>3796</v>
      </c>
      <c r="E391" s="661" t="s">
        <v>3797</v>
      </c>
      <c r="F391" s="664">
        <v>44</v>
      </c>
      <c r="G391" s="664">
        <v>7568</v>
      </c>
      <c r="H391" s="664">
        <v>1</v>
      </c>
      <c r="I391" s="664">
        <v>172</v>
      </c>
      <c r="J391" s="664">
        <v>83</v>
      </c>
      <c r="K391" s="664">
        <v>14276</v>
      </c>
      <c r="L391" s="664">
        <v>1.8863636363636365</v>
      </c>
      <c r="M391" s="664">
        <v>172</v>
      </c>
      <c r="N391" s="664">
        <v>81</v>
      </c>
      <c r="O391" s="664">
        <v>14094</v>
      </c>
      <c r="P391" s="677">
        <v>1.8623150105708246</v>
      </c>
      <c r="Q391" s="665">
        <v>174</v>
      </c>
    </row>
    <row r="392" spans="1:17" ht="14.4" customHeight="1" x14ac:dyDescent="0.3">
      <c r="A392" s="660" t="s">
        <v>552</v>
      </c>
      <c r="B392" s="661" t="s">
        <v>3995</v>
      </c>
      <c r="C392" s="661" t="s">
        <v>3411</v>
      </c>
      <c r="D392" s="661" t="s">
        <v>3806</v>
      </c>
      <c r="E392" s="661" t="s">
        <v>3807</v>
      </c>
      <c r="F392" s="664">
        <v>8</v>
      </c>
      <c r="G392" s="664">
        <v>2680</v>
      </c>
      <c r="H392" s="664">
        <v>1</v>
      </c>
      <c r="I392" s="664">
        <v>335</v>
      </c>
      <c r="J392" s="664">
        <v>3</v>
      </c>
      <c r="K392" s="664">
        <v>1005</v>
      </c>
      <c r="L392" s="664">
        <v>0.375</v>
      </c>
      <c r="M392" s="664">
        <v>335</v>
      </c>
      <c r="N392" s="664">
        <v>5</v>
      </c>
      <c r="O392" s="664">
        <v>1700</v>
      </c>
      <c r="P392" s="677">
        <v>0.63432835820895528</v>
      </c>
      <c r="Q392" s="665">
        <v>340</v>
      </c>
    </row>
    <row r="393" spans="1:17" ht="14.4" customHeight="1" x14ac:dyDescent="0.3">
      <c r="A393" s="660" t="s">
        <v>552</v>
      </c>
      <c r="B393" s="661" t="s">
        <v>3995</v>
      </c>
      <c r="C393" s="661" t="s">
        <v>3411</v>
      </c>
      <c r="D393" s="661" t="s">
        <v>3810</v>
      </c>
      <c r="E393" s="661" t="s">
        <v>3811</v>
      </c>
      <c r="F393" s="664">
        <v>40</v>
      </c>
      <c r="G393" s="664">
        <v>15480</v>
      </c>
      <c r="H393" s="664">
        <v>1</v>
      </c>
      <c r="I393" s="664">
        <v>387</v>
      </c>
      <c r="J393" s="664">
        <v>109</v>
      </c>
      <c r="K393" s="664">
        <v>42183</v>
      </c>
      <c r="L393" s="664">
        <v>2.7250000000000001</v>
      </c>
      <c r="M393" s="664">
        <v>387</v>
      </c>
      <c r="N393" s="664">
        <v>114</v>
      </c>
      <c r="O393" s="664">
        <v>44346</v>
      </c>
      <c r="P393" s="677">
        <v>2.8647286821705427</v>
      </c>
      <c r="Q393" s="665">
        <v>389</v>
      </c>
    </row>
    <row r="394" spans="1:17" ht="14.4" customHeight="1" x14ac:dyDescent="0.3">
      <c r="A394" s="660" t="s">
        <v>552</v>
      </c>
      <c r="B394" s="661" t="s">
        <v>3995</v>
      </c>
      <c r="C394" s="661" t="s">
        <v>3411</v>
      </c>
      <c r="D394" s="661" t="s">
        <v>3812</v>
      </c>
      <c r="E394" s="661" t="s">
        <v>3813</v>
      </c>
      <c r="F394" s="664">
        <v>8</v>
      </c>
      <c r="G394" s="664">
        <v>6880</v>
      </c>
      <c r="H394" s="664">
        <v>1</v>
      </c>
      <c r="I394" s="664">
        <v>860</v>
      </c>
      <c r="J394" s="664">
        <v>6</v>
      </c>
      <c r="K394" s="664">
        <v>5160</v>
      </c>
      <c r="L394" s="664">
        <v>0.75</v>
      </c>
      <c r="M394" s="664">
        <v>860</v>
      </c>
      <c r="N394" s="664">
        <v>26</v>
      </c>
      <c r="O394" s="664">
        <v>22438</v>
      </c>
      <c r="P394" s="677">
        <v>3.2613372093023254</v>
      </c>
      <c r="Q394" s="665">
        <v>863</v>
      </c>
    </row>
    <row r="395" spans="1:17" ht="14.4" customHeight="1" x14ac:dyDescent="0.3">
      <c r="A395" s="660" t="s">
        <v>552</v>
      </c>
      <c r="B395" s="661" t="s">
        <v>3995</v>
      </c>
      <c r="C395" s="661" t="s">
        <v>3411</v>
      </c>
      <c r="D395" s="661" t="s">
        <v>3818</v>
      </c>
      <c r="E395" s="661" t="s">
        <v>3813</v>
      </c>
      <c r="F395" s="664">
        <v>510</v>
      </c>
      <c r="G395" s="664">
        <v>480930</v>
      </c>
      <c r="H395" s="664">
        <v>1</v>
      </c>
      <c r="I395" s="664">
        <v>943</v>
      </c>
      <c r="J395" s="664">
        <v>1021</v>
      </c>
      <c r="K395" s="664">
        <v>962803</v>
      </c>
      <c r="L395" s="664">
        <v>2.0019607843137255</v>
      </c>
      <c r="M395" s="664">
        <v>943</v>
      </c>
      <c r="N395" s="664">
        <v>953</v>
      </c>
      <c r="O395" s="664">
        <v>901538</v>
      </c>
      <c r="P395" s="677">
        <v>1.8745721830619841</v>
      </c>
      <c r="Q395" s="665">
        <v>946</v>
      </c>
    </row>
    <row r="396" spans="1:17" ht="14.4" customHeight="1" x14ac:dyDescent="0.3">
      <c r="A396" s="660" t="s">
        <v>552</v>
      </c>
      <c r="B396" s="661" t="s">
        <v>3995</v>
      </c>
      <c r="C396" s="661" t="s">
        <v>3411</v>
      </c>
      <c r="D396" s="661" t="s">
        <v>3830</v>
      </c>
      <c r="E396" s="661" t="s">
        <v>3831</v>
      </c>
      <c r="F396" s="664">
        <v>2</v>
      </c>
      <c r="G396" s="664">
        <v>3358</v>
      </c>
      <c r="H396" s="664">
        <v>1</v>
      </c>
      <c r="I396" s="664">
        <v>1679</v>
      </c>
      <c r="J396" s="664">
        <v>7</v>
      </c>
      <c r="K396" s="664">
        <v>11753</v>
      </c>
      <c r="L396" s="664">
        <v>3.5</v>
      </c>
      <c r="M396" s="664">
        <v>1679</v>
      </c>
      <c r="N396" s="664">
        <v>2</v>
      </c>
      <c r="O396" s="664">
        <v>3396</v>
      </c>
      <c r="P396" s="677">
        <v>1.01131625967838</v>
      </c>
      <c r="Q396" s="665">
        <v>1698</v>
      </c>
    </row>
    <row r="397" spans="1:17" ht="14.4" customHeight="1" x14ac:dyDescent="0.3">
      <c r="A397" s="660" t="s">
        <v>552</v>
      </c>
      <c r="B397" s="661" t="s">
        <v>3995</v>
      </c>
      <c r="C397" s="661" t="s">
        <v>3411</v>
      </c>
      <c r="D397" s="661" t="s">
        <v>3996</v>
      </c>
      <c r="E397" s="661" t="s">
        <v>3997</v>
      </c>
      <c r="F397" s="664">
        <v>1</v>
      </c>
      <c r="G397" s="664">
        <v>606</v>
      </c>
      <c r="H397" s="664">
        <v>1</v>
      </c>
      <c r="I397" s="664">
        <v>606</v>
      </c>
      <c r="J397" s="664"/>
      <c r="K397" s="664"/>
      <c r="L397" s="664"/>
      <c r="M397" s="664"/>
      <c r="N397" s="664"/>
      <c r="O397" s="664"/>
      <c r="P397" s="677"/>
      <c r="Q397" s="665"/>
    </row>
    <row r="398" spans="1:17" ht="14.4" customHeight="1" thickBot="1" x14ac:dyDescent="0.35">
      <c r="A398" s="666" t="s">
        <v>3998</v>
      </c>
      <c r="B398" s="667" t="s">
        <v>3410</v>
      </c>
      <c r="C398" s="667" t="s">
        <v>3411</v>
      </c>
      <c r="D398" s="667" t="s">
        <v>3422</v>
      </c>
      <c r="E398" s="667" t="s">
        <v>3423</v>
      </c>
      <c r="F398" s="670"/>
      <c r="G398" s="670"/>
      <c r="H398" s="670"/>
      <c r="I398" s="670"/>
      <c r="J398" s="670">
        <v>1</v>
      </c>
      <c r="K398" s="670">
        <v>980</v>
      </c>
      <c r="L398" s="670"/>
      <c r="M398" s="670">
        <v>980</v>
      </c>
      <c r="N398" s="670"/>
      <c r="O398" s="670"/>
      <c r="P398" s="678"/>
      <c r="Q398" s="671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6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1" customWidth="1"/>
    <col min="2" max="4" width="7.88671875" style="361" customWidth="1"/>
    <col min="5" max="5" width="7.88671875" style="370" customWidth="1"/>
    <col min="6" max="8" width="7.88671875" style="361" customWidth="1"/>
    <col min="9" max="9" width="7.88671875" style="371" customWidth="1"/>
    <col min="10" max="13" width="7.88671875" style="361" customWidth="1"/>
    <col min="14" max="16384" width="9.33203125" style="361"/>
  </cols>
  <sheetData>
    <row r="1" spans="1:13" ht="18.600000000000001" customHeight="1" thickBot="1" x14ac:dyDescent="0.4">
      <c r="A1" s="577" t="s">
        <v>136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thickBot="1" x14ac:dyDescent="0.35">
      <c r="A2" s="383" t="s">
        <v>334</v>
      </c>
      <c r="B2" s="362"/>
      <c r="C2" s="362"/>
      <c r="D2" s="362"/>
      <c r="E2" s="362"/>
      <c r="F2" s="362"/>
      <c r="G2" s="362"/>
      <c r="H2" s="362"/>
      <c r="I2" s="362"/>
      <c r="J2" s="362"/>
      <c r="K2" s="362"/>
      <c r="L2" s="362"/>
      <c r="M2" s="362"/>
    </row>
    <row r="3" spans="1:13" ht="14.4" customHeight="1" thickBot="1" x14ac:dyDescent="0.35">
      <c r="A3" s="578" t="s">
        <v>70</v>
      </c>
      <c r="B3" s="553" t="s">
        <v>71</v>
      </c>
      <c r="C3" s="554"/>
      <c r="D3" s="554"/>
      <c r="E3" s="555"/>
      <c r="F3" s="553" t="s">
        <v>293</v>
      </c>
      <c r="G3" s="554"/>
      <c r="H3" s="554"/>
      <c r="I3" s="555"/>
      <c r="J3" s="123"/>
      <c r="K3" s="124"/>
      <c r="L3" s="123"/>
      <c r="M3" s="125"/>
    </row>
    <row r="4" spans="1:13" ht="14.4" customHeight="1" thickBot="1" x14ac:dyDescent="0.35">
      <c r="A4" s="579"/>
      <c r="B4" s="126">
        <v>2013</v>
      </c>
      <c r="C4" s="127">
        <v>2014</v>
      </c>
      <c r="D4" s="127">
        <v>2015</v>
      </c>
      <c r="E4" s="128" t="s">
        <v>2</v>
      </c>
      <c r="F4" s="127">
        <v>2013</v>
      </c>
      <c r="G4" s="127">
        <v>2014</v>
      </c>
      <c r="H4" s="127">
        <v>2015</v>
      </c>
      <c r="I4" s="128" t="s">
        <v>2</v>
      </c>
      <c r="J4" s="123"/>
      <c r="K4" s="123"/>
      <c r="L4" s="129" t="s">
        <v>72</v>
      </c>
      <c r="M4" s="130" t="s">
        <v>73</v>
      </c>
    </row>
    <row r="5" spans="1:13" ht="14.4" hidden="1" customHeight="1" outlineLevel="1" x14ac:dyDescent="0.3">
      <c r="A5" s="118" t="s">
        <v>169</v>
      </c>
      <c r="B5" s="121">
        <v>509.03800000000001</v>
      </c>
      <c r="C5" s="114">
        <v>625.44299999999998</v>
      </c>
      <c r="D5" s="114">
        <v>412.113</v>
      </c>
      <c r="E5" s="131">
        <v>0.80959181829254401</v>
      </c>
      <c r="F5" s="132">
        <v>58</v>
      </c>
      <c r="G5" s="114">
        <v>71</v>
      </c>
      <c r="H5" s="114">
        <v>51</v>
      </c>
      <c r="I5" s="133">
        <v>0.87931034482758619</v>
      </c>
      <c r="J5" s="123"/>
      <c r="K5" s="123"/>
      <c r="L5" s="7">
        <f>D5-B5</f>
        <v>-96.925000000000011</v>
      </c>
      <c r="M5" s="8">
        <f>H5-F5</f>
        <v>-7</v>
      </c>
    </row>
    <row r="6" spans="1:13" ht="14.4" hidden="1" customHeight="1" outlineLevel="1" x14ac:dyDescent="0.3">
      <c r="A6" s="119" t="s">
        <v>170</v>
      </c>
      <c r="B6" s="122">
        <v>68.328999999999994</v>
      </c>
      <c r="C6" s="113">
        <v>78.125</v>
      </c>
      <c r="D6" s="113">
        <v>81.183000000000007</v>
      </c>
      <c r="E6" s="134">
        <v>1.188119246586369</v>
      </c>
      <c r="F6" s="135">
        <v>9</v>
      </c>
      <c r="G6" s="113">
        <v>10</v>
      </c>
      <c r="H6" s="113">
        <v>9</v>
      </c>
      <c r="I6" s="136">
        <v>1</v>
      </c>
      <c r="J6" s="123"/>
      <c r="K6" s="123"/>
      <c r="L6" s="5">
        <f t="shared" ref="L6:L11" si="0">D6-B6</f>
        <v>12.854000000000013</v>
      </c>
      <c r="M6" s="6">
        <f t="shared" ref="M6:M13" si="1">H6-F6</f>
        <v>0</v>
      </c>
    </row>
    <row r="7" spans="1:13" ht="14.4" hidden="1" customHeight="1" outlineLevel="1" x14ac:dyDescent="0.3">
      <c r="A7" s="119" t="s">
        <v>171</v>
      </c>
      <c r="B7" s="122">
        <v>165.03700000000001</v>
      </c>
      <c r="C7" s="113">
        <v>155.35900000000001</v>
      </c>
      <c r="D7" s="113">
        <v>150.84899999999999</v>
      </c>
      <c r="E7" s="134">
        <v>0.91403139901961372</v>
      </c>
      <c r="F7" s="135">
        <v>26</v>
      </c>
      <c r="G7" s="113">
        <v>17</v>
      </c>
      <c r="H7" s="113">
        <v>16</v>
      </c>
      <c r="I7" s="136">
        <v>0.61538461538461542</v>
      </c>
      <c r="J7" s="123"/>
      <c r="K7" s="123"/>
      <c r="L7" s="5">
        <f t="shared" si="0"/>
        <v>-14.188000000000017</v>
      </c>
      <c r="M7" s="6">
        <f t="shared" si="1"/>
        <v>-10</v>
      </c>
    </row>
    <row r="8" spans="1:13" ht="14.4" hidden="1" customHeight="1" outlineLevel="1" x14ac:dyDescent="0.3">
      <c r="A8" s="119" t="s">
        <v>172</v>
      </c>
      <c r="B8" s="122">
        <v>0.36599999999999999</v>
      </c>
      <c r="C8" s="113">
        <v>0.73199999999999998</v>
      </c>
      <c r="D8" s="113">
        <v>65.494</v>
      </c>
      <c r="E8" s="134">
        <v>178.94535519125682</v>
      </c>
      <c r="F8" s="135">
        <v>1</v>
      </c>
      <c r="G8" s="113">
        <v>2</v>
      </c>
      <c r="H8" s="113">
        <v>6</v>
      </c>
      <c r="I8" s="136">
        <v>6</v>
      </c>
      <c r="J8" s="123"/>
      <c r="K8" s="123"/>
      <c r="L8" s="5">
        <f t="shared" si="0"/>
        <v>65.128</v>
      </c>
      <c r="M8" s="6">
        <f t="shared" si="1"/>
        <v>5</v>
      </c>
    </row>
    <row r="9" spans="1:13" ht="14.4" hidden="1" customHeight="1" outlineLevel="1" x14ac:dyDescent="0.3">
      <c r="A9" s="119" t="s">
        <v>173</v>
      </c>
      <c r="B9" s="122">
        <v>0</v>
      </c>
      <c r="C9" s="113">
        <v>0</v>
      </c>
      <c r="D9" s="113">
        <v>0</v>
      </c>
      <c r="E9" s="134" t="s">
        <v>554</v>
      </c>
      <c r="F9" s="135">
        <v>0</v>
      </c>
      <c r="G9" s="113">
        <v>0</v>
      </c>
      <c r="H9" s="113">
        <v>0</v>
      </c>
      <c r="I9" s="136" t="s">
        <v>554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174</v>
      </c>
      <c r="B10" s="122">
        <v>84.325999999999993</v>
      </c>
      <c r="C10" s="113">
        <v>66.094999999999999</v>
      </c>
      <c r="D10" s="113">
        <v>90.210999999999999</v>
      </c>
      <c r="E10" s="134">
        <v>1.069788677276285</v>
      </c>
      <c r="F10" s="135">
        <v>9</v>
      </c>
      <c r="G10" s="113">
        <v>8</v>
      </c>
      <c r="H10" s="113">
        <v>12</v>
      </c>
      <c r="I10" s="136">
        <v>1.3333333333333333</v>
      </c>
      <c r="J10" s="123"/>
      <c r="K10" s="123"/>
      <c r="L10" s="5">
        <f t="shared" si="0"/>
        <v>5.8850000000000051</v>
      </c>
      <c r="M10" s="6">
        <f t="shared" si="1"/>
        <v>3</v>
      </c>
    </row>
    <row r="11" spans="1:13" ht="14.4" hidden="1" customHeight="1" outlineLevel="1" x14ac:dyDescent="0.3">
      <c r="A11" s="119" t="s">
        <v>175</v>
      </c>
      <c r="B11" s="122">
        <v>14.522</v>
      </c>
      <c r="C11" s="113">
        <v>29.079000000000001</v>
      </c>
      <c r="D11" s="113">
        <v>54.4</v>
      </c>
      <c r="E11" s="134">
        <v>3.7460404902905933</v>
      </c>
      <c r="F11" s="135">
        <v>2</v>
      </c>
      <c r="G11" s="113">
        <v>3</v>
      </c>
      <c r="H11" s="113">
        <v>5</v>
      </c>
      <c r="I11" s="136">
        <v>2.5</v>
      </c>
      <c r="J11" s="123"/>
      <c r="K11" s="123"/>
      <c r="L11" s="5">
        <f t="shared" si="0"/>
        <v>39.878</v>
      </c>
      <c r="M11" s="6">
        <f t="shared" si="1"/>
        <v>3</v>
      </c>
    </row>
    <row r="12" spans="1:13" ht="14.4" hidden="1" customHeight="1" outlineLevel="1" thickBot="1" x14ac:dyDescent="0.35">
      <c r="A12" s="244" t="s">
        <v>213</v>
      </c>
      <c r="B12" s="245">
        <v>9.8040000000000003</v>
      </c>
      <c r="C12" s="246">
        <v>0</v>
      </c>
      <c r="D12" s="246">
        <v>0</v>
      </c>
      <c r="E12" s="247"/>
      <c r="F12" s="248">
        <v>1</v>
      </c>
      <c r="G12" s="246">
        <v>0</v>
      </c>
      <c r="H12" s="246">
        <v>0</v>
      </c>
      <c r="I12" s="249"/>
      <c r="J12" s="123"/>
      <c r="K12" s="123"/>
      <c r="L12" s="250">
        <f>D12-B12</f>
        <v>-9.8040000000000003</v>
      </c>
      <c r="M12" s="251">
        <f>H12-F12</f>
        <v>-1</v>
      </c>
    </row>
    <row r="13" spans="1:13" ht="14.4" customHeight="1" collapsed="1" thickBot="1" x14ac:dyDescent="0.35">
      <c r="A13" s="120" t="s">
        <v>3</v>
      </c>
      <c r="B13" s="115">
        <f>SUM(B5:B12)</f>
        <v>851.42200000000003</v>
      </c>
      <c r="C13" s="116">
        <f>SUM(C5:C12)</f>
        <v>954.83299999999997</v>
      </c>
      <c r="D13" s="116">
        <f>SUM(D5:D12)</f>
        <v>854.25</v>
      </c>
      <c r="E13" s="137">
        <f>IF(OR(D13=0,B13=0),0,D13/B13)</f>
        <v>1.0033215021458219</v>
      </c>
      <c r="F13" s="138">
        <f>SUM(F5:F12)</f>
        <v>106</v>
      </c>
      <c r="G13" s="116">
        <f>SUM(G5:G12)</f>
        <v>111</v>
      </c>
      <c r="H13" s="116">
        <f>SUM(H5:H12)</f>
        <v>99</v>
      </c>
      <c r="I13" s="139">
        <f>IF(OR(H13=0,F13=0),0,H13/F13)</f>
        <v>0.93396226415094341</v>
      </c>
      <c r="J13" s="123"/>
      <c r="K13" s="123"/>
      <c r="L13" s="129">
        <f>D13-B13</f>
        <v>2.8279999999999745</v>
      </c>
      <c r="M13" s="140">
        <f t="shared" si="1"/>
        <v>-7</v>
      </c>
    </row>
    <row r="14" spans="1:13" ht="14.4" customHeight="1" x14ac:dyDescent="0.3">
      <c r="A14" s="141"/>
      <c r="B14" s="580"/>
      <c r="C14" s="580"/>
      <c r="D14" s="580"/>
      <c r="E14" s="580"/>
      <c r="F14" s="580"/>
      <c r="G14" s="580"/>
      <c r="H14" s="580"/>
      <c r="I14" s="580"/>
      <c r="J14" s="123"/>
      <c r="K14" s="123"/>
      <c r="L14" s="123"/>
      <c r="M14" s="125"/>
    </row>
    <row r="15" spans="1:13" ht="14.4" customHeight="1" thickBot="1" x14ac:dyDescent="0.35">
      <c r="A15" s="141"/>
      <c r="B15" s="363"/>
      <c r="C15" s="364"/>
      <c r="D15" s="364"/>
      <c r="E15" s="364"/>
      <c r="F15" s="363"/>
      <c r="G15" s="364"/>
      <c r="H15" s="364"/>
      <c r="I15" s="364"/>
      <c r="J15" s="123"/>
      <c r="K15" s="123"/>
      <c r="L15" s="123"/>
      <c r="M15" s="125"/>
    </row>
    <row r="16" spans="1:13" ht="14.4" customHeight="1" thickBot="1" x14ac:dyDescent="0.35">
      <c r="A16" s="586" t="s">
        <v>209</v>
      </c>
      <c r="B16" s="588" t="s">
        <v>71</v>
      </c>
      <c r="C16" s="589"/>
      <c r="D16" s="589"/>
      <c r="E16" s="590"/>
      <c r="F16" s="588" t="s">
        <v>293</v>
      </c>
      <c r="G16" s="589"/>
      <c r="H16" s="589"/>
      <c r="I16" s="590"/>
      <c r="J16" s="571" t="s">
        <v>180</v>
      </c>
      <c r="K16" s="572"/>
      <c r="L16" s="158"/>
      <c r="M16" s="158"/>
    </row>
    <row r="17" spans="1:13" ht="14.4" customHeight="1" thickBot="1" x14ac:dyDescent="0.35">
      <c r="A17" s="587"/>
      <c r="B17" s="142">
        <v>2013</v>
      </c>
      <c r="C17" s="143">
        <v>2014</v>
      </c>
      <c r="D17" s="143">
        <v>2015</v>
      </c>
      <c r="E17" s="144" t="s">
        <v>2</v>
      </c>
      <c r="F17" s="142">
        <v>2013</v>
      </c>
      <c r="G17" s="143">
        <v>2014</v>
      </c>
      <c r="H17" s="143">
        <v>2015</v>
      </c>
      <c r="I17" s="144" t="s">
        <v>2</v>
      </c>
      <c r="J17" s="573" t="s">
        <v>181</v>
      </c>
      <c r="K17" s="574"/>
      <c r="L17" s="145" t="s">
        <v>72</v>
      </c>
      <c r="M17" s="146" t="s">
        <v>73</v>
      </c>
    </row>
    <row r="18" spans="1:13" ht="14.4" hidden="1" customHeight="1" outlineLevel="1" x14ac:dyDescent="0.3">
      <c r="A18" s="118" t="s">
        <v>169</v>
      </c>
      <c r="B18" s="121">
        <v>461.28500000000003</v>
      </c>
      <c r="C18" s="114">
        <v>622.08500000000004</v>
      </c>
      <c r="D18" s="114">
        <v>412.113</v>
      </c>
      <c r="E18" s="131">
        <v>0.89340212666789509</v>
      </c>
      <c r="F18" s="121">
        <v>54</v>
      </c>
      <c r="G18" s="114">
        <v>70</v>
      </c>
      <c r="H18" s="114">
        <v>51</v>
      </c>
      <c r="I18" s="133">
        <v>0.94444444444444442</v>
      </c>
      <c r="J18" s="575">
        <f>0.97*0.976</f>
        <v>0.94672000000000001</v>
      </c>
      <c r="K18" s="576"/>
      <c r="L18" s="147">
        <f>D18-B18</f>
        <v>-49.172000000000025</v>
      </c>
      <c r="M18" s="148">
        <f>H18-F18</f>
        <v>-3</v>
      </c>
    </row>
    <row r="19" spans="1:13" ht="14.4" hidden="1" customHeight="1" outlineLevel="1" x14ac:dyDescent="0.3">
      <c r="A19" s="119" t="s">
        <v>170</v>
      </c>
      <c r="B19" s="122">
        <v>68.328999999999994</v>
      </c>
      <c r="C19" s="113">
        <v>70.656000000000006</v>
      </c>
      <c r="D19" s="113">
        <v>81.183000000000007</v>
      </c>
      <c r="E19" s="134">
        <v>1.188119246586369</v>
      </c>
      <c r="F19" s="122">
        <v>9</v>
      </c>
      <c r="G19" s="113">
        <v>8</v>
      </c>
      <c r="H19" s="113">
        <v>9</v>
      </c>
      <c r="I19" s="136">
        <v>1</v>
      </c>
      <c r="J19" s="575">
        <f>0.97*1.096</f>
        <v>1.0631200000000001</v>
      </c>
      <c r="K19" s="576"/>
      <c r="L19" s="149">
        <f t="shared" ref="L19:L26" si="2">D19-B19</f>
        <v>12.854000000000013</v>
      </c>
      <c r="M19" s="150">
        <f t="shared" ref="M19:M26" si="3">H19-F19</f>
        <v>0</v>
      </c>
    </row>
    <row r="20" spans="1:13" ht="14.4" hidden="1" customHeight="1" outlineLevel="1" x14ac:dyDescent="0.3">
      <c r="A20" s="119" t="s">
        <v>171</v>
      </c>
      <c r="B20" s="122">
        <v>147.83600000000001</v>
      </c>
      <c r="C20" s="113">
        <v>155.35900000000001</v>
      </c>
      <c r="D20" s="113">
        <v>150.84899999999999</v>
      </c>
      <c r="E20" s="134">
        <v>1.0203806921182932</v>
      </c>
      <c r="F20" s="122">
        <v>25</v>
      </c>
      <c r="G20" s="113">
        <v>17</v>
      </c>
      <c r="H20" s="113">
        <v>16</v>
      </c>
      <c r="I20" s="136">
        <v>0.64</v>
      </c>
      <c r="J20" s="575">
        <f>0.97*1.047</f>
        <v>1.01559</v>
      </c>
      <c r="K20" s="576"/>
      <c r="L20" s="149">
        <f t="shared" si="2"/>
        <v>3.0129999999999768</v>
      </c>
      <c r="M20" s="150">
        <f t="shared" si="3"/>
        <v>-9</v>
      </c>
    </row>
    <row r="21" spans="1:13" ht="14.4" hidden="1" customHeight="1" outlineLevel="1" x14ac:dyDescent="0.3">
      <c r="A21" s="119" t="s">
        <v>172</v>
      </c>
      <c r="B21" s="122">
        <v>0.36599999999999999</v>
      </c>
      <c r="C21" s="113">
        <v>0.73199999999999998</v>
      </c>
      <c r="D21" s="113">
        <v>65.494</v>
      </c>
      <c r="E21" s="134">
        <v>178.94535519125682</v>
      </c>
      <c r="F21" s="122">
        <v>1</v>
      </c>
      <c r="G21" s="113">
        <v>2</v>
      </c>
      <c r="H21" s="113">
        <v>6</v>
      </c>
      <c r="I21" s="136">
        <v>6</v>
      </c>
      <c r="J21" s="575">
        <f>0.97*1.091</f>
        <v>1.05827</v>
      </c>
      <c r="K21" s="576"/>
      <c r="L21" s="149">
        <f t="shared" si="2"/>
        <v>65.128</v>
      </c>
      <c r="M21" s="150">
        <f t="shared" si="3"/>
        <v>5</v>
      </c>
    </row>
    <row r="22" spans="1:13" ht="14.4" hidden="1" customHeight="1" outlineLevel="1" x14ac:dyDescent="0.3">
      <c r="A22" s="119" t="s">
        <v>173</v>
      </c>
      <c r="B22" s="122">
        <v>0</v>
      </c>
      <c r="C22" s="113">
        <v>0</v>
      </c>
      <c r="D22" s="113">
        <v>0</v>
      </c>
      <c r="E22" s="134" t="s">
        <v>554</v>
      </c>
      <c r="F22" s="122">
        <v>0</v>
      </c>
      <c r="G22" s="113">
        <v>0</v>
      </c>
      <c r="H22" s="113">
        <v>0</v>
      </c>
      <c r="I22" s="136" t="s">
        <v>554</v>
      </c>
      <c r="J22" s="575">
        <f>0.97*1</f>
        <v>0.97</v>
      </c>
      <c r="K22" s="576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174</v>
      </c>
      <c r="B23" s="122">
        <v>84.325999999999993</v>
      </c>
      <c r="C23" s="113">
        <v>62.737000000000002</v>
      </c>
      <c r="D23" s="113">
        <v>90.210999999999999</v>
      </c>
      <c r="E23" s="134">
        <v>1.069788677276285</v>
      </c>
      <c r="F23" s="122">
        <v>9</v>
      </c>
      <c r="G23" s="113">
        <v>7</v>
      </c>
      <c r="H23" s="113">
        <v>12</v>
      </c>
      <c r="I23" s="136">
        <v>1.3333333333333333</v>
      </c>
      <c r="J23" s="575">
        <f>0.97*1.096</f>
        <v>1.0631200000000001</v>
      </c>
      <c r="K23" s="576"/>
      <c r="L23" s="149">
        <f t="shared" si="2"/>
        <v>5.8850000000000051</v>
      </c>
      <c r="M23" s="150">
        <f t="shared" si="3"/>
        <v>3</v>
      </c>
    </row>
    <row r="24" spans="1:13" ht="14.4" hidden="1" customHeight="1" outlineLevel="1" x14ac:dyDescent="0.3">
      <c r="A24" s="119" t="s">
        <v>175</v>
      </c>
      <c r="B24" s="122">
        <v>14.522</v>
      </c>
      <c r="C24" s="113">
        <v>29.079000000000001</v>
      </c>
      <c r="D24" s="113">
        <v>37.198999999999998</v>
      </c>
      <c r="E24" s="134">
        <v>2.5615617683514667</v>
      </c>
      <c r="F24" s="122">
        <v>2</v>
      </c>
      <c r="G24" s="113">
        <v>3</v>
      </c>
      <c r="H24" s="113">
        <v>4</v>
      </c>
      <c r="I24" s="136">
        <v>2</v>
      </c>
      <c r="J24" s="575">
        <f>0.97*0.989</f>
        <v>0.95933000000000002</v>
      </c>
      <c r="K24" s="576"/>
      <c r="L24" s="149">
        <f t="shared" si="2"/>
        <v>22.677</v>
      </c>
      <c r="M24" s="150">
        <f t="shared" si="3"/>
        <v>2</v>
      </c>
    </row>
    <row r="25" spans="1:13" ht="14.4" hidden="1" customHeight="1" outlineLevel="1" thickBot="1" x14ac:dyDescent="0.35">
      <c r="A25" s="244" t="s">
        <v>213</v>
      </c>
      <c r="B25" s="245">
        <v>9.8040000000000003</v>
      </c>
      <c r="C25" s="246">
        <v>0</v>
      </c>
      <c r="D25" s="246">
        <v>0</v>
      </c>
      <c r="E25" s="247"/>
      <c r="F25" s="245">
        <v>1</v>
      </c>
      <c r="G25" s="246">
        <v>0</v>
      </c>
      <c r="H25" s="246">
        <v>0</v>
      </c>
      <c r="I25" s="249"/>
      <c r="J25" s="365"/>
      <c r="K25" s="366"/>
      <c r="L25" s="252">
        <f>D25-B25</f>
        <v>-9.8040000000000003</v>
      </c>
      <c r="M25" s="253">
        <f>H25-F25</f>
        <v>-1</v>
      </c>
    </row>
    <row r="26" spans="1:13" ht="14.4" customHeight="1" collapsed="1" thickBot="1" x14ac:dyDescent="0.35">
      <c r="A26" s="151" t="s">
        <v>3</v>
      </c>
      <c r="B26" s="152">
        <f>SUM(B18:B25)</f>
        <v>786.46800000000007</v>
      </c>
      <c r="C26" s="153">
        <f>SUM(C18:C25)</f>
        <v>940.64799999999991</v>
      </c>
      <c r="D26" s="153">
        <f>SUM(D18:D25)</f>
        <v>837.04899999999998</v>
      </c>
      <c r="E26" s="154">
        <f>IF(OR(D26=0,B26=0),0,D26/B26)</f>
        <v>1.0643141233972646</v>
      </c>
      <c r="F26" s="152">
        <f>SUM(F18:F25)</f>
        <v>101</v>
      </c>
      <c r="G26" s="153">
        <f>SUM(G18:G25)</f>
        <v>107</v>
      </c>
      <c r="H26" s="153">
        <f>SUM(H18:H25)</f>
        <v>98</v>
      </c>
      <c r="I26" s="155">
        <f>IF(OR(H26=0,F26=0),0,H26/F26)</f>
        <v>0.97029702970297027</v>
      </c>
      <c r="J26" s="123"/>
      <c r="K26" s="123"/>
      <c r="L26" s="145">
        <f t="shared" si="2"/>
        <v>50.580999999999904</v>
      </c>
      <c r="M26" s="156">
        <f t="shared" si="3"/>
        <v>-3</v>
      </c>
    </row>
    <row r="27" spans="1:13" ht="14.4" customHeight="1" x14ac:dyDescent="0.3">
      <c r="A27" s="157"/>
      <c r="B27" s="580" t="s">
        <v>211</v>
      </c>
      <c r="C27" s="591"/>
      <c r="D27" s="591"/>
      <c r="E27" s="591"/>
      <c r="F27" s="580" t="s">
        <v>212</v>
      </c>
      <c r="G27" s="591"/>
      <c r="H27" s="591"/>
      <c r="I27" s="591"/>
      <c r="J27" s="158"/>
      <c r="K27" s="158"/>
      <c r="L27" s="158"/>
      <c r="M27" s="159"/>
    </row>
    <row r="28" spans="1:13" ht="14.4" customHeight="1" thickBot="1" x14ac:dyDescent="0.35">
      <c r="A28" s="157"/>
      <c r="B28" s="363"/>
      <c r="C28" s="364"/>
      <c r="D28" s="364"/>
      <c r="E28" s="364"/>
      <c r="F28" s="363"/>
      <c r="G28" s="364"/>
      <c r="H28" s="364"/>
      <c r="I28" s="364"/>
      <c r="J28" s="158"/>
      <c r="K28" s="158"/>
      <c r="L28" s="158"/>
      <c r="M28" s="159"/>
    </row>
    <row r="29" spans="1:13" ht="14.4" customHeight="1" thickBot="1" x14ac:dyDescent="0.35">
      <c r="A29" s="581" t="s">
        <v>210</v>
      </c>
      <c r="B29" s="583" t="s">
        <v>71</v>
      </c>
      <c r="C29" s="584"/>
      <c r="D29" s="584"/>
      <c r="E29" s="585"/>
      <c r="F29" s="584" t="s">
        <v>293</v>
      </c>
      <c r="G29" s="584"/>
      <c r="H29" s="584"/>
      <c r="I29" s="585"/>
      <c r="J29" s="158"/>
      <c r="K29" s="158"/>
      <c r="L29" s="158"/>
      <c r="M29" s="159"/>
    </row>
    <row r="30" spans="1:13" ht="14.4" customHeight="1" thickBot="1" x14ac:dyDescent="0.35">
      <c r="A30" s="582"/>
      <c r="B30" s="160">
        <v>2013</v>
      </c>
      <c r="C30" s="161">
        <v>2014</v>
      </c>
      <c r="D30" s="161">
        <v>2015</v>
      </c>
      <c r="E30" s="162" t="s">
        <v>2</v>
      </c>
      <c r="F30" s="161">
        <v>2013</v>
      </c>
      <c r="G30" s="161">
        <v>2014</v>
      </c>
      <c r="H30" s="161">
        <v>2015</v>
      </c>
      <c r="I30" s="162" t="s">
        <v>2</v>
      </c>
      <c r="J30" s="158"/>
      <c r="K30" s="158"/>
      <c r="L30" s="163" t="s">
        <v>72</v>
      </c>
      <c r="M30" s="164" t="s">
        <v>73</v>
      </c>
    </row>
    <row r="31" spans="1:13" ht="14.4" hidden="1" customHeight="1" outlineLevel="1" x14ac:dyDescent="0.3">
      <c r="A31" s="118" t="s">
        <v>169</v>
      </c>
      <c r="B31" s="121">
        <v>47.753</v>
      </c>
      <c r="C31" s="114">
        <v>3.3580000000000001</v>
      </c>
      <c r="D31" s="114">
        <v>0</v>
      </c>
      <c r="E31" s="131" t="s">
        <v>554</v>
      </c>
      <c r="F31" s="132">
        <v>4</v>
      </c>
      <c r="G31" s="114">
        <v>1</v>
      </c>
      <c r="H31" s="114">
        <v>0</v>
      </c>
      <c r="I31" s="133" t="s">
        <v>554</v>
      </c>
      <c r="J31" s="158"/>
      <c r="K31" s="158"/>
      <c r="L31" s="147">
        <f t="shared" ref="L31:L39" si="4">D31-B31</f>
        <v>-47.753</v>
      </c>
      <c r="M31" s="148">
        <f t="shared" ref="M31:M39" si="5">H31-F31</f>
        <v>-4</v>
      </c>
    </row>
    <row r="32" spans="1:13" ht="14.4" hidden="1" customHeight="1" outlineLevel="1" x14ac:dyDescent="0.3">
      <c r="A32" s="119" t="s">
        <v>170</v>
      </c>
      <c r="B32" s="122">
        <v>0</v>
      </c>
      <c r="C32" s="113">
        <v>7.4690000000000003</v>
      </c>
      <c r="D32" s="113">
        <v>0</v>
      </c>
      <c r="E32" s="134" t="s">
        <v>554</v>
      </c>
      <c r="F32" s="135">
        <v>0</v>
      </c>
      <c r="G32" s="113">
        <v>2</v>
      </c>
      <c r="H32" s="113">
        <v>0</v>
      </c>
      <c r="I32" s="136" t="s">
        <v>554</v>
      </c>
      <c r="J32" s="158"/>
      <c r="K32" s="158"/>
      <c r="L32" s="149">
        <f t="shared" si="4"/>
        <v>0</v>
      </c>
      <c r="M32" s="150">
        <f t="shared" si="5"/>
        <v>0</v>
      </c>
    </row>
    <row r="33" spans="1:13" ht="14.4" hidden="1" customHeight="1" outlineLevel="1" x14ac:dyDescent="0.3">
      <c r="A33" s="119" t="s">
        <v>171</v>
      </c>
      <c r="B33" s="122">
        <v>17.201000000000001</v>
      </c>
      <c r="C33" s="113">
        <v>0</v>
      </c>
      <c r="D33" s="113">
        <v>0</v>
      </c>
      <c r="E33" s="134" t="s">
        <v>554</v>
      </c>
      <c r="F33" s="135">
        <v>1</v>
      </c>
      <c r="G33" s="113">
        <v>0</v>
      </c>
      <c r="H33" s="113">
        <v>0</v>
      </c>
      <c r="I33" s="136" t="s">
        <v>554</v>
      </c>
      <c r="J33" s="158"/>
      <c r="K33" s="158"/>
      <c r="L33" s="149">
        <f t="shared" si="4"/>
        <v>-17.201000000000001</v>
      </c>
      <c r="M33" s="150">
        <f t="shared" si="5"/>
        <v>-1</v>
      </c>
    </row>
    <row r="34" spans="1:13" ht="14.4" hidden="1" customHeight="1" outlineLevel="1" x14ac:dyDescent="0.3">
      <c r="A34" s="119" t="s">
        <v>172</v>
      </c>
      <c r="B34" s="122">
        <v>0</v>
      </c>
      <c r="C34" s="113">
        <v>0</v>
      </c>
      <c r="D34" s="113">
        <v>0</v>
      </c>
      <c r="E34" s="134" t="s">
        <v>554</v>
      </c>
      <c r="F34" s="135">
        <v>0</v>
      </c>
      <c r="G34" s="113">
        <v>0</v>
      </c>
      <c r="H34" s="113">
        <v>0</v>
      </c>
      <c r="I34" s="136" t="s">
        <v>554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173</v>
      </c>
      <c r="B35" s="122">
        <v>0</v>
      </c>
      <c r="C35" s="113">
        <v>0</v>
      </c>
      <c r="D35" s="113">
        <v>0</v>
      </c>
      <c r="E35" s="134" t="s">
        <v>554</v>
      </c>
      <c r="F35" s="135">
        <v>0</v>
      </c>
      <c r="G35" s="113">
        <v>0</v>
      </c>
      <c r="H35" s="113">
        <v>0</v>
      </c>
      <c r="I35" s="136" t="s">
        <v>554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174</v>
      </c>
      <c r="B36" s="122">
        <v>0</v>
      </c>
      <c r="C36" s="113">
        <v>3.3580000000000001</v>
      </c>
      <c r="D36" s="113">
        <v>0</v>
      </c>
      <c r="E36" s="134" t="s">
        <v>554</v>
      </c>
      <c r="F36" s="135">
        <v>0</v>
      </c>
      <c r="G36" s="113">
        <v>1</v>
      </c>
      <c r="H36" s="113">
        <v>0</v>
      </c>
      <c r="I36" s="136" t="s">
        <v>554</v>
      </c>
      <c r="J36" s="158"/>
      <c r="K36" s="158"/>
      <c r="L36" s="149">
        <f t="shared" si="4"/>
        <v>0</v>
      </c>
      <c r="M36" s="150">
        <f t="shared" si="5"/>
        <v>0</v>
      </c>
    </row>
    <row r="37" spans="1:13" ht="14.4" hidden="1" customHeight="1" outlineLevel="1" x14ac:dyDescent="0.3">
      <c r="A37" s="119" t="s">
        <v>175</v>
      </c>
      <c r="B37" s="122">
        <v>0</v>
      </c>
      <c r="C37" s="113">
        <v>0</v>
      </c>
      <c r="D37" s="113">
        <v>17.201000000000001</v>
      </c>
      <c r="E37" s="134" t="s">
        <v>554</v>
      </c>
      <c r="F37" s="135">
        <v>0</v>
      </c>
      <c r="G37" s="113">
        <v>0</v>
      </c>
      <c r="H37" s="113">
        <v>1</v>
      </c>
      <c r="I37" s="136" t="s">
        <v>554</v>
      </c>
      <c r="J37" s="158"/>
      <c r="K37" s="158"/>
      <c r="L37" s="149">
        <f t="shared" si="4"/>
        <v>17.201000000000001</v>
      </c>
      <c r="M37" s="150">
        <f t="shared" si="5"/>
        <v>1</v>
      </c>
    </row>
    <row r="38" spans="1:13" ht="14.4" hidden="1" customHeight="1" outlineLevel="1" thickBot="1" x14ac:dyDescent="0.35">
      <c r="A38" s="244" t="s">
        <v>213</v>
      </c>
      <c r="B38" s="245">
        <v>0</v>
      </c>
      <c r="C38" s="246">
        <v>0</v>
      </c>
      <c r="D38" s="246">
        <v>0</v>
      </c>
      <c r="E38" s="247" t="s">
        <v>554</v>
      </c>
      <c r="F38" s="248">
        <v>0</v>
      </c>
      <c r="G38" s="246">
        <v>0</v>
      </c>
      <c r="H38" s="246">
        <v>0</v>
      </c>
      <c r="I38" s="249" t="s">
        <v>554</v>
      </c>
      <c r="J38" s="158"/>
      <c r="K38" s="158"/>
      <c r="L38" s="252">
        <f>D38-B38</f>
        <v>0</v>
      </c>
      <c r="M38" s="253">
        <f>H38-F38</f>
        <v>0</v>
      </c>
    </row>
    <row r="39" spans="1:13" ht="14.4" customHeight="1" collapsed="1" thickBot="1" x14ac:dyDescent="0.35">
      <c r="A39" s="165" t="s">
        <v>3</v>
      </c>
      <c r="B39" s="117">
        <f>SUM(B31:B38)</f>
        <v>64.954000000000008</v>
      </c>
      <c r="C39" s="166">
        <f>SUM(C31:C38)</f>
        <v>14.185</v>
      </c>
      <c r="D39" s="166">
        <f>SUM(D31:D38)</f>
        <v>17.201000000000001</v>
      </c>
      <c r="E39" s="167">
        <f>IF(OR(D39=0,B39=0),0,D39/B39)</f>
        <v>0.26481817901899801</v>
      </c>
      <c r="F39" s="168">
        <f>SUM(F31:F38)</f>
        <v>5</v>
      </c>
      <c r="G39" s="166">
        <f>SUM(G31:G38)</f>
        <v>4</v>
      </c>
      <c r="H39" s="166">
        <f>SUM(H31:H38)</f>
        <v>1</v>
      </c>
      <c r="I39" s="169">
        <f>IF(OR(H39=0,F39=0),0,H39/F39)</f>
        <v>0.2</v>
      </c>
      <c r="J39" s="158"/>
      <c r="K39" s="158"/>
      <c r="L39" s="163">
        <f t="shared" si="4"/>
        <v>-47.753000000000007</v>
      </c>
      <c r="M39" s="170">
        <f t="shared" si="5"/>
        <v>-4</v>
      </c>
    </row>
    <row r="40" spans="1:13" ht="14.4" customHeight="1" x14ac:dyDescent="0.25">
      <c r="A40" s="367"/>
      <c r="B40" s="367"/>
      <c r="C40" s="367"/>
      <c r="D40" s="367"/>
      <c r="E40" s="368"/>
      <c r="F40" s="367"/>
      <c r="G40" s="367"/>
      <c r="H40" s="367"/>
      <c r="I40" s="369"/>
      <c r="J40" s="367"/>
      <c r="K40" s="367"/>
      <c r="L40" s="367"/>
      <c r="M40" s="367"/>
    </row>
    <row r="41" spans="1:13" ht="14.4" customHeight="1" x14ac:dyDescent="0.3">
      <c r="A41" s="262" t="s">
        <v>296</v>
      </c>
      <c r="B41" s="367"/>
      <c r="C41" s="367"/>
      <c r="D41" s="367"/>
      <c r="E41" s="368"/>
      <c r="F41" s="367"/>
      <c r="G41" s="367"/>
      <c r="H41" s="367"/>
      <c r="I41" s="369"/>
      <c r="J41" s="367"/>
      <c r="K41" s="367"/>
      <c r="L41" s="367"/>
      <c r="M41" s="367"/>
    </row>
    <row r="42" spans="1:13" ht="14.4" customHeight="1" x14ac:dyDescent="0.25">
      <c r="A42" s="449" t="s">
        <v>292</v>
      </c>
    </row>
    <row r="43" spans="1:13" ht="14.4" customHeight="1" x14ac:dyDescent="0.25">
      <c r="A43" s="450" t="s">
        <v>298</v>
      </c>
    </row>
    <row r="44" spans="1:13" ht="14.4" customHeight="1" x14ac:dyDescent="0.25">
      <c r="A44" s="449" t="s">
        <v>294</v>
      </c>
    </row>
    <row r="45" spans="1:13" ht="14.4" customHeight="1" x14ac:dyDescent="0.25">
      <c r="A45" s="450" t="s">
        <v>295</v>
      </c>
    </row>
    <row r="46" spans="1:13" ht="14.4" customHeight="1" x14ac:dyDescent="0.3">
      <c r="A46" s="243" t="s">
        <v>297</v>
      </c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6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508" t="s">
        <v>115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</row>
    <row r="2" spans="1:13" ht="14.4" customHeight="1" x14ac:dyDescent="0.3">
      <c r="A2" s="383" t="s">
        <v>334</v>
      </c>
      <c r="B2" s="202"/>
      <c r="C2" s="202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2"/>
      <c r="C3" s="372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2"/>
      <c r="C4" s="372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2"/>
      <c r="C5" s="372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2"/>
      <c r="C6" s="372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2"/>
      <c r="C7" s="372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2"/>
      <c r="C8" s="372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2"/>
      <c r="C9" s="372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2"/>
      <c r="C10" s="372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2"/>
      <c r="C11" s="372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2"/>
      <c r="C12" s="372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2"/>
      <c r="C13" s="372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2"/>
      <c r="C14" s="372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2"/>
      <c r="C15" s="372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2"/>
      <c r="C16" s="372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2"/>
      <c r="C17" s="372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2"/>
      <c r="C18" s="372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2"/>
      <c r="C19" s="372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2"/>
      <c r="C20" s="372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2"/>
      <c r="C21" s="372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2"/>
      <c r="C22" s="372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2"/>
      <c r="C23" s="372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2"/>
      <c r="C24" s="372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2"/>
      <c r="C25" s="372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2"/>
      <c r="C26" s="372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2"/>
      <c r="C27" s="372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2"/>
      <c r="C28" s="372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2"/>
      <c r="C29" s="372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2"/>
      <c r="C30" s="372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92" t="s">
        <v>83</v>
      </c>
      <c r="C31" s="593"/>
      <c r="D31" s="593"/>
      <c r="E31" s="594"/>
      <c r="F31" s="171" t="s">
        <v>83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67</v>
      </c>
      <c r="B32" s="172" t="s">
        <v>86</v>
      </c>
      <c r="C32" s="173" t="s">
        <v>87</v>
      </c>
      <c r="D32" s="173" t="s">
        <v>88</v>
      </c>
      <c r="E32" s="174" t="s">
        <v>2</v>
      </c>
      <c r="F32" s="175" t="s">
        <v>89</v>
      </c>
      <c r="G32" s="373"/>
      <c r="H32" s="373" t="s">
        <v>116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103</v>
      </c>
      <c r="B33" s="203">
        <v>431.53</v>
      </c>
      <c r="C33" s="203">
        <v>393</v>
      </c>
      <c r="D33" s="84">
        <f>IF(C33="","",C33-B33)</f>
        <v>-38.529999999999973</v>
      </c>
      <c r="E33" s="85">
        <f>IF(C33="","",C33/B33)</f>
        <v>0.91071304428429078</v>
      </c>
      <c r="F33" s="86">
        <v>27.53</v>
      </c>
      <c r="G33" s="373">
        <v>0</v>
      </c>
      <c r="H33" s="374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104</v>
      </c>
      <c r="B34" s="204">
        <v>1220.1400000000001</v>
      </c>
      <c r="C34" s="204">
        <v>1180</v>
      </c>
      <c r="D34" s="87">
        <f t="shared" ref="D34:D45" si="0">IF(C34="","",C34-B34)</f>
        <v>-40.1400000000001</v>
      </c>
      <c r="E34" s="88">
        <f t="shared" ref="E34:E45" si="1">IF(C34="","",C34/B34)</f>
        <v>0.96710213582047955</v>
      </c>
      <c r="F34" s="89">
        <v>122.68</v>
      </c>
      <c r="G34" s="373">
        <v>1</v>
      </c>
      <c r="H34" s="374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105</v>
      </c>
      <c r="B35" s="204"/>
      <c r="C35" s="204"/>
      <c r="D35" s="87" t="str">
        <f t="shared" si="0"/>
        <v/>
      </c>
      <c r="E35" s="88" t="str">
        <f t="shared" si="1"/>
        <v/>
      </c>
      <c r="F35" s="89"/>
      <c r="G35" s="375"/>
      <c r="H35" s="375"/>
      <c r="I35" s="80"/>
      <c r="J35" s="80"/>
      <c r="K35" s="80"/>
      <c r="L35" s="80"/>
      <c r="M35" s="80"/>
    </row>
    <row r="36" spans="1:13" ht="14.4" customHeight="1" x14ac:dyDescent="0.3">
      <c r="A36" s="177" t="s">
        <v>106</v>
      </c>
      <c r="B36" s="204"/>
      <c r="C36" s="204"/>
      <c r="D36" s="87" t="str">
        <f t="shared" si="0"/>
        <v/>
      </c>
      <c r="E36" s="88" t="str">
        <f t="shared" si="1"/>
        <v/>
      </c>
      <c r="F36" s="89"/>
      <c r="G36" s="375"/>
      <c r="H36" s="375"/>
      <c r="I36" s="80"/>
      <c r="J36" s="80"/>
      <c r="K36" s="80"/>
      <c r="L36" s="80"/>
      <c r="M36" s="80"/>
    </row>
    <row r="37" spans="1:13" ht="14.4" customHeight="1" x14ac:dyDescent="0.3">
      <c r="A37" s="177" t="s">
        <v>107</v>
      </c>
      <c r="B37" s="204"/>
      <c r="C37" s="204"/>
      <c r="D37" s="87" t="str">
        <f t="shared" si="0"/>
        <v/>
      </c>
      <c r="E37" s="88" t="str">
        <f t="shared" si="1"/>
        <v/>
      </c>
      <c r="F37" s="89"/>
      <c r="G37" s="375"/>
      <c r="H37" s="375"/>
      <c r="I37" s="80"/>
      <c r="J37" s="80"/>
      <c r="K37" s="80"/>
      <c r="L37" s="80"/>
      <c r="M37" s="80"/>
    </row>
    <row r="38" spans="1:13" ht="14.4" customHeight="1" x14ac:dyDescent="0.3">
      <c r="A38" s="177" t="s">
        <v>108</v>
      </c>
      <c r="B38" s="204"/>
      <c r="C38" s="204"/>
      <c r="D38" s="87" t="str">
        <f t="shared" si="0"/>
        <v/>
      </c>
      <c r="E38" s="88" t="str">
        <f t="shared" si="1"/>
        <v/>
      </c>
      <c r="F38" s="89"/>
      <c r="G38" s="375"/>
      <c r="H38" s="375"/>
      <c r="I38" s="80"/>
      <c r="J38" s="80"/>
      <c r="K38" s="80"/>
      <c r="L38" s="80"/>
      <c r="M38" s="80"/>
    </row>
    <row r="39" spans="1:13" ht="14.4" customHeight="1" x14ac:dyDescent="0.3">
      <c r="A39" s="177" t="s">
        <v>109</v>
      </c>
      <c r="B39" s="204"/>
      <c r="C39" s="204"/>
      <c r="D39" s="87" t="str">
        <f t="shared" si="0"/>
        <v/>
      </c>
      <c r="E39" s="88" t="str">
        <f t="shared" si="1"/>
        <v/>
      </c>
      <c r="F39" s="89"/>
      <c r="G39" s="375"/>
      <c r="H39" s="375"/>
      <c r="I39" s="80"/>
      <c r="J39" s="80"/>
      <c r="K39" s="80"/>
      <c r="L39" s="80"/>
      <c r="M39" s="80"/>
    </row>
    <row r="40" spans="1:13" ht="14.4" customHeight="1" x14ac:dyDescent="0.3">
      <c r="A40" s="177" t="s">
        <v>110</v>
      </c>
      <c r="B40" s="204"/>
      <c r="C40" s="204"/>
      <c r="D40" s="87" t="str">
        <f t="shared" si="0"/>
        <v/>
      </c>
      <c r="E40" s="88" t="str">
        <f t="shared" si="1"/>
        <v/>
      </c>
      <c r="F40" s="89"/>
      <c r="G40" s="375"/>
      <c r="H40" s="375"/>
      <c r="I40" s="80"/>
      <c r="J40" s="80"/>
      <c r="K40" s="80"/>
      <c r="L40" s="80"/>
      <c r="M40" s="80"/>
    </row>
    <row r="41" spans="1:13" ht="14.4" customHeight="1" x14ac:dyDescent="0.3">
      <c r="A41" s="177" t="s">
        <v>111</v>
      </c>
      <c r="B41" s="204"/>
      <c r="C41" s="204"/>
      <c r="D41" s="87" t="str">
        <f t="shared" si="0"/>
        <v/>
      </c>
      <c r="E41" s="88" t="str">
        <f t="shared" si="1"/>
        <v/>
      </c>
      <c r="F41" s="89"/>
      <c r="G41" s="375"/>
      <c r="H41" s="375"/>
      <c r="I41" s="80"/>
      <c r="J41" s="80"/>
      <c r="K41" s="80"/>
      <c r="L41" s="80"/>
      <c r="M41" s="80"/>
    </row>
    <row r="42" spans="1:13" ht="14.4" customHeight="1" x14ac:dyDescent="0.3">
      <c r="A42" s="177" t="s">
        <v>112</v>
      </c>
      <c r="B42" s="204"/>
      <c r="C42" s="204"/>
      <c r="D42" s="87" t="str">
        <f t="shared" si="0"/>
        <v/>
      </c>
      <c r="E42" s="88" t="str">
        <f t="shared" si="1"/>
        <v/>
      </c>
      <c r="F42" s="89"/>
      <c r="G42" s="375"/>
      <c r="H42" s="375"/>
      <c r="I42" s="80"/>
      <c r="J42" s="80"/>
      <c r="K42" s="80"/>
      <c r="L42" s="80"/>
      <c r="M42" s="80"/>
    </row>
    <row r="43" spans="1:13" ht="14.4" customHeight="1" x14ac:dyDescent="0.3">
      <c r="A43" s="177" t="s">
        <v>113</v>
      </c>
      <c r="B43" s="204"/>
      <c r="C43" s="204"/>
      <c r="D43" s="87" t="str">
        <f t="shared" si="0"/>
        <v/>
      </c>
      <c r="E43" s="88" t="str">
        <f t="shared" si="1"/>
        <v/>
      </c>
      <c r="F43" s="89"/>
      <c r="G43" s="375"/>
      <c r="H43" s="375"/>
      <c r="I43" s="80"/>
      <c r="J43" s="80"/>
      <c r="K43" s="80"/>
      <c r="L43" s="80"/>
      <c r="M43" s="80"/>
    </row>
    <row r="44" spans="1:13" ht="14.4" customHeight="1" x14ac:dyDescent="0.3">
      <c r="A44" s="177" t="s">
        <v>114</v>
      </c>
      <c r="B44" s="204"/>
      <c r="C44" s="204"/>
      <c r="D44" s="87" t="str">
        <f t="shared" si="0"/>
        <v/>
      </c>
      <c r="E44" s="88" t="str">
        <f t="shared" si="1"/>
        <v/>
      </c>
      <c r="F44" s="89"/>
      <c r="G44" s="375"/>
      <c r="H44" s="375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117</v>
      </c>
      <c r="B45" s="205"/>
      <c r="C45" s="205"/>
      <c r="D45" s="90" t="str">
        <f t="shared" si="0"/>
        <v/>
      </c>
      <c r="E45" s="91" t="str">
        <f t="shared" si="1"/>
        <v/>
      </c>
      <c r="F45" s="92"/>
      <c r="G45" s="375"/>
      <c r="H45" s="375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47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17" customWidth="1"/>
    <col min="3" max="3" width="5.88671875" style="217" customWidth="1"/>
    <col min="4" max="4" width="7.6640625" style="217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17" customWidth="1"/>
    <col min="20" max="20" width="9.6640625" style="217" customWidth="1"/>
    <col min="21" max="21" width="7.6640625" style="217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1" customFormat="1" ht="18.600000000000001" customHeight="1" thickBot="1" x14ac:dyDescent="0.4">
      <c r="A1" s="547" t="s">
        <v>4087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  <c r="O1" s="479"/>
      <c r="P1" s="479"/>
      <c r="Q1" s="479"/>
      <c r="R1" s="479"/>
      <c r="S1" s="479"/>
      <c r="T1" s="479"/>
      <c r="U1" s="479"/>
      <c r="V1" s="479"/>
      <c r="W1" s="479"/>
    </row>
    <row r="2" spans="1:23" ht="14.4" customHeight="1" thickBot="1" x14ac:dyDescent="0.35">
      <c r="A2" s="383" t="s">
        <v>334</v>
      </c>
      <c r="B2" s="377"/>
      <c r="C2" s="377"/>
      <c r="D2" s="377"/>
      <c r="E2" s="377"/>
      <c r="F2" s="377"/>
      <c r="G2" s="377"/>
      <c r="H2" s="377"/>
      <c r="I2" s="377"/>
      <c r="J2" s="377"/>
      <c r="K2" s="377"/>
      <c r="L2" s="377"/>
      <c r="M2" s="377"/>
      <c r="N2" s="377"/>
      <c r="O2" s="377"/>
      <c r="P2" s="376"/>
      <c r="Q2" s="376"/>
      <c r="R2" s="376"/>
      <c r="S2" s="377"/>
      <c r="T2" s="377"/>
      <c r="U2" s="377"/>
      <c r="V2" s="376"/>
      <c r="W2" s="378"/>
    </row>
    <row r="3" spans="1:23" s="94" customFormat="1" ht="14.4" customHeight="1" x14ac:dyDescent="0.3">
      <c r="A3" s="601" t="s">
        <v>75</v>
      </c>
      <c r="B3" s="602">
        <v>2013</v>
      </c>
      <c r="C3" s="603"/>
      <c r="D3" s="604"/>
      <c r="E3" s="602">
        <v>2014</v>
      </c>
      <c r="F3" s="603"/>
      <c r="G3" s="604"/>
      <c r="H3" s="602">
        <v>2015</v>
      </c>
      <c r="I3" s="603"/>
      <c r="J3" s="604"/>
      <c r="K3" s="605" t="s">
        <v>76</v>
      </c>
      <c r="L3" s="597" t="s">
        <v>77</v>
      </c>
      <c r="M3" s="597" t="s">
        <v>78</v>
      </c>
      <c r="N3" s="597" t="s">
        <v>79</v>
      </c>
      <c r="O3" s="270" t="s">
        <v>80</v>
      </c>
      <c r="P3" s="598" t="s">
        <v>81</v>
      </c>
      <c r="Q3" s="599" t="s">
        <v>82</v>
      </c>
      <c r="R3" s="600"/>
      <c r="S3" s="595" t="s">
        <v>83</v>
      </c>
      <c r="T3" s="596"/>
      <c r="U3" s="596"/>
      <c r="V3" s="596"/>
      <c r="W3" s="218" t="s">
        <v>83</v>
      </c>
    </row>
    <row r="4" spans="1:23" s="95" customFormat="1" ht="14.4" customHeight="1" thickBot="1" x14ac:dyDescent="0.35">
      <c r="A4" s="837"/>
      <c r="B4" s="838" t="s">
        <v>84</v>
      </c>
      <c r="C4" s="839" t="s">
        <v>72</v>
      </c>
      <c r="D4" s="840" t="s">
        <v>85</v>
      </c>
      <c r="E4" s="838" t="s">
        <v>84</v>
      </c>
      <c r="F4" s="839" t="s">
        <v>72</v>
      </c>
      <c r="G4" s="840" t="s">
        <v>85</v>
      </c>
      <c r="H4" s="838" t="s">
        <v>84</v>
      </c>
      <c r="I4" s="839" t="s">
        <v>72</v>
      </c>
      <c r="J4" s="840" t="s">
        <v>85</v>
      </c>
      <c r="K4" s="841"/>
      <c r="L4" s="842"/>
      <c r="M4" s="842"/>
      <c r="N4" s="842"/>
      <c r="O4" s="843"/>
      <c r="P4" s="844"/>
      <c r="Q4" s="845" t="s">
        <v>73</v>
      </c>
      <c r="R4" s="846" t="s">
        <v>72</v>
      </c>
      <c r="S4" s="847" t="s">
        <v>86</v>
      </c>
      <c r="T4" s="848" t="s">
        <v>87</v>
      </c>
      <c r="U4" s="848" t="s">
        <v>88</v>
      </c>
      <c r="V4" s="849" t="s">
        <v>2</v>
      </c>
      <c r="W4" s="850" t="s">
        <v>89</v>
      </c>
    </row>
    <row r="5" spans="1:23" ht="14.4" customHeight="1" x14ac:dyDescent="0.3">
      <c r="A5" s="879" t="s">
        <v>4000</v>
      </c>
      <c r="B5" s="851">
        <v>3</v>
      </c>
      <c r="C5" s="852">
        <v>113.62</v>
      </c>
      <c r="D5" s="853">
        <v>43.7</v>
      </c>
      <c r="E5" s="854">
        <v>1</v>
      </c>
      <c r="F5" s="855">
        <v>35.4</v>
      </c>
      <c r="G5" s="856">
        <v>76</v>
      </c>
      <c r="H5" s="857"/>
      <c r="I5" s="855"/>
      <c r="J5" s="856"/>
      <c r="K5" s="858">
        <v>33.15</v>
      </c>
      <c r="L5" s="857">
        <v>15</v>
      </c>
      <c r="M5" s="857">
        <v>135</v>
      </c>
      <c r="N5" s="859">
        <v>45.08</v>
      </c>
      <c r="O5" s="857" t="s">
        <v>4001</v>
      </c>
      <c r="P5" s="860" t="s">
        <v>4002</v>
      </c>
      <c r="Q5" s="861">
        <f>H5-B5</f>
        <v>-3</v>
      </c>
      <c r="R5" s="861">
        <f>I5-C5</f>
        <v>-113.62</v>
      </c>
      <c r="S5" s="862" t="str">
        <f>IF(H5=0,"",H5*N5)</f>
        <v/>
      </c>
      <c r="T5" s="862" t="str">
        <f>IF(H5=0,"",H5*J5)</f>
        <v/>
      </c>
      <c r="U5" s="862" t="str">
        <f>IF(H5=0,"",T5-S5)</f>
        <v/>
      </c>
      <c r="V5" s="863" t="str">
        <f>IF(H5=0,"",T5/S5)</f>
        <v/>
      </c>
      <c r="W5" s="864"/>
    </row>
    <row r="6" spans="1:23" ht="14.4" customHeight="1" x14ac:dyDescent="0.3">
      <c r="A6" s="880" t="s">
        <v>4003</v>
      </c>
      <c r="B6" s="832"/>
      <c r="C6" s="834"/>
      <c r="D6" s="835"/>
      <c r="E6" s="830">
        <v>1</v>
      </c>
      <c r="F6" s="814">
        <v>20.05</v>
      </c>
      <c r="G6" s="815">
        <v>17</v>
      </c>
      <c r="H6" s="821"/>
      <c r="I6" s="822"/>
      <c r="J6" s="823"/>
      <c r="K6" s="817">
        <v>20.05</v>
      </c>
      <c r="L6" s="816">
        <v>10</v>
      </c>
      <c r="M6" s="816">
        <v>90</v>
      </c>
      <c r="N6" s="818">
        <v>29.86</v>
      </c>
      <c r="O6" s="816" t="s">
        <v>4001</v>
      </c>
      <c r="P6" s="831" t="s">
        <v>4004</v>
      </c>
      <c r="Q6" s="819">
        <f t="shared" ref="Q6:R47" si="0">H6-B6</f>
        <v>0</v>
      </c>
      <c r="R6" s="819">
        <f t="shared" si="0"/>
        <v>0</v>
      </c>
      <c r="S6" s="832" t="str">
        <f t="shared" ref="S6:S47" si="1">IF(H6=0,"",H6*N6)</f>
        <v/>
      </c>
      <c r="T6" s="832" t="str">
        <f t="shared" ref="T6:T47" si="2">IF(H6=0,"",H6*J6)</f>
        <v/>
      </c>
      <c r="U6" s="832" t="str">
        <f t="shared" ref="U6:U47" si="3">IF(H6=0,"",T6-S6)</f>
        <v/>
      </c>
      <c r="V6" s="833" t="str">
        <f t="shared" ref="V6:V47" si="4">IF(H6=0,"",T6/S6)</f>
        <v/>
      </c>
      <c r="W6" s="820"/>
    </row>
    <row r="7" spans="1:23" ht="14.4" customHeight="1" x14ac:dyDescent="0.3">
      <c r="A7" s="881" t="s">
        <v>4005</v>
      </c>
      <c r="B7" s="865"/>
      <c r="C7" s="866"/>
      <c r="D7" s="836"/>
      <c r="E7" s="867">
        <v>1</v>
      </c>
      <c r="F7" s="868">
        <v>21.19</v>
      </c>
      <c r="G7" s="824">
        <v>13</v>
      </c>
      <c r="H7" s="869">
        <v>2</v>
      </c>
      <c r="I7" s="870">
        <v>42.61</v>
      </c>
      <c r="J7" s="825">
        <v>22</v>
      </c>
      <c r="K7" s="871">
        <v>20.34</v>
      </c>
      <c r="L7" s="872">
        <v>10</v>
      </c>
      <c r="M7" s="872">
        <v>87</v>
      </c>
      <c r="N7" s="873">
        <v>28.99</v>
      </c>
      <c r="O7" s="872" t="s">
        <v>4001</v>
      </c>
      <c r="P7" s="874" t="s">
        <v>4006</v>
      </c>
      <c r="Q7" s="875">
        <f t="shared" si="0"/>
        <v>2</v>
      </c>
      <c r="R7" s="875">
        <f t="shared" si="0"/>
        <v>42.61</v>
      </c>
      <c r="S7" s="865">
        <f t="shared" si="1"/>
        <v>57.98</v>
      </c>
      <c r="T7" s="865">
        <f t="shared" si="2"/>
        <v>44</v>
      </c>
      <c r="U7" s="865">
        <f t="shared" si="3"/>
        <v>-13.979999999999997</v>
      </c>
      <c r="V7" s="876">
        <f t="shared" si="4"/>
        <v>0.75888237323214902</v>
      </c>
      <c r="W7" s="826"/>
    </row>
    <row r="8" spans="1:23" ht="14.4" customHeight="1" x14ac:dyDescent="0.3">
      <c r="A8" s="880" t="s">
        <v>4007</v>
      </c>
      <c r="B8" s="832">
        <v>1</v>
      </c>
      <c r="C8" s="834">
        <v>13.21</v>
      </c>
      <c r="D8" s="835">
        <v>12</v>
      </c>
      <c r="E8" s="830"/>
      <c r="F8" s="814"/>
      <c r="G8" s="815"/>
      <c r="H8" s="821">
        <v>1</v>
      </c>
      <c r="I8" s="822">
        <v>12.65</v>
      </c>
      <c r="J8" s="823">
        <v>14</v>
      </c>
      <c r="K8" s="817">
        <v>12.65</v>
      </c>
      <c r="L8" s="816">
        <v>7</v>
      </c>
      <c r="M8" s="816">
        <v>61</v>
      </c>
      <c r="N8" s="818">
        <v>20.38</v>
      </c>
      <c r="O8" s="816" t="s">
        <v>4001</v>
      </c>
      <c r="P8" s="831" t="s">
        <v>4008</v>
      </c>
      <c r="Q8" s="819">
        <f t="shared" si="0"/>
        <v>0</v>
      </c>
      <c r="R8" s="819">
        <f t="shared" si="0"/>
        <v>-0.5600000000000005</v>
      </c>
      <c r="S8" s="832">
        <f t="shared" si="1"/>
        <v>20.38</v>
      </c>
      <c r="T8" s="832">
        <f t="shared" si="2"/>
        <v>14</v>
      </c>
      <c r="U8" s="832">
        <f t="shared" si="3"/>
        <v>-6.379999999999999</v>
      </c>
      <c r="V8" s="833">
        <f t="shared" si="4"/>
        <v>0.68694798822374881</v>
      </c>
      <c r="W8" s="820"/>
    </row>
    <row r="9" spans="1:23" ht="14.4" customHeight="1" x14ac:dyDescent="0.3">
      <c r="A9" s="880" t="s">
        <v>4009</v>
      </c>
      <c r="B9" s="832"/>
      <c r="C9" s="834"/>
      <c r="D9" s="835"/>
      <c r="E9" s="830"/>
      <c r="F9" s="814"/>
      <c r="G9" s="815"/>
      <c r="H9" s="821">
        <v>1</v>
      </c>
      <c r="I9" s="822">
        <v>4.13</v>
      </c>
      <c r="J9" s="823">
        <v>10</v>
      </c>
      <c r="K9" s="817">
        <v>4.13</v>
      </c>
      <c r="L9" s="816">
        <v>4</v>
      </c>
      <c r="M9" s="816">
        <v>37</v>
      </c>
      <c r="N9" s="818">
        <v>12.44</v>
      </c>
      <c r="O9" s="816" t="s">
        <v>4001</v>
      </c>
      <c r="P9" s="831" t="s">
        <v>4010</v>
      </c>
      <c r="Q9" s="819">
        <f t="shared" si="0"/>
        <v>1</v>
      </c>
      <c r="R9" s="819">
        <f t="shared" si="0"/>
        <v>4.13</v>
      </c>
      <c r="S9" s="832">
        <f t="shared" si="1"/>
        <v>12.44</v>
      </c>
      <c r="T9" s="832">
        <f t="shared" si="2"/>
        <v>10</v>
      </c>
      <c r="U9" s="832">
        <f t="shared" si="3"/>
        <v>-2.4399999999999995</v>
      </c>
      <c r="V9" s="833">
        <f t="shared" si="4"/>
        <v>0.80385852090032162</v>
      </c>
      <c r="W9" s="820"/>
    </row>
    <row r="10" spans="1:23" ht="14.4" customHeight="1" x14ac:dyDescent="0.3">
      <c r="A10" s="880" t="s">
        <v>4011</v>
      </c>
      <c r="B10" s="811">
        <v>1</v>
      </c>
      <c r="C10" s="812">
        <v>0.41</v>
      </c>
      <c r="D10" s="813">
        <v>5</v>
      </c>
      <c r="E10" s="830"/>
      <c r="F10" s="814"/>
      <c r="G10" s="815"/>
      <c r="H10" s="816"/>
      <c r="I10" s="814"/>
      <c r="J10" s="815"/>
      <c r="K10" s="817">
        <v>0.36</v>
      </c>
      <c r="L10" s="816">
        <v>2</v>
      </c>
      <c r="M10" s="816">
        <v>16</v>
      </c>
      <c r="N10" s="818">
        <v>5.21</v>
      </c>
      <c r="O10" s="816" t="s">
        <v>4001</v>
      </c>
      <c r="P10" s="831" t="s">
        <v>4012</v>
      </c>
      <c r="Q10" s="819">
        <f t="shared" si="0"/>
        <v>-1</v>
      </c>
      <c r="R10" s="819">
        <f t="shared" si="0"/>
        <v>-0.41</v>
      </c>
      <c r="S10" s="832" t="str">
        <f t="shared" si="1"/>
        <v/>
      </c>
      <c r="T10" s="832" t="str">
        <f t="shared" si="2"/>
        <v/>
      </c>
      <c r="U10" s="832" t="str">
        <f t="shared" si="3"/>
        <v/>
      </c>
      <c r="V10" s="833" t="str">
        <f t="shared" si="4"/>
        <v/>
      </c>
      <c r="W10" s="820"/>
    </row>
    <row r="11" spans="1:23" ht="14.4" customHeight="1" x14ac:dyDescent="0.3">
      <c r="A11" s="880" t="s">
        <v>4013</v>
      </c>
      <c r="B11" s="832"/>
      <c r="C11" s="834"/>
      <c r="D11" s="835"/>
      <c r="E11" s="821">
        <v>1</v>
      </c>
      <c r="F11" s="822">
        <v>1.43</v>
      </c>
      <c r="G11" s="823">
        <v>1</v>
      </c>
      <c r="H11" s="816"/>
      <c r="I11" s="814"/>
      <c r="J11" s="815"/>
      <c r="K11" s="817">
        <v>0.42</v>
      </c>
      <c r="L11" s="816">
        <v>1</v>
      </c>
      <c r="M11" s="816">
        <v>7</v>
      </c>
      <c r="N11" s="818">
        <v>2.46</v>
      </c>
      <c r="O11" s="816" t="s">
        <v>4001</v>
      </c>
      <c r="P11" s="831" t="s">
        <v>4014</v>
      </c>
      <c r="Q11" s="819">
        <f t="shared" si="0"/>
        <v>0</v>
      </c>
      <c r="R11" s="819">
        <f t="shared" si="0"/>
        <v>0</v>
      </c>
      <c r="S11" s="832" t="str">
        <f t="shared" si="1"/>
        <v/>
      </c>
      <c r="T11" s="832" t="str">
        <f t="shared" si="2"/>
        <v/>
      </c>
      <c r="U11" s="832" t="str">
        <f t="shared" si="3"/>
        <v/>
      </c>
      <c r="V11" s="833" t="str">
        <f t="shared" si="4"/>
        <v/>
      </c>
      <c r="W11" s="820"/>
    </row>
    <row r="12" spans="1:23" ht="14.4" customHeight="1" x14ac:dyDescent="0.3">
      <c r="A12" s="880" t="s">
        <v>4015</v>
      </c>
      <c r="B12" s="811">
        <v>3</v>
      </c>
      <c r="C12" s="812">
        <v>42.5</v>
      </c>
      <c r="D12" s="813">
        <v>14.7</v>
      </c>
      <c r="E12" s="830"/>
      <c r="F12" s="814"/>
      <c r="G12" s="815"/>
      <c r="H12" s="816"/>
      <c r="I12" s="814"/>
      <c r="J12" s="815"/>
      <c r="K12" s="817">
        <v>14.17</v>
      </c>
      <c r="L12" s="816">
        <v>2</v>
      </c>
      <c r="M12" s="816">
        <v>17</v>
      </c>
      <c r="N12" s="818">
        <v>5.65</v>
      </c>
      <c r="O12" s="816" t="s">
        <v>3411</v>
      </c>
      <c r="P12" s="831" t="s">
        <v>4016</v>
      </c>
      <c r="Q12" s="819">
        <f t="shared" si="0"/>
        <v>-3</v>
      </c>
      <c r="R12" s="819">
        <f t="shared" si="0"/>
        <v>-42.5</v>
      </c>
      <c r="S12" s="832" t="str">
        <f t="shared" si="1"/>
        <v/>
      </c>
      <c r="T12" s="832" t="str">
        <f t="shared" si="2"/>
        <v/>
      </c>
      <c r="U12" s="832" t="str">
        <f t="shared" si="3"/>
        <v/>
      </c>
      <c r="V12" s="833" t="str">
        <f t="shared" si="4"/>
        <v/>
      </c>
      <c r="W12" s="820"/>
    </row>
    <row r="13" spans="1:23" ht="14.4" customHeight="1" x14ac:dyDescent="0.3">
      <c r="A13" s="881" t="s">
        <v>4017</v>
      </c>
      <c r="B13" s="877">
        <v>1</v>
      </c>
      <c r="C13" s="878">
        <v>17.2</v>
      </c>
      <c r="D13" s="827">
        <v>9</v>
      </c>
      <c r="E13" s="867">
        <v>1</v>
      </c>
      <c r="F13" s="868">
        <v>4.1900000000000004</v>
      </c>
      <c r="G13" s="824">
        <v>7</v>
      </c>
      <c r="H13" s="872">
        <v>1</v>
      </c>
      <c r="I13" s="868">
        <v>17.2</v>
      </c>
      <c r="J13" s="828">
        <v>15</v>
      </c>
      <c r="K13" s="871">
        <v>17.2</v>
      </c>
      <c r="L13" s="872">
        <v>4</v>
      </c>
      <c r="M13" s="872">
        <v>39</v>
      </c>
      <c r="N13" s="873">
        <v>13.1</v>
      </c>
      <c r="O13" s="872" t="s">
        <v>3411</v>
      </c>
      <c r="P13" s="874" t="s">
        <v>4018</v>
      </c>
      <c r="Q13" s="875">
        <f t="shared" si="0"/>
        <v>0</v>
      </c>
      <c r="R13" s="875">
        <f t="shared" si="0"/>
        <v>0</v>
      </c>
      <c r="S13" s="865">
        <f t="shared" si="1"/>
        <v>13.1</v>
      </c>
      <c r="T13" s="865">
        <f t="shared" si="2"/>
        <v>15</v>
      </c>
      <c r="U13" s="865">
        <f t="shared" si="3"/>
        <v>1.9000000000000004</v>
      </c>
      <c r="V13" s="876">
        <f t="shared" si="4"/>
        <v>1.1450381679389314</v>
      </c>
      <c r="W13" s="826">
        <v>1.9</v>
      </c>
    </row>
    <row r="14" spans="1:23" ht="14.4" customHeight="1" x14ac:dyDescent="0.3">
      <c r="A14" s="880" t="s">
        <v>4019</v>
      </c>
      <c r="B14" s="832">
        <v>2</v>
      </c>
      <c r="C14" s="834">
        <v>26.14</v>
      </c>
      <c r="D14" s="835">
        <v>28</v>
      </c>
      <c r="E14" s="821"/>
      <c r="F14" s="822"/>
      <c r="G14" s="823"/>
      <c r="H14" s="816">
        <v>1</v>
      </c>
      <c r="I14" s="814">
        <v>13.07</v>
      </c>
      <c r="J14" s="815">
        <v>11</v>
      </c>
      <c r="K14" s="817">
        <v>13.07</v>
      </c>
      <c r="L14" s="816">
        <v>6</v>
      </c>
      <c r="M14" s="816">
        <v>55</v>
      </c>
      <c r="N14" s="818">
        <v>18.329999999999998</v>
      </c>
      <c r="O14" s="816" t="s">
        <v>4001</v>
      </c>
      <c r="P14" s="831" t="s">
        <v>4020</v>
      </c>
      <c r="Q14" s="819">
        <f t="shared" si="0"/>
        <v>-1</v>
      </c>
      <c r="R14" s="819">
        <f t="shared" si="0"/>
        <v>-13.07</v>
      </c>
      <c r="S14" s="832">
        <f t="shared" si="1"/>
        <v>18.329999999999998</v>
      </c>
      <c r="T14" s="832">
        <f t="shared" si="2"/>
        <v>11</v>
      </c>
      <c r="U14" s="832">
        <f t="shared" si="3"/>
        <v>-7.3299999999999983</v>
      </c>
      <c r="V14" s="833">
        <f t="shared" si="4"/>
        <v>0.60010911074740869</v>
      </c>
      <c r="W14" s="820"/>
    </row>
    <row r="15" spans="1:23" ht="14.4" customHeight="1" x14ac:dyDescent="0.3">
      <c r="A15" s="881" t="s">
        <v>4021</v>
      </c>
      <c r="B15" s="865">
        <v>1</v>
      </c>
      <c r="C15" s="866">
        <v>13.07</v>
      </c>
      <c r="D15" s="836">
        <v>28</v>
      </c>
      <c r="E15" s="869">
        <v>6</v>
      </c>
      <c r="F15" s="870">
        <v>78.42</v>
      </c>
      <c r="G15" s="825">
        <v>22.7</v>
      </c>
      <c r="H15" s="872">
        <v>2</v>
      </c>
      <c r="I15" s="868">
        <v>26.14</v>
      </c>
      <c r="J15" s="828">
        <v>29.5</v>
      </c>
      <c r="K15" s="871">
        <v>13.07</v>
      </c>
      <c r="L15" s="872">
        <v>6</v>
      </c>
      <c r="M15" s="872">
        <v>55</v>
      </c>
      <c r="N15" s="873">
        <v>18.329999999999998</v>
      </c>
      <c r="O15" s="872" t="s">
        <v>4001</v>
      </c>
      <c r="P15" s="874" t="s">
        <v>4022</v>
      </c>
      <c r="Q15" s="875">
        <f t="shared" si="0"/>
        <v>1</v>
      </c>
      <c r="R15" s="875">
        <f t="shared" si="0"/>
        <v>13.07</v>
      </c>
      <c r="S15" s="865">
        <f t="shared" si="1"/>
        <v>36.659999999999997</v>
      </c>
      <c r="T15" s="865">
        <f t="shared" si="2"/>
        <v>59</v>
      </c>
      <c r="U15" s="865">
        <f t="shared" si="3"/>
        <v>22.340000000000003</v>
      </c>
      <c r="V15" s="876">
        <f t="shared" si="4"/>
        <v>1.6093835242771415</v>
      </c>
      <c r="W15" s="826">
        <v>22.34</v>
      </c>
    </row>
    <row r="16" spans="1:23" ht="14.4" customHeight="1" x14ac:dyDescent="0.3">
      <c r="A16" s="881" t="s">
        <v>4023</v>
      </c>
      <c r="B16" s="865">
        <v>1</v>
      </c>
      <c r="C16" s="866">
        <v>11.43</v>
      </c>
      <c r="D16" s="836">
        <v>4</v>
      </c>
      <c r="E16" s="869"/>
      <c r="F16" s="870"/>
      <c r="G16" s="825"/>
      <c r="H16" s="872">
        <v>1</v>
      </c>
      <c r="I16" s="868">
        <v>16.100000000000001</v>
      </c>
      <c r="J16" s="828">
        <v>24</v>
      </c>
      <c r="K16" s="871">
        <v>16.100000000000001</v>
      </c>
      <c r="L16" s="872">
        <v>7</v>
      </c>
      <c r="M16" s="872">
        <v>62</v>
      </c>
      <c r="N16" s="873">
        <v>20.67</v>
      </c>
      <c r="O16" s="872" t="s">
        <v>4001</v>
      </c>
      <c r="P16" s="874" t="s">
        <v>4024</v>
      </c>
      <c r="Q16" s="875">
        <f t="shared" si="0"/>
        <v>0</v>
      </c>
      <c r="R16" s="875">
        <f t="shared" si="0"/>
        <v>4.6700000000000017</v>
      </c>
      <c r="S16" s="865">
        <f t="shared" si="1"/>
        <v>20.67</v>
      </c>
      <c r="T16" s="865">
        <f t="shared" si="2"/>
        <v>24</v>
      </c>
      <c r="U16" s="865">
        <f t="shared" si="3"/>
        <v>3.3299999999999983</v>
      </c>
      <c r="V16" s="876">
        <f t="shared" si="4"/>
        <v>1.1611030478955007</v>
      </c>
      <c r="W16" s="826">
        <v>3.33</v>
      </c>
    </row>
    <row r="17" spans="1:23" ht="14.4" customHeight="1" x14ac:dyDescent="0.3">
      <c r="A17" s="880" t="s">
        <v>4025</v>
      </c>
      <c r="B17" s="832">
        <v>9</v>
      </c>
      <c r="C17" s="834">
        <v>88.24</v>
      </c>
      <c r="D17" s="835">
        <v>11.1</v>
      </c>
      <c r="E17" s="821">
        <v>14</v>
      </c>
      <c r="F17" s="822">
        <v>137.25</v>
      </c>
      <c r="G17" s="823">
        <v>11.1</v>
      </c>
      <c r="H17" s="816">
        <v>11</v>
      </c>
      <c r="I17" s="814">
        <v>102.63</v>
      </c>
      <c r="J17" s="815">
        <v>10.5</v>
      </c>
      <c r="K17" s="817">
        <v>9.8000000000000007</v>
      </c>
      <c r="L17" s="816">
        <v>4</v>
      </c>
      <c r="M17" s="816">
        <v>32</v>
      </c>
      <c r="N17" s="818">
        <v>10.62</v>
      </c>
      <c r="O17" s="816" t="s">
        <v>4001</v>
      </c>
      <c r="P17" s="831" t="s">
        <v>4026</v>
      </c>
      <c r="Q17" s="819">
        <f t="shared" si="0"/>
        <v>2</v>
      </c>
      <c r="R17" s="819">
        <f t="shared" si="0"/>
        <v>14.39</v>
      </c>
      <c r="S17" s="832">
        <f t="shared" si="1"/>
        <v>116.82</v>
      </c>
      <c r="T17" s="832">
        <f t="shared" si="2"/>
        <v>115.5</v>
      </c>
      <c r="U17" s="832">
        <f t="shared" si="3"/>
        <v>-1.3199999999999932</v>
      </c>
      <c r="V17" s="833">
        <f t="shared" si="4"/>
        <v>0.98870056497175152</v>
      </c>
      <c r="W17" s="820">
        <v>11.9</v>
      </c>
    </row>
    <row r="18" spans="1:23" ht="14.4" customHeight="1" x14ac:dyDescent="0.3">
      <c r="A18" s="881" t="s">
        <v>4027</v>
      </c>
      <c r="B18" s="865">
        <v>6</v>
      </c>
      <c r="C18" s="866">
        <v>64.55</v>
      </c>
      <c r="D18" s="836">
        <v>13</v>
      </c>
      <c r="E18" s="869">
        <v>11</v>
      </c>
      <c r="F18" s="870">
        <v>118.34</v>
      </c>
      <c r="G18" s="825">
        <v>14.1</v>
      </c>
      <c r="H18" s="872">
        <v>9</v>
      </c>
      <c r="I18" s="868">
        <v>96.82</v>
      </c>
      <c r="J18" s="824">
        <v>12</v>
      </c>
      <c r="K18" s="871">
        <v>10.76</v>
      </c>
      <c r="L18" s="872">
        <v>5</v>
      </c>
      <c r="M18" s="872">
        <v>42</v>
      </c>
      <c r="N18" s="873">
        <v>13.99</v>
      </c>
      <c r="O18" s="872" t="s">
        <v>4001</v>
      </c>
      <c r="P18" s="874" t="s">
        <v>4028</v>
      </c>
      <c r="Q18" s="875">
        <f t="shared" si="0"/>
        <v>3</v>
      </c>
      <c r="R18" s="875">
        <f t="shared" si="0"/>
        <v>32.269999999999996</v>
      </c>
      <c r="S18" s="865">
        <f t="shared" si="1"/>
        <v>125.91</v>
      </c>
      <c r="T18" s="865">
        <f t="shared" si="2"/>
        <v>108</v>
      </c>
      <c r="U18" s="865">
        <f t="shared" si="3"/>
        <v>-17.909999999999997</v>
      </c>
      <c r="V18" s="876">
        <f t="shared" si="4"/>
        <v>0.85775553967119378</v>
      </c>
      <c r="W18" s="826">
        <v>6.03</v>
      </c>
    </row>
    <row r="19" spans="1:23" ht="14.4" customHeight="1" x14ac:dyDescent="0.3">
      <c r="A19" s="881" t="s">
        <v>4029</v>
      </c>
      <c r="B19" s="865">
        <v>2</v>
      </c>
      <c r="C19" s="866">
        <v>26.35</v>
      </c>
      <c r="D19" s="836">
        <v>18</v>
      </c>
      <c r="E19" s="869">
        <v>4</v>
      </c>
      <c r="F19" s="870">
        <v>52.69</v>
      </c>
      <c r="G19" s="825">
        <v>12.8</v>
      </c>
      <c r="H19" s="872">
        <v>1</v>
      </c>
      <c r="I19" s="868">
        <v>13.17</v>
      </c>
      <c r="J19" s="824">
        <v>16</v>
      </c>
      <c r="K19" s="871">
        <v>13.17</v>
      </c>
      <c r="L19" s="872">
        <v>6</v>
      </c>
      <c r="M19" s="872">
        <v>55</v>
      </c>
      <c r="N19" s="873">
        <v>18.239999999999998</v>
      </c>
      <c r="O19" s="872" t="s">
        <v>4001</v>
      </c>
      <c r="P19" s="874" t="s">
        <v>4030</v>
      </c>
      <c r="Q19" s="875">
        <f t="shared" si="0"/>
        <v>-1</v>
      </c>
      <c r="R19" s="875">
        <f t="shared" si="0"/>
        <v>-13.180000000000001</v>
      </c>
      <c r="S19" s="865">
        <f t="shared" si="1"/>
        <v>18.239999999999998</v>
      </c>
      <c r="T19" s="865">
        <f t="shared" si="2"/>
        <v>16</v>
      </c>
      <c r="U19" s="865">
        <f t="shared" si="3"/>
        <v>-2.2399999999999984</v>
      </c>
      <c r="V19" s="876">
        <f t="shared" si="4"/>
        <v>0.87719298245614041</v>
      </c>
      <c r="W19" s="826"/>
    </row>
    <row r="20" spans="1:23" ht="14.4" customHeight="1" x14ac:dyDescent="0.3">
      <c r="A20" s="880" t="s">
        <v>4031</v>
      </c>
      <c r="B20" s="832">
        <v>10</v>
      </c>
      <c r="C20" s="834">
        <v>86.45</v>
      </c>
      <c r="D20" s="835">
        <v>12.5</v>
      </c>
      <c r="E20" s="821">
        <v>17</v>
      </c>
      <c r="F20" s="822">
        <v>147.41</v>
      </c>
      <c r="G20" s="823">
        <v>13.6</v>
      </c>
      <c r="H20" s="816">
        <v>14</v>
      </c>
      <c r="I20" s="814">
        <v>121.29</v>
      </c>
      <c r="J20" s="815">
        <v>11.4</v>
      </c>
      <c r="K20" s="817">
        <v>8.65</v>
      </c>
      <c r="L20" s="816">
        <v>4</v>
      </c>
      <c r="M20" s="816">
        <v>39</v>
      </c>
      <c r="N20" s="818">
        <v>13.07</v>
      </c>
      <c r="O20" s="816" t="s">
        <v>4001</v>
      </c>
      <c r="P20" s="831" t="s">
        <v>4032</v>
      </c>
      <c r="Q20" s="819">
        <f t="shared" si="0"/>
        <v>4</v>
      </c>
      <c r="R20" s="819">
        <f t="shared" si="0"/>
        <v>34.840000000000003</v>
      </c>
      <c r="S20" s="832">
        <f t="shared" si="1"/>
        <v>182.98000000000002</v>
      </c>
      <c r="T20" s="832">
        <f t="shared" si="2"/>
        <v>159.6</v>
      </c>
      <c r="U20" s="832">
        <f t="shared" si="3"/>
        <v>-23.380000000000024</v>
      </c>
      <c r="V20" s="833">
        <f t="shared" si="4"/>
        <v>0.87222647283856147</v>
      </c>
      <c r="W20" s="820">
        <v>4.8600000000000003</v>
      </c>
    </row>
    <row r="21" spans="1:23" ht="14.4" customHeight="1" x14ac:dyDescent="0.3">
      <c r="A21" s="881" t="s">
        <v>4033</v>
      </c>
      <c r="B21" s="865">
        <v>1</v>
      </c>
      <c r="C21" s="866">
        <v>9.34</v>
      </c>
      <c r="D21" s="836">
        <v>10</v>
      </c>
      <c r="E21" s="869">
        <v>4</v>
      </c>
      <c r="F21" s="870">
        <v>38.67</v>
      </c>
      <c r="G21" s="825">
        <v>15</v>
      </c>
      <c r="H21" s="872">
        <v>4</v>
      </c>
      <c r="I21" s="868">
        <v>37.340000000000003</v>
      </c>
      <c r="J21" s="824">
        <v>15</v>
      </c>
      <c r="K21" s="871">
        <v>9.34</v>
      </c>
      <c r="L21" s="872">
        <v>5</v>
      </c>
      <c r="M21" s="872">
        <v>48</v>
      </c>
      <c r="N21" s="873">
        <v>16.04</v>
      </c>
      <c r="O21" s="872" t="s">
        <v>4001</v>
      </c>
      <c r="P21" s="874" t="s">
        <v>4034</v>
      </c>
      <c r="Q21" s="875">
        <f t="shared" si="0"/>
        <v>3</v>
      </c>
      <c r="R21" s="875">
        <f t="shared" si="0"/>
        <v>28.000000000000004</v>
      </c>
      <c r="S21" s="865">
        <f t="shared" si="1"/>
        <v>64.16</v>
      </c>
      <c r="T21" s="865">
        <f t="shared" si="2"/>
        <v>60</v>
      </c>
      <c r="U21" s="865">
        <f t="shared" si="3"/>
        <v>-4.1599999999999966</v>
      </c>
      <c r="V21" s="876">
        <f t="shared" si="4"/>
        <v>0.93516209476309231</v>
      </c>
      <c r="W21" s="826">
        <v>3.96</v>
      </c>
    </row>
    <row r="22" spans="1:23" ht="14.4" customHeight="1" x14ac:dyDescent="0.3">
      <c r="A22" s="881" t="s">
        <v>4035</v>
      </c>
      <c r="B22" s="865">
        <v>1</v>
      </c>
      <c r="C22" s="866">
        <v>11.21</v>
      </c>
      <c r="D22" s="836">
        <v>24</v>
      </c>
      <c r="E22" s="869">
        <v>2</v>
      </c>
      <c r="F22" s="870">
        <v>24.59</v>
      </c>
      <c r="G22" s="825">
        <v>20.5</v>
      </c>
      <c r="H22" s="872">
        <v>3</v>
      </c>
      <c r="I22" s="868">
        <v>33.630000000000003</v>
      </c>
      <c r="J22" s="824">
        <v>17.7</v>
      </c>
      <c r="K22" s="871">
        <v>11.21</v>
      </c>
      <c r="L22" s="872">
        <v>6</v>
      </c>
      <c r="M22" s="872">
        <v>53</v>
      </c>
      <c r="N22" s="873">
        <v>17.78</v>
      </c>
      <c r="O22" s="872" t="s">
        <v>4001</v>
      </c>
      <c r="P22" s="874" t="s">
        <v>4036</v>
      </c>
      <c r="Q22" s="875">
        <f t="shared" si="0"/>
        <v>2</v>
      </c>
      <c r="R22" s="875">
        <f t="shared" si="0"/>
        <v>22.42</v>
      </c>
      <c r="S22" s="865">
        <f t="shared" si="1"/>
        <v>53.34</v>
      </c>
      <c r="T22" s="865">
        <f t="shared" si="2"/>
        <v>53.099999999999994</v>
      </c>
      <c r="U22" s="865">
        <f t="shared" si="3"/>
        <v>-0.24000000000000909</v>
      </c>
      <c r="V22" s="876">
        <f t="shared" si="4"/>
        <v>0.99550056242969609</v>
      </c>
      <c r="W22" s="826">
        <v>6.44</v>
      </c>
    </row>
    <row r="23" spans="1:23" ht="14.4" customHeight="1" x14ac:dyDescent="0.3">
      <c r="A23" s="880" t="s">
        <v>4037</v>
      </c>
      <c r="B23" s="811">
        <v>31</v>
      </c>
      <c r="C23" s="812">
        <v>225.08</v>
      </c>
      <c r="D23" s="813">
        <v>10.4</v>
      </c>
      <c r="E23" s="830">
        <v>24</v>
      </c>
      <c r="F23" s="814">
        <v>174.26</v>
      </c>
      <c r="G23" s="815">
        <v>10.3</v>
      </c>
      <c r="H23" s="816">
        <v>28</v>
      </c>
      <c r="I23" s="814">
        <v>203.3</v>
      </c>
      <c r="J23" s="815">
        <v>9.5</v>
      </c>
      <c r="K23" s="817">
        <v>7.26</v>
      </c>
      <c r="L23" s="816">
        <v>3</v>
      </c>
      <c r="M23" s="816">
        <v>30</v>
      </c>
      <c r="N23" s="818">
        <v>9.86</v>
      </c>
      <c r="O23" s="816" t="s">
        <v>4001</v>
      </c>
      <c r="P23" s="831" t="s">
        <v>4038</v>
      </c>
      <c r="Q23" s="819">
        <f t="shared" si="0"/>
        <v>-3</v>
      </c>
      <c r="R23" s="819">
        <f t="shared" si="0"/>
        <v>-21.78</v>
      </c>
      <c r="S23" s="832">
        <f t="shared" si="1"/>
        <v>276.08</v>
      </c>
      <c r="T23" s="832">
        <f t="shared" si="2"/>
        <v>266</v>
      </c>
      <c r="U23" s="832">
        <f t="shared" si="3"/>
        <v>-10.079999999999984</v>
      </c>
      <c r="V23" s="833">
        <f t="shared" si="4"/>
        <v>0.96348884381338751</v>
      </c>
      <c r="W23" s="820">
        <v>6.68</v>
      </c>
    </row>
    <row r="24" spans="1:23" ht="14.4" customHeight="1" x14ac:dyDescent="0.3">
      <c r="A24" s="881" t="s">
        <v>4039</v>
      </c>
      <c r="B24" s="877">
        <v>3</v>
      </c>
      <c r="C24" s="878">
        <v>22.12</v>
      </c>
      <c r="D24" s="827">
        <v>10</v>
      </c>
      <c r="E24" s="867">
        <v>6</v>
      </c>
      <c r="F24" s="868">
        <v>44.24</v>
      </c>
      <c r="G24" s="824">
        <v>11.3</v>
      </c>
      <c r="H24" s="872">
        <v>6</v>
      </c>
      <c r="I24" s="868">
        <v>44.24</v>
      </c>
      <c r="J24" s="824">
        <v>9.6999999999999993</v>
      </c>
      <c r="K24" s="871">
        <v>7.37</v>
      </c>
      <c r="L24" s="872">
        <v>4</v>
      </c>
      <c r="M24" s="872">
        <v>35</v>
      </c>
      <c r="N24" s="873">
        <v>11.57</v>
      </c>
      <c r="O24" s="872" t="s">
        <v>4001</v>
      </c>
      <c r="P24" s="874" t="s">
        <v>4040</v>
      </c>
      <c r="Q24" s="875">
        <f t="shared" si="0"/>
        <v>3</v>
      </c>
      <c r="R24" s="875">
        <f t="shared" si="0"/>
        <v>22.12</v>
      </c>
      <c r="S24" s="865">
        <f t="shared" si="1"/>
        <v>69.42</v>
      </c>
      <c r="T24" s="865">
        <f t="shared" si="2"/>
        <v>58.199999999999996</v>
      </c>
      <c r="U24" s="865">
        <f t="shared" si="3"/>
        <v>-11.220000000000006</v>
      </c>
      <c r="V24" s="876">
        <f t="shared" si="4"/>
        <v>0.83837510803802928</v>
      </c>
      <c r="W24" s="826"/>
    </row>
    <row r="25" spans="1:23" ht="14.4" customHeight="1" x14ac:dyDescent="0.3">
      <c r="A25" s="881" t="s">
        <v>4041</v>
      </c>
      <c r="B25" s="877">
        <v>4</v>
      </c>
      <c r="C25" s="878">
        <v>31.11</v>
      </c>
      <c r="D25" s="827">
        <v>15</v>
      </c>
      <c r="E25" s="867">
        <v>1</v>
      </c>
      <c r="F25" s="868">
        <v>8.49</v>
      </c>
      <c r="G25" s="824">
        <v>10</v>
      </c>
      <c r="H25" s="872">
        <v>2</v>
      </c>
      <c r="I25" s="868">
        <v>16.989999999999998</v>
      </c>
      <c r="J25" s="828">
        <v>25</v>
      </c>
      <c r="K25" s="871">
        <v>8.49</v>
      </c>
      <c r="L25" s="872">
        <v>5</v>
      </c>
      <c r="M25" s="872">
        <v>44</v>
      </c>
      <c r="N25" s="873">
        <v>14.64</v>
      </c>
      <c r="O25" s="872" t="s">
        <v>4001</v>
      </c>
      <c r="P25" s="874" t="s">
        <v>4042</v>
      </c>
      <c r="Q25" s="875">
        <f t="shared" si="0"/>
        <v>-2</v>
      </c>
      <c r="R25" s="875">
        <f t="shared" si="0"/>
        <v>-14.120000000000001</v>
      </c>
      <c r="S25" s="865">
        <f t="shared" si="1"/>
        <v>29.28</v>
      </c>
      <c r="T25" s="865">
        <f t="shared" si="2"/>
        <v>50</v>
      </c>
      <c r="U25" s="865">
        <f t="shared" si="3"/>
        <v>20.72</v>
      </c>
      <c r="V25" s="876">
        <f t="shared" si="4"/>
        <v>1.7076502732240437</v>
      </c>
      <c r="W25" s="826">
        <v>20.72</v>
      </c>
    </row>
    <row r="26" spans="1:23" ht="14.4" customHeight="1" x14ac:dyDescent="0.3">
      <c r="A26" s="880" t="s">
        <v>4043</v>
      </c>
      <c r="B26" s="832"/>
      <c r="C26" s="834"/>
      <c r="D26" s="835"/>
      <c r="E26" s="830"/>
      <c r="F26" s="814"/>
      <c r="G26" s="815"/>
      <c r="H26" s="821">
        <v>1</v>
      </c>
      <c r="I26" s="822">
        <v>29.29</v>
      </c>
      <c r="J26" s="823">
        <v>9</v>
      </c>
      <c r="K26" s="817">
        <v>5.41</v>
      </c>
      <c r="L26" s="816">
        <v>4</v>
      </c>
      <c r="M26" s="816">
        <v>32</v>
      </c>
      <c r="N26" s="818">
        <v>10.73</v>
      </c>
      <c r="O26" s="816" t="s">
        <v>4001</v>
      </c>
      <c r="P26" s="831" t="s">
        <v>4044</v>
      </c>
      <c r="Q26" s="819">
        <f t="shared" si="0"/>
        <v>1</v>
      </c>
      <c r="R26" s="819">
        <f t="shared" si="0"/>
        <v>29.29</v>
      </c>
      <c r="S26" s="832">
        <f t="shared" si="1"/>
        <v>10.73</v>
      </c>
      <c r="T26" s="832">
        <f t="shared" si="2"/>
        <v>9</v>
      </c>
      <c r="U26" s="832">
        <f t="shared" si="3"/>
        <v>-1.7300000000000004</v>
      </c>
      <c r="V26" s="833">
        <f t="shared" si="4"/>
        <v>0.83876980428704562</v>
      </c>
      <c r="W26" s="820"/>
    </row>
    <row r="27" spans="1:23" ht="14.4" customHeight="1" x14ac:dyDescent="0.3">
      <c r="A27" s="880" t="s">
        <v>4045</v>
      </c>
      <c r="B27" s="832">
        <v>1</v>
      </c>
      <c r="C27" s="834">
        <v>5.25</v>
      </c>
      <c r="D27" s="835">
        <v>8</v>
      </c>
      <c r="E27" s="821">
        <v>2</v>
      </c>
      <c r="F27" s="822">
        <v>6.72</v>
      </c>
      <c r="G27" s="823">
        <v>10</v>
      </c>
      <c r="H27" s="816"/>
      <c r="I27" s="814"/>
      <c r="J27" s="815"/>
      <c r="K27" s="817">
        <v>3.36</v>
      </c>
      <c r="L27" s="816">
        <v>2</v>
      </c>
      <c r="M27" s="816">
        <v>20</v>
      </c>
      <c r="N27" s="818">
        <v>6.6</v>
      </c>
      <c r="O27" s="816" t="s">
        <v>3411</v>
      </c>
      <c r="P27" s="831" t="s">
        <v>4046</v>
      </c>
      <c r="Q27" s="819">
        <f t="shared" si="0"/>
        <v>-1</v>
      </c>
      <c r="R27" s="819">
        <f t="shared" si="0"/>
        <v>-5.25</v>
      </c>
      <c r="S27" s="832" t="str">
        <f t="shared" si="1"/>
        <v/>
      </c>
      <c r="T27" s="832" t="str">
        <f t="shared" si="2"/>
        <v/>
      </c>
      <c r="U27" s="832" t="str">
        <f t="shared" si="3"/>
        <v/>
      </c>
      <c r="V27" s="833" t="str">
        <f t="shared" si="4"/>
        <v/>
      </c>
      <c r="W27" s="820"/>
    </row>
    <row r="28" spans="1:23" ht="14.4" customHeight="1" x14ac:dyDescent="0.3">
      <c r="A28" s="880" t="s">
        <v>4047</v>
      </c>
      <c r="B28" s="832"/>
      <c r="C28" s="834"/>
      <c r="D28" s="835"/>
      <c r="E28" s="821">
        <v>2</v>
      </c>
      <c r="F28" s="822">
        <v>11.86</v>
      </c>
      <c r="G28" s="823">
        <v>9.5</v>
      </c>
      <c r="H28" s="816">
        <v>2</v>
      </c>
      <c r="I28" s="814">
        <v>13.3</v>
      </c>
      <c r="J28" s="815">
        <v>7</v>
      </c>
      <c r="K28" s="817">
        <v>6.66</v>
      </c>
      <c r="L28" s="816">
        <v>3</v>
      </c>
      <c r="M28" s="816">
        <v>31</v>
      </c>
      <c r="N28" s="818">
        <v>10.26</v>
      </c>
      <c r="O28" s="816" t="s">
        <v>4001</v>
      </c>
      <c r="P28" s="831" t="s">
        <v>4048</v>
      </c>
      <c r="Q28" s="819">
        <f t="shared" si="0"/>
        <v>2</v>
      </c>
      <c r="R28" s="819">
        <f t="shared" si="0"/>
        <v>13.3</v>
      </c>
      <c r="S28" s="832">
        <f t="shared" si="1"/>
        <v>20.52</v>
      </c>
      <c r="T28" s="832">
        <f t="shared" si="2"/>
        <v>14</v>
      </c>
      <c r="U28" s="832">
        <f t="shared" si="3"/>
        <v>-6.52</v>
      </c>
      <c r="V28" s="833">
        <f t="shared" si="4"/>
        <v>0.68226120857699801</v>
      </c>
      <c r="W28" s="820"/>
    </row>
    <row r="29" spans="1:23" ht="14.4" customHeight="1" x14ac:dyDescent="0.3">
      <c r="A29" s="881" t="s">
        <v>4049</v>
      </c>
      <c r="B29" s="865">
        <v>3</v>
      </c>
      <c r="C29" s="866">
        <v>19.54</v>
      </c>
      <c r="D29" s="836">
        <v>6.7</v>
      </c>
      <c r="E29" s="869">
        <v>1</v>
      </c>
      <c r="F29" s="870">
        <v>6.98</v>
      </c>
      <c r="G29" s="825">
        <v>9</v>
      </c>
      <c r="H29" s="872"/>
      <c r="I29" s="868"/>
      <c r="J29" s="824"/>
      <c r="K29" s="871">
        <v>7.01</v>
      </c>
      <c r="L29" s="872">
        <v>5</v>
      </c>
      <c r="M29" s="872">
        <v>41</v>
      </c>
      <c r="N29" s="873">
        <v>13.52</v>
      </c>
      <c r="O29" s="872" t="s">
        <v>4001</v>
      </c>
      <c r="P29" s="874" t="s">
        <v>4050</v>
      </c>
      <c r="Q29" s="875">
        <f t="shared" si="0"/>
        <v>-3</v>
      </c>
      <c r="R29" s="875">
        <f t="shared" si="0"/>
        <v>-19.54</v>
      </c>
      <c r="S29" s="865" t="str">
        <f t="shared" si="1"/>
        <v/>
      </c>
      <c r="T29" s="865" t="str">
        <f t="shared" si="2"/>
        <v/>
      </c>
      <c r="U29" s="865" t="str">
        <f t="shared" si="3"/>
        <v/>
      </c>
      <c r="V29" s="876" t="str">
        <f t="shared" si="4"/>
        <v/>
      </c>
      <c r="W29" s="826"/>
    </row>
    <row r="30" spans="1:23" ht="14.4" customHeight="1" x14ac:dyDescent="0.3">
      <c r="A30" s="881" t="s">
        <v>4051</v>
      </c>
      <c r="B30" s="865">
        <v>1</v>
      </c>
      <c r="C30" s="866">
        <v>10.38</v>
      </c>
      <c r="D30" s="836">
        <v>6</v>
      </c>
      <c r="E30" s="869">
        <v>2</v>
      </c>
      <c r="F30" s="870">
        <v>15.83</v>
      </c>
      <c r="G30" s="825">
        <v>13.5</v>
      </c>
      <c r="H30" s="872"/>
      <c r="I30" s="868"/>
      <c r="J30" s="824"/>
      <c r="K30" s="871">
        <v>10.38</v>
      </c>
      <c r="L30" s="872">
        <v>6</v>
      </c>
      <c r="M30" s="872">
        <v>52</v>
      </c>
      <c r="N30" s="873">
        <v>17.170000000000002</v>
      </c>
      <c r="O30" s="872" t="s">
        <v>4001</v>
      </c>
      <c r="P30" s="874" t="s">
        <v>4052</v>
      </c>
      <c r="Q30" s="875">
        <f t="shared" si="0"/>
        <v>-1</v>
      </c>
      <c r="R30" s="875">
        <f t="shared" si="0"/>
        <v>-10.38</v>
      </c>
      <c r="S30" s="865" t="str">
        <f t="shared" si="1"/>
        <v/>
      </c>
      <c r="T30" s="865" t="str">
        <f t="shared" si="2"/>
        <v/>
      </c>
      <c r="U30" s="865" t="str">
        <f t="shared" si="3"/>
        <v/>
      </c>
      <c r="V30" s="876" t="str">
        <f t="shared" si="4"/>
        <v/>
      </c>
      <c r="W30" s="826"/>
    </row>
    <row r="31" spans="1:23" ht="14.4" customHeight="1" x14ac:dyDescent="0.3">
      <c r="A31" s="880" t="s">
        <v>4053</v>
      </c>
      <c r="B31" s="832"/>
      <c r="C31" s="834"/>
      <c r="D31" s="835"/>
      <c r="E31" s="821">
        <v>1</v>
      </c>
      <c r="F31" s="822">
        <v>3.28</v>
      </c>
      <c r="G31" s="823">
        <v>7</v>
      </c>
      <c r="H31" s="816"/>
      <c r="I31" s="814"/>
      <c r="J31" s="815"/>
      <c r="K31" s="817">
        <v>3.28</v>
      </c>
      <c r="L31" s="816">
        <v>1</v>
      </c>
      <c r="M31" s="816">
        <v>13</v>
      </c>
      <c r="N31" s="818">
        <v>4.47</v>
      </c>
      <c r="O31" s="816" t="s">
        <v>3411</v>
      </c>
      <c r="P31" s="831" t="s">
        <v>4054</v>
      </c>
      <c r="Q31" s="819">
        <f t="shared" si="0"/>
        <v>0</v>
      </c>
      <c r="R31" s="819">
        <f t="shared" si="0"/>
        <v>0</v>
      </c>
      <c r="S31" s="832" t="str">
        <f t="shared" si="1"/>
        <v/>
      </c>
      <c r="T31" s="832" t="str">
        <f t="shared" si="2"/>
        <v/>
      </c>
      <c r="U31" s="832" t="str">
        <f t="shared" si="3"/>
        <v/>
      </c>
      <c r="V31" s="833" t="str">
        <f t="shared" si="4"/>
        <v/>
      </c>
      <c r="W31" s="820"/>
    </row>
    <row r="32" spans="1:23" ht="14.4" customHeight="1" x14ac:dyDescent="0.3">
      <c r="A32" s="880" t="s">
        <v>4055</v>
      </c>
      <c r="B32" s="811">
        <v>1</v>
      </c>
      <c r="C32" s="812">
        <v>1.07</v>
      </c>
      <c r="D32" s="813">
        <v>11</v>
      </c>
      <c r="E32" s="830"/>
      <c r="F32" s="814"/>
      <c r="G32" s="815"/>
      <c r="H32" s="816"/>
      <c r="I32" s="814"/>
      <c r="J32" s="815"/>
      <c r="K32" s="817">
        <v>1.07</v>
      </c>
      <c r="L32" s="816">
        <v>2</v>
      </c>
      <c r="M32" s="816">
        <v>19</v>
      </c>
      <c r="N32" s="818">
        <v>6.4</v>
      </c>
      <c r="O32" s="816" t="s">
        <v>4001</v>
      </c>
      <c r="P32" s="831" t="s">
        <v>4056</v>
      </c>
      <c r="Q32" s="819">
        <f t="shared" si="0"/>
        <v>-1</v>
      </c>
      <c r="R32" s="819">
        <f t="shared" si="0"/>
        <v>-1.07</v>
      </c>
      <c r="S32" s="832" t="str">
        <f t="shared" si="1"/>
        <v/>
      </c>
      <c r="T32" s="832" t="str">
        <f t="shared" si="2"/>
        <v/>
      </c>
      <c r="U32" s="832" t="str">
        <f t="shared" si="3"/>
        <v/>
      </c>
      <c r="V32" s="833" t="str">
        <f t="shared" si="4"/>
        <v/>
      </c>
      <c r="W32" s="820"/>
    </row>
    <row r="33" spans="1:23" ht="14.4" customHeight="1" x14ac:dyDescent="0.3">
      <c r="A33" s="880" t="s">
        <v>4057</v>
      </c>
      <c r="B33" s="832"/>
      <c r="C33" s="834"/>
      <c r="D33" s="835"/>
      <c r="E33" s="830"/>
      <c r="F33" s="814"/>
      <c r="G33" s="815"/>
      <c r="H33" s="821">
        <v>1</v>
      </c>
      <c r="I33" s="822">
        <v>0.42</v>
      </c>
      <c r="J33" s="823">
        <v>2</v>
      </c>
      <c r="K33" s="817">
        <v>0.42</v>
      </c>
      <c r="L33" s="816">
        <v>1</v>
      </c>
      <c r="M33" s="816">
        <v>7</v>
      </c>
      <c r="N33" s="818">
        <v>2.34</v>
      </c>
      <c r="O33" s="816" t="s">
        <v>4001</v>
      </c>
      <c r="P33" s="831" t="s">
        <v>4058</v>
      </c>
      <c r="Q33" s="819">
        <f t="shared" si="0"/>
        <v>1</v>
      </c>
      <c r="R33" s="819">
        <f t="shared" si="0"/>
        <v>0.42</v>
      </c>
      <c r="S33" s="832">
        <f t="shared" si="1"/>
        <v>2.34</v>
      </c>
      <c r="T33" s="832">
        <f t="shared" si="2"/>
        <v>2</v>
      </c>
      <c r="U33" s="832">
        <f t="shared" si="3"/>
        <v>-0.33999999999999986</v>
      </c>
      <c r="V33" s="833">
        <f t="shared" si="4"/>
        <v>0.85470085470085477</v>
      </c>
      <c r="W33" s="820"/>
    </row>
    <row r="34" spans="1:23" ht="14.4" customHeight="1" x14ac:dyDescent="0.3">
      <c r="A34" s="880" t="s">
        <v>4059</v>
      </c>
      <c r="B34" s="811">
        <v>1</v>
      </c>
      <c r="C34" s="812">
        <v>0.49</v>
      </c>
      <c r="D34" s="813">
        <v>2</v>
      </c>
      <c r="E34" s="830">
        <v>1</v>
      </c>
      <c r="F34" s="814">
        <v>0.49</v>
      </c>
      <c r="G34" s="815">
        <v>2</v>
      </c>
      <c r="H34" s="816">
        <v>1</v>
      </c>
      <c r="I34" s="814">
        <v>0.49</v>
      </c>
      <c r="J34" s="815">
        <v>2</v>
      </c>
      <c r="K34" s="817">
        <v>0.49</v>
      </c>
      <c r="L34" s="816">
        <v>1</v>
      </c>
      <c r="M34" s="816">
        <v>9</v>
      </c>
      <c r="N34" s="818">
        <v>2.96</v>
      </c>
      <c r="O34" s="816" t="s">
        <v>4001</v>
      </c>
      <c r="P34" s="831" t="s">
        <v>4060</v>
      </c>
      <c r="Q34" s="819">
        <f t="shared" si="0"/>
        <v>0</v>
      </c>
      <c r="R34" s="819">
        <f t="shared" si="0"/>
        <v>0</v>
      </c>
      <c r="S34" s="832">
        <f t="shared" si="1"/>
        <v>2.96</v>
      </c>
      <c r="T34" s="832">
        <f t="shared" si="2"/>
        <v>2</v>
      </c>
      <c r="U34" s="832">
        <f t="shared" si="3"/>
        <v>-0.96</v>
      </c>
      <c r="V34" s="833">
        <f t="shared" si="4"/>
        <v>0.67567567567567566</v>
      </c>
      <c r="W34" s="820"/>
    </row>
    <row r="35" spans="1:23" ht="14.4" customHeight="1" x14ac:dyDescent="0.3">
      <c r="A35" s="881" t="s">
        <v>4061</v>
      </c>
      <c r="B35" s="877">
        <v>1</v>
      </c>
      <c r="C35" s="878">
        <v>0.79</v>
      </c>
      <c r="D35" s="827">
        <v>2</v>
      </c>
      <c r="E35" s="867"/>
      <c r="F35" s="868"/>
      <c r="G35" s="824"/>
      <c r="H35" s="872"/>
      <c r="I35" s="868"/>
      <c r="J35" s="824"/>
      <c r="K35" s="871">
        <v>0.79</v>
      </c>
      <c r="L35" s="872">
        <v>2</v>
      </c>
      <c r="M35" s="872">
        <v>16</v>
      </c>
      <c r="N35" s="873">
        <v>5.22</v>
      </c>
      <c r="O35" s="872" t="s">
        <v>4001</v>
      </c>
      <c r="P35" s="874" t="s">
        <v>4062</v>
      </c>
      <c r="Q35" s="875">
        <f t="shared" si="0"/>
        <v>-1</v>
      </c>
      <c r="R35" s="875">
        <f t="shared" si="0"/>
        <v>-0.79</v>
      </c>
      <c r="S35" s="865" t="str">
        <f t="shared" si="1"/>
        <v/>
      </c>
      <c r="T35" s="865" t="str">
        <f t="shared" si="2"/>
        <v/>
      </c>
      <c r="U35" s="865" t="str">
        <f t="shared" si="3"/>
        <v/>
      </c>
      <c r="V35" s="876" t="str">
        <f t="shared" si="4"/>
        <v/>
      </c>
      <c r="W35" s="826"/>
    </row>
    <row r="36" spans="1:23" ht="14.4" customHeight="1" x14ac:dyDescent="0.3">
      <c r="A36" s="880" t="s">
        <v>4063</v>
      </c>
      <c r="B36" s="811">
        <v>1</v>
      </c>
      <c r="C36" s="812">
        <v>0.37</v>
      </c>
      <c r="D36" s="813">
        <v>2</v>
      </c>
      <c r="E36" s="830"/>
      <c r="F36" s="814"/>
      <c r="G36" s="815"/>
      <c r="H36" s="816"/>
      <c r="I36" s="814"/>
      <c r="J36" s="815"/>
      <c r="K36" s="817">
        <v>0.55000000000000004</v>
      </c>
      <c r="L36" s="816">
        <v>3</v>
      </c>
      <c r="M36" s="816">
        <v>23</v>
      </c>
      <c r="N36" s="818">
        <v>7.74</v>
      </c>
      <c r="O36" s="816" t="s">
        <v>4001</v>
      </c>
      <c r="P36" s="831" t="s">
        <v>4064</v>
      </c>
      <c r="Q36" s="819">
        <f t="shared" si="0"/>
        <v>-1</v>
      </c>
      <c r="R36" s="819">
        <f t="shared" si="0"/>
        <v>-0.37</v>
      </c>
      <c r="S36" s="832" t="str">
        <f t="shared" si="1"/>
        <v/>
      </c>
      <c r="T36" s="832" t="str">
        <f t="shared" si="2"/>
        <v/>
      </c>
      <c r="U36" s="832" t="str">
        <f t="shared" si="3"/>
        <v/>
      </c>
      <c r="V36" s="833" t="str">
        <f t="shared" si="4"/>
        <v/>
      </c>
      <c r="W36" s="820"/>
    </row>
    <row r="37" spans="1:23" ht="14.4" customHeight="1" x14ac:dyDescent="0.3">
      <c r="A37" s="880" t="s">
        <v>4065</v>
      </c>
      <c r="B37" s="811">
        <v>1</v>
      </c>
      <c r="C37" s="812">
        <v>0.42</v>
      </c>
      <c r="D37" s="813">
        <v>3</v>
      </c>
      <c r="E37" s="830"/>
      <c r="F37" s="814"/>
      <c r="G37" s="815"/>
      <c r="H37" s="816"/>
      <c r="I37" s="814"/>
      <c r="J37" s="815"/>
      <c r="K37" s="817">
        <v>0.42</v>
      </c>
      <c r="L37" s="816">
        <v>2</v>
      </c>
      <c r="M37" s="816">
        <v>17</v>
      </c>
      <c r="N37" s="818">
        <v>5.62</v>
      </c>
      <c r="O37" s="816" t="s">
        <v>4001</v>
      </c>
      <c r="P37" s="831" t="s">
        <v>4066</v>
      </c>
      <c r="Q37" s="819">
        <f t="shared" si="0"/>
        <v>-1</v>
      </c>
      <c r="R37" s="819">
        <f t="shared" si="0"/>
        <v>-0.42</v>
      </c>
      <c r="S37" s="832" t="str">
        <f t="shared" si="1"/>
        <v/>
      </c>
      <c r="T37" s="832" t="str">
        <f t="shared" si="2"/>
        <v/>
      </c>
      <c r="U37" s="832" t="str">
        <f t="shared" si="3"/>
        <v/>
      </c>
      <c r="V37" s="833" t="str">
        <f t="shared" si="4"/>
        <v/>
      </c>
      <c r="W37" s="820"/>
    </row>
    <row r="38" spans="1:23" ht="14.4" customHeight="1" x14ac:dyDescent="0.3">
      <c r="A38" s="880" t="s">
        <v>4067</v>
      </c>
      <c r="B38" s="832">
        <v>2</v>
      </c>
      <c r="C38" s="834">
        <v>0.71</v>
      </c>
      <c r="D38" s="835">
        <v>2.5</v>
      </c>
      <c r="E38" s="821">
        <v>4</v>
      </c>
      <c r="F38" s="822">
        <v>1.54</v>
      </c>
      <c r="G38" s="823">
        <v>3.3</v>
      </c>
      <c r="H38" s="816">
        <v>2</v>
      </c>
      <c r="I38" s="814">
        <v>0.54</v>
      </c>
      <c r="J38" s="815">
        <v>1.5</v>
      </c>
      <c r="K38" s="817">
        <v>0.36</v>
      </c>
      <c r="L38" s="816">
        <v>2</v>
      </c>
      <c r="M38" s="816">
        <v>15</v>
      </c>
      <c r="N38" s="818">
        <v>4.87</v>
      </c>
      <c r="O38" s="816" t="s">
        <v>4001</v>
      </c>
      <c r="P38" s="831" t="s">
        <v>4068</v>
      </c>
      <c r="Q38" s="819">
        <f t="shared" si="0"/>
        <v>0</v>
      </c>
      <c r="R38" s="819">
        <f t="shared" si="0"/>
        <v>-0.16999999999999993</v>
      </c>
      <c r="S38" s="832">
        <f t="shared" si="1"/>
        <v>9.74</v>
      </c>
      <c r="T38" s="832">
        <f t="shared" si="2"/>
        <v>3</v>
      </c>
      <c r="U38" s="832">
        <f t="shared" si="3"/>
        <v>-6.74</v>
      </c>
      <c r="V38" s="833">
        <f t="shared" si="4"/>
        <v>0.30800821355236141</v>
      </c>
      <c r="W38" s="820"/>
    </row>
    <row r="39" spans="1:23" ht="14.4" customHeight="1" x14ac:dyDescent="0.3">
      <c r="A39" s="881" t="s">
        <v>4069</v>
      </c>
      <c r="B39" s="865">
        <v>1</v>
      </c>
      <c r="C39" s="866">
        <v>0.48</v>
      </c>
      <c r="D39" s="836">
        <v>2</v>
      </c>
      <c r="E39" s="869"/>
      <c r="F39" s="870"/>
      <c r="G39" s="825"/>
      <c r="H39" s="872">
        <v>1</v>
      </c>
      <c r="I39" s="868">
        <v>0.48</v>
      </c>
      <c r="J39" s="824">
        <v>2</v>
      </c>
      <c r="K39" s="871">
        <v>0.48</v>
      </c>
      <c r="L39" s="872">
        <v>2</v>
      </c>
      <c r="M39" s="872">
        <v>20</v>
      </c>
      <c r="N39" s="873">
        <v>6.58</v>
      </c>
      <c r="O39" s="872" t="s">
        <v>4001</v>
      </c>
      <c r="P39" s="874" t="s">
        <v>4070</v>
      </c>
      <c r="Q39" s="875">
        <f t="shared" si="0"/>
        <v>0</v>
      </c>
      <c r="R39" s="875">
        <f t="shared" si="0"/>
        <v>0</v>
      </c>
      <c r="S39" s="865">
        <f t="shared" si="1"/>
        <v>6.58</v>
      </c>
      <c r="T39" s="865">
        <f t="shared" si="2"/>
        <v>2</v>
      </c>
      <c r="U39" s="865">
        <f t="shared" si="3"/>
        <v>-4.58</v>
      </c>
      <c r="V39" s="876">
        <f t="shared" si="4"/>
        <v>0.303951367781155</v>
      </c>
      <c r="W39" s="826"/>
    </row>
    <row r="40" spans="1:23" ht="14.4" customHeight="1" x14ac:dyDescent="0.3">
      <c r="A40" s="880" t="s">
        <v>4071</v>
      </c>
      <c r="B40" s="811">
        <v>3</v>
      </c>
      <c r="C40" s="812">
        <v>1.17</v>
      </c>
      <c r="D40" s="813">
        <v>2</v>
      </c>
      <c r="E40" s="830">
        <v>1</v>
      </c>
      <c r="F40" s="814">
        <v>0.39</v>
      </c>
      <c r="G40" s="815">
        <v>2</v>
      </c>
      <c r="H40" s="816">
        <v>1</v>
      </c>
      <c r="I40" s="814">
        <v>0.39</v>
      </c>
      <c r="J40" s="829">
        <v>5</v>
      </c>
      <c r="K40" s="817">
        <v>0.39</v>
      </c>
      <c r="L40" s="816">
        <v>2</v>
      </c>
      <c r="M40" s="816">
        <v>14</v>
      </c>
      <c r="N40" s="818">
        <v>4.59</v>
      </c>
      <c r="O40" s="816" t="s">
        <v>4001</v>
      </c>
      <c r="P40" s="831" t="s">
        <v>4072</v>
      </c>
      <c r="Q40" s="819">
        <f t="shared" si="0"/>
        <v>-2</v>
      </c>
      <c r="R40" s="819">
        <f t="shared" si="0"/>
        <v>-0.77999999999999992</v>
      </c>
      <c r="S40" s="832">
        <f t="shared" si="1"/>
        <v>4.59</v>
      </c>
      <c r="T40" s="832">
        <f t="shared" si="2"/>
        <v>5</v>
      </c>
      <c r="U40" s="832">
        <f t="shared" si="3"/>
        <v>0.41000000000000014</v>
      </c>
      <c r="V40" s="833">
        <f t="shared" si="4"/>
        <v>1.0893246187363834</v>
      </c>
      <c r="W40" s="820">
        <v>0.41</v>
      </c>
    </row>
    <row r="41" spans="1:23" ht="14.4" customHeight="1" x14ac:dyDescent="0.3">
      <c r="A41" s="880" t="s">
        <v>4073</v>
      </c>
      <c r="B41" s="811">
        <v>5</v>
      </c>
      <c r="C41" s="812">
        <v>1.83</v>
      </c>
      <c r="D41" s="813">
        <v>2</v>
      </c>
      <c r="E41" s="830">
        <v>2</v>
      </c>
      <c r="F41" s="814">
        <v>0.73</v>
      </c>
      <c r="G41" s="815">
        <v>2</v>
      </c>
      <c r="H41" s="816"/>
      <c r="I41" s="814"/>
      <c r="J41" s="815"/>
      <c r="K41" s="817">
        <v>0.37</v>
      </c>
      <c r="L41" s="816">
        <v>1</v>
      </c>
      <c r="M41" s="816">
        <v>12</v>
      </c>
      <c r="N41" s="818">
        <v>3.88</v>
      </c>
      <c r="O41" s="816" t="s">
        <v>4001</v>
      </c>
      <c r="P41" s="831" t="s">
        <v>4074</v>
      </c>
      <c r="Q41" s="819">
        <f t="shared" si="0"/>
        <v>-5</v>
      </c>
      <c r="R41" s="819">
        <f t="shared" si="0"/>
        <v>-1.83</v>
      </c>
      <c r="S41" s="832" t="str">
        <f t="shared" si="1"/>
        <v/>
      </c>
      <c r="T41" s="832" t="str">
        <f t="shared" si="2"/>
        <v/>
      </c>
      <c r="U41" s="832" t="str">
        <f t="shared" si="3"/>
        <v/>
      </c>
      <c r="V41" s="833" t="str">
        <f t="shared" si="4"/>
        <v/>
      </c>
      <c r="W41" s="820"/>
    </row>
    <row r="42" spans="1:23" ht="14.4" customHeight="1" x14ac:dyDescent="0.3">
      <c r="A42" s="881" t="s">
        <v>4075</v>
      </c>
      <c r="B42" s="877">
        <v>1</v>
      </c>
      <c r="C42" s="878">
        <v>0.56000000000000005</v>
      </c>
      <c r="D42" s="827">
        <v>2</v>
      </c>
      <c r="E42" s="867"/>
      <c r="F42" s="868"/>
      <c r="G42" s="824"/>
      <c r="H42" s="872"/>
      <c r="I42" s="868"/>
      <c r="J42" s="824"/>
      <c r="K42" s="871">
        <v>0.56000000000000005</v>
      </c>
      <c r="L42" s="872">
        <v>2</v>
      </c>
      <c r="M42" s="872">
        <v>19</v>
      </c>
      <c r="N42" s="873">
        <v>6.3</v>
      </c>
      <c r="O42" s="872" t="s">
        <v>4001</v>
      </c>
      <c r="P42" s="874" t="s">
        <v>4076</v>
      </c>
      <c r="Q42" s="875">
        <f t="shared" si="0"/>
        <v>-1</v>
      </c>
      <c r="R42" s="875">
        <f t="shared" si="0"/>
        <v>-0.56000000000000005</v>
      </c>
      <c r="S42" s="865" t="str">
        <f t="shared" si="1"/>
        <v/>
      </c>
      <c r="T42" s="865" t="str">
        <f t="shared" si="2"/>
        <v/>
      </c>
      <c r="U42" s="865" t="str">
        <f t="shared" si="3"/>
        <v/>
      </c>
      <c r="V42" s="876" t="str">
        <f t="shared" si="4"/>
        <v/>
      </c>
      <c r="W42" s="826"/>
    </row>
    <row r="43" spans="1:23" ht="14.4" customHeight="1" x14ac:dyDescent="0.3">
      <c r="A43" s="880" t="s">
        <v>4077</v>
      </c>
      <c r="B43" s="832">
        <v>1</v>
      </c>
      <c r="C43" s="834">
        <v>0.38</v>
      </c>
      <c r="D43" s="835">
        <v>2</v>
      </c>
      <c r="E43" s="821">
        <v>1</v>
      </c>
      <c r="F43" s="822">
        <v>0.37</v>
      </c>
      <c r="G43" s="823">
        <v>6</v>
      </c>
      <c r="H43" s="816"/>
      <c r="I43" s="814"/>
      <c r="J43" s="815"/>
      <c r="K43" s="817">
        <v>0.32</v>
      </c>
      <c r="L43" s="816">
        <v>1</v>
      </c>
      <c r="M43" s="816">
        <v>12</v>
      </c>
      <c r="N43" s="818">
        <v>3.88</v>
      </c>
      <c r="O43" s="816" t="s">
        <v>4001</v>
      </c>
      <c r="P43" s="831" t="s">
        <v>4078</v>
      </c>
      <c r="Q43" s="819">
        <f t="shared" si="0"/>
        <v>-1</v>
      </c>
      <c r="R43" s="819">
        <f t="shared" si="0"/>
        <v>-0.38</v>
      </c>
      <c r="S43" s="832" t="str">
        <f t="shared" si="1"/>
        <v/>
      </c>
      <c r="T43" s="832" t="str">
        <f t="shared" si="2"/>
        <v/>
      </c>
      <c r="U43" s="832" t="str">
        <f t="shared" si="3"/>
        <v/>
      </c>
      <c r="V43" s="833" t="str">
        <f t="shared" si="4"/>
        <v/>
      </c>
      <c r="W43" s="820"/>
    </row>
    <row r="44" spans="1:23" ht="14.4" customHeight="1" x14ac:dyDescent="0.3">
      <c r="A44" s="880" t="s">
        <v>4079</v>
      </c>
      <c r="B44" s="832"/>
      <c r="C44" s="834"/>
      <c r="D44" s="835"/>
      <c r="E44" s="830"/>
      <c r="F44" s="814"/>
      <c r="G44" s="815"/>
      <c r="H44" s="821">
        <v>1</v>
      </c>
      <c r="I44" s="822">
        <v>5.77</v>
      </c>
      <c r="J44" s="829">
        <v>52</v>
      </c>
      <c r="K44" s="817">
        <v>4.82</v>
      </c>
      <c r="L44" s="816">
        <v>9</v>
      </c>
      <c r="M44" s="816">
        <v>81</v>
      </c>
      <c r="N44" s="818">
        <v>26.85</v>
      </c>
      <c r="O44" s="816" t="s">
        <v>4001</v>
      </c>
      <c r="P44" s="831" t="s">
        <v>4080</v>
      </c>
      <c r="Q44" s="819">
        <f t="shared" si="0"/>
        <v>1</v>
      </c>
      <c r="R44" s="819">
        <f t="shared" si="0"/>
        <v>5.77</v>
      </c>
      <c r="S44" s="832">
        <f t="shared" si="1"/>
        <v>26.85</v>
      </c>
      <c r="T44" s="832">
        <f t="shared" si="2"/>
        <v>52</v>
      </c>
      <c r="U44" s="832">
        <f t="shared" si="3"/>
        <v>25.15</v>
      </c>
      <c r="V44" s="833">
        <f t="shared" si="4"/>
        <v>1.9366852886405959</v>
      </c>
      <c r="W44" s="820">
        <v>25.15</v>
      </c>
    </row>
    <row r="45" spans="1:23" ht="14.4" customHeight="1" x14ac:dyDescent="0.3">
      <c r="A45" s="880" t="s">
        <v>4081</v>
      </c>
      <c r="B45" s="811">
        <v>1</v>
      </c>
      <c r="C45" s="812">
        <v>1.54</v>
      </c>
      <c r="D45" s="813">
        <v>22</v>
      </c>
      <c r="E45" s="830"/>
      <c r="F45" s="814"/>
      <c r="G45" s="815"/>
      <c r="H45" s="816"/>
      <c r="I45" s="814"/>
      <c r="J45" s="815"/>
      <c r="K45" s="817">
        <v>1.43</v>
      </c>
      <c r="L45" s="816">
        <v>4</v>
      </c>
      <c r="M45" s="816">
        <v>35</v>
      </c>
      <c r="N45" s="818">
        <v>11.68</v>
      </c>
      <c r="O45" s="816" t="s">
        <v>4001</v>
      </c>
      <c r="P45" s="831" t="s">
        <v>4082</v>
      </c>
      <c r="Q45" s="819">
        <f t="shared" si="0"/>
        <v>-1</v>
      </c>
      <c r="R45" s="819">
        <f t="shared" si="0"/>
        <v>-1.54</v>
      </c>
      <c r="S45" s="832" t="str">
        <f t="shared" si="1"/>
        <v/>
      </c>
      <c r="T45" s="832" t="str">
        <f t="shared" si="2"/>
        <v/>
      </c>
      <c r="U45" s="832" t="str">
        <f t="shared" si="3"/>
        <v/>
      </c>
      <c r="V45" s="833" t="str">
        <f t="shared" si="4"/>
        <v/>
      </c>
      <c r="W45" s="820"/>
    </row>
    <row r="46" spans="1:23" ht="14.4" customHeight="1" x14ac:dyDescent="0.3">
      <c r="A46" s="881" t="s">
        <v>4083</v>
      </c>
      <c r="B46" s="877">
        <v>2</v>
      </c>
      <c r="C46" s="878">
        <v>4.42</v>
      </c>
      <c r="D46" s="827">
        <v>19.5</v>
      </c>
      <c r="E46" s="867"/>
      <c r="F46" s="868"/>
      <c r="G46" s="824"/>
      <c r="H46" s="872">
        <v>1</v>
      </c>
      <c r="I46" s="868">
        <v>1.81</v>
      </c>
      <c r="J46" s="828">
        <v>20</v>
      </c>
      <c r="K46" s="871">
        <v>1.81</v>
      </c>
      <c r="L46" s="872">
        <v>5</v>
      </c>
      <c r="M46" s="872">
        <v>45</v>
      </c>
      <c r="N46" s="873">
        <v>15.1</v>
      </c>
      <c r="O46" s="872" t="s">
        <v>4001</v>
      </c>
      <c r="P46" s="874" t="s">
        <v>4084</v>
      </c>
      <c r="Q46" s="875">
        <f t="shared" si="0"/>
        <v>-1</v>
      </c>
      <c r="R46" s="875">
        <f t="shared" si="0"/>
        <v>-2.61</v>
      </c>
      <c r="S46" s="865">
        <f t="shared" si="1"/>
        <v>15.1</v>
      </c>
      <c r="T46" s="865">
        <f t="shared" si="2"/>
        <v>20</v>
      </c>
      <c r="U46" s="865">
        <f t="shared" si="3"/>
        <v>4.9000000000000004</v>
      </c>
      <c r="V46" s="876">
        <f t="shared" si="4"/>
        <v>1.3245033112582782</v>
      </c>
      <c r="W46" s="826">
        <v>4.9000000000000004</v>
      </c>
    </row>
    <row r="47" spans="1:23" ht="14.4" customHeight="1" thickBot="1" x14ac:dyDescent="0.35">
      <c r="A47" s="882" t="s">
        <v>4085</v>
      </c>
      <c r="B47" s="883"/>
      <c r="C47" s="884"/>
      <c r="D47" s="885"/>
      <c r="E47" s="886"/>
      <c r="F47" s="887"/>
      <c r="G47" s="888"/>
      <c r="H47" s="889">
        <v>1</v>
      </c>
      <c r="I47" s="890">
        <v>0.46</v>
      </c>
      <c r="J47" s="891">
        <v>9</v>
      </c>
      <c r="K47" s="892">
        <v>0.46</v>
      </c>
      <c r="L47" s="893">
        <v>2</v>
      </c>
      <c r="M47" s="893">
        <v>15</v>
      </c>
      <c r="N47" s="894">
        <v>4.9400000000000004</v>
      </c>
      <c r="O47" s="893" t="s">
        <v>4001</v>
      </c>
      <c r="P47" s="895" t="s">
        <v>4086</v>
      </c>
      <c r="Q47" s="896">
        <f t="shared" si="0"/>
        <v>1</v>
      </c>
      <c r="R47" s="896">
        <f t="shared" si="0"/>
        <v>0.46</v>
      </c>
      <c r="S47" s="883">
        <f t="shared" si="1"/>
        <v>4.9400000000000004</v>
      </c>
      <c r="T47" s="883">
        <f t="shared" si="2"/>
        <v>9</v>
      </c>
      <c r="U47" s="883">
        <f t="shared" si="3"/>
        <v>4.0599999999999996</v>
      </c>
      <c r="V47" s="897">
        <f t="shared" si="4"/>
        <v>1.8218623481781375</v>
      </c>
      <c r="W47" s="898">
        <v>4.0599999999999996</v>
      </c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48:Q1048576">
    <cfRule type="cellIs" dxfId="12" priority="9" stopIfTrue="1" operator="lessThan">
      <formula>0</formula>
    </cfRule>
  </conditionalFormatting>
  <conditionalFormatting sqref="U48:U1048576">
    <cfRule type="cellIs" dxfId="11" priority="8" stopIfTrue="1" operator="greaterThan">
      <formula>0</formula>
    </cfRule>
  </conditionalFormatting>
  <conditionalFormatting sqref="V48:V1048576">
    <cfRule type="cellIs" dxfId="10" priority="7" stopIfTrue="1" operator="greaterThan">
      <formula>1</formula>
    </cfRule>
  </conditionalFormatting>
  <conditionalFormatting sqref="V48:V1048576">
    <cfRule type="cellIs" dxfId="9" priority="4" stopIfTrue="1" operator="greaterThan">
      <formula>1</formula>
    </cfRule>
  </conditionalFormatting>
  <conditionalFormatting sqref="U48:U1048576">
    <cfRule type="cellIs" dxfId="8" priority="5" stopIfTrue="1" operator="greaterThan">
      <formula>0</formula>
    </cfRule>
  </conditionalFormatting>
  <conditionalFormatting sqref="Q48:Q1048576">
    <cfRule type="cellIs" dxfId="7" priority="6" stopIfTrue="1" operator="lessThan">
      <formula>0</formula>
    </cfRule>
  </conditionalFormatting>
  <conditionalFormatting sqref="V5:V47">
    <cfRule type="cellIs" dxfId="6" priority="1" stopIfTrue="1" operator="greaterThan">
      <formula>1</formula>
    </cfRule>
  </conditionalFormatting>
  <conditionalFormatting sqref="U5:U47">
    <cfRule type="cellIs" dxfId="5" priority="2" stopIfTrue="1" operator="greaterThan">
      <formula>0</formula>
    </cfRule>
  </conditionalFormatting>
  <conditionalFormatting sqref="Q5:Q47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54" customWidth="1"/>
    <col min="2" max="2" width="7.77734375" style="219" customWidth="1"/>
    <col min="3" max="3" width="7.21875" style="254" hidden="1" customWidth="1"/>
    <col min="4" max="4" width="7.77734375" style="219" customWidth="1"/>
    <col min="5" max="5" width="7.21875" style="254" hidden="1" customWidth="1"/>
    <col min="6" max="6" width="7.77734375" style="219" customWidth="1"/>
    <col min="7" max="7" width="7.77734375" style="340" customWidth="1"/>
    <col min="8" max="8" width="7.77734375" style="219" customWidth="1"/>
    <col min="9" max="9" width="7.21875" style="254" hidden="1" customWidth="1"/>
    <col min="10" max="10" width="7.77734375" style="219" customWidth="1"/>
    <col min="11" max="11" width="7.21875" style="254" hidden="1" customWidth="1"/>
    <col min="12" max="12" width="7.77734375" style="219" customWidth="1"/>
    <col min="13" max="13" width="7.77734375" style="340" customWidth="1"/>
    <col min="14" max="16384" width="8.88671875" style="254"/>
  </cols>
  <sheetData>
    <row r="1" spans="1:13" ht="18.600000000000001" customHeight="1" thickBot="1" x14ac:dyDescent="0.4">
      <c r="A1" s="487" t="s">
        <v>159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thickBot="1" x14ac:dyDescent="0.35">
      <c r="A2" s="383" t="s">
        <v>334</v>
      </c>
      <c r="B2" s="356"/>
      <c r="C2" s="224"/>
      <c r="D2" s="356"/>
      <c r="E2" s="224"/>
      <c r="F2" s="356"/>
      <c r="G2" s="357"/>
      <c r="H2" s="356"/>
      <c r="I2" s="224"/>
      <c r="J2" s="356"/>
      <c r="K2" s="224"/>
      <c r="L2" s="356"/>
      <c r="M2" s="357"/>
    </row>
    <row r="3" spans="1:13" ht="14.4" customHeight="1" thickBot="1" x14ac:dyDescent="0.35">
      <c r="A3" s="350" t="s">
        <v>160</v>
      </c>
      <c r="B3" s="351">
        <f>SUBTOTAL(9,B6:B1048576)</f>
        <v>844291</v>
      </c>
      <c r="C3" s="352">
        <f t="shared" ref="C3:L3" si="0">SUBTOTAL(9,C6:C1048576)</f>
        <v>12</v>
      </c>
      <c r="D3" s="352">
        <f t="shared" si="0"/>
        <v>714433</v>
      </c>
      <c r="E3" s="352">
        <f t="shared" si="0"/>
        <v>31.592149690606767</v>
      </c>
      <c r="F3" s="352">
        <f t="shared" si="0"/>
        <v>918364</v>
      </c>
      <c r="G3" s="355">
        <f>IF(B3&lt;&gt;0,F3/B3,"")</f>
        <v>1.0877339685013816</v>
      </c>
      <c r="H3" s="351">
        <f t="shared" si="0"/>
        <v>61704.69000000001</v>
      </c>
      <c r="I3" s="352">
        <f t="shared" si="0"/>
        <v>1</v>
      </c>
      <c r="J3" s="352">
        <f t="shared" si="0"/>
        <v>10655.95</v>
      </c>
      <c r="K3" s="352">
        <f t="shared" si="0"/>
        <v>8.2748167116632451E-2</v>
      </c>
      <c r="L3" s="352">
        <f t="shared" si="0"/>
        <v>1160964.3000000003</v>
      </c>
      <c r="M3" s="353">
        <f>IF(H3&lt;&gt;0,L3/H3,"")</f>
        <v>18.8148469751651</v>
      </c>
    </row>
    <row r="4" spans="1:13" ht="14.4" customHeight="1" x14ac:dyDescent="0.3">
      <c r="A4" s="606" t="s">
        <v>118</v>
      </c>
      <c r="B4" s="553" t="s">
        <v>124</v>
      </c>
      <c r="C4" s="554"/>
      <c r="D4" s="554"/>
      <c r="E4" s="554"/>
      <c r="F4" s="554"/>
      <c r="G4" s="555"/>
      <c r="H4" s="553" t="s">
        <v>125</v>
      </c>
      <c r="I4" s="554"/>
      <c r="J4" s="554"/>
      <c r="K4" s="554"/>
      <c r="L4" s="554"/>
      <c r="M4" s="555"/>
    </row>
    <row r="5" spans="1:13" s="338" customFormat="1" ht="14.4" customHeight="1" thickBot="1" x14ac:dyDescent="0.35">
      <c r="A5" s="899"/>
      <c r="B5" s="900">
        <v>2013</v>
      </c>
      <c r="C5" s="901"/>
      <c r="D5" s="901">
        <v>2014</v>
      </c>
      <c r="E5" s="901"/>
      <c r="F5" s="901">
        <v>2015</v>
      </c>
      <c r="G5" s="786" t="s">
        <v>2</v>
      </c>
      <c r="H5" s="900">
        <v>2013</v>
      </c>
      <c r="I5" s="901"/>
      <c r="J5" s="901">
        <v>2014</v>
      </c>
      <c r="K5" s="901"/>
      <c r="L5" s="901">
        <v>2015</v>
      </c>
      <c r="M5" s="786" t="s">
        <v>2</v>
      </c>
    </row>
    <row r="6" spans="1:13" ht="14.4" customHeight="1" x14ac:dyDescent="0.3">
      <c r="A6" s="748" t="s">
        <v>4088</v>
      </c>
      <c r="B6" s="787">
        <v>126</v>
      </c>
      <c r="C6" s="734">
        <v>1</v>
      </c>
      <c r="D6" s="787"/>
      <c r="E6" s="734"/>
      <c r="F6" s="787"/>
      <c r="G6" s="739"/>
      <c r="H6" s="787"/>
      <c r="I6" s="734"/>
      <c r="J6" s="787"/>
      <c r="K6" s="734"/>
      <c r="L6" s="787"/>
      <c r="M6" s="235"/>
    </row>
    <row r="7" spans="1:13" ht="14.4" customHeight="1" x14ac:dyDescent="0.3">
      <c r="A7" s="687" t="s">
        <v>3478</v>
      </c>
      <c r="B7" s="794">
        <v>1973</v>
      </c>
      <c r="C7" s="661">
        <v>1</v>
      </c>
      <c r="D7" s="794"/>
      <c r="E7" s="661"/>
      <c r="F7" s="794"/>
      <c r="G7" s="677"/>
      <c r="H7" s="794"/>
      <c r="I7" s="661"/>
      <c r="J7" s="794"/>
      <c r="K7" s="661"/>
      <c r="L7" s="794"/>
      <c r="M7" s="700"/>
    </row>
    <row r="8" spans="1:13" ht="14.4" customHeight="1" x14ac:dyDescent="0.3">
      <c r="A8" s="687" t="s">
        <v>4089</v>
      </c>
      <c r="B8" s="794">
        <v>163</v>
      </c>
      <c r="C8" s="661">
        <v>1</v>
      </c>
      <c r="D8" s="794">
        <v>4328</v>
      </c>
      <c r="E8" s="661">
        <v>26.552147239263803</v>
      </c>
      <c r="F8" s="794"/>
      <c r="G8" s="677"/>
      <c r="H8" s="794"/>
      <c r="I8" s="661"/>
      <c r="J8" s="794">
        <v>5550</v>
      </c>
      <c r="K8" s="661"/>
      <c r="L8" s="794"/>
      <c r="M8" s="700"/>
    </row>
    <row r="9" spans="1:13" ht="14.4" customHeight="1" x14ac:dyDescent="0.3">
      <c r="A9" s="687" t="s">
        <v>4090</v>
      </c>
      <c r="B9" s="794">
        <v>51672</v>
      </c>
      <c r="C9" s="661">
        <v>1</v>
      </c>
      <c r="D9" s="794">
        <v>61806</v>
      </c>
      <c r="E9" s="661">
        <v>1.1961216906641896</v>
      </c>
      <c r="F9" s="794">
        <v>56010</v>
      </c>
      <c r="G9" s="677">
        <v>1.0839526242452393</v>
      </c>
      <c r="H9" s="794"/>
      <c r="I9" s="661"/>
      <c r="J9" s="794"/>
      <c r="K9" s="661"/>
      <c r="L9" s="794"/>
      <c r="M9" s="700"/>
    </row>
    <row r="10" spans="1:13" ht="14.4" customHeight="1" x14ac:dyDescent="0.3">
      <c r="A10" s="687" t="s">
        <v>4091</v>
      </c>
      <c r="B10" s="794">
        <v>307394</v>
      </c>
      <c r="C10" s="661">
        <v>1</v>
      </c>
      <c r="D10" s="794">
        <v>319763</v>
      </c>
      <c r="E10" s="661">
        <v>1.0402382609940337</v>
      </c>
      <c r="F10" s="794">
        <v>346767</v>
      </c>
      <c r="G10" s="677">
        <v>1.128086429793685</v>
      </c>
      <c r="H10" s="794"/>
      <c r="I10" s="661"/>
      <c r="J10" s="794"/>
      <c r="K10" s="661"/>
      <c r="L10" s="794"/>
      <c r="M10" s="700"/>
    </row>
    <row r="11" spans="1:13" ht="14.4" customHeight="1" x14ac:dyDescent="0.3">
      <c r="A11" s="687" t="s">
        <v>4092</v>
      </c>
      <c r="B11" s="794">
        <v>151765</v>
      </c>
      <c r="C11" s="661">
        <v>1</v>
      </c>
      <c r="D11" s="794">
        <v>144213</v>
      </c>
      <c r="E11" s="661">
        <v>0.95023885612624781</v>
      </c>
      <c r="F11" s="794">
        <v>282928</v>
      </c>
      <c r="G11" s="677">
        <v>1.8642506506770335</v>
      </c>
      <c r="H11" s="794">
        <v>61704.69000000001</v>
      </c>
      <c r="I11" s="661">
        <v>1</v>
      </c>
      <c r="J11" s="794">
        <v>5105.95</v>
      </c>
      <c r="K11" s="661">
        <v>8.2748167116632451E-2</v>
      </c>
      <c r="L11" s="794">
        <v>1160964.3000000003</v>
      </c>
      <c r="M11" s="700">
        <v>18.8148469751651</v>
      </c>
    </row>
    <row r="12" spans="1:13" ht="14.4" customHeight="1" x14ac:dyDescent="0.3">
      <c r="A12" s="687" t="s">
        <v>4093</v>
      </c>
      <c r="B12" s="794">
        <v>135019</v>
      </c>
      <c r="C12" s="661">
        <v>1</v>
      </c>
      <c r="D12" s="794">
        <v>127837</v>
      </c>
      <c r="E12" s="661">
        <v>0.94680748635377243</v>
      </c>
      <c r="F12" s="794">
        <v>148413</v>
      </c>
      <c r="G12" s="677">
        <v>1.0992008532132516</v>
      </c>
      <c r="H12" s="794"/>
      <c r="I12" s="661"/>
      <c r="J12" s="794"/>
      <c r="K12" s="661"/>
      <c r="L12" s="794"/>
      <c r="M12" s="700"/>
    </row>
    <row r="13" spans="1:13" ht="14.4" customHeight="1" x14ac:dyDescent="0.3">
      <c r="A13" s="687" t="s">
        <v>4094</v>
      </c>
      <c r="B13" s="794">
        <v>67250</v>
      </c>
      <c r="C13" s="661">
        <v>1</v>
      </c>
      <c r="D13" s="794">
        <v>9727</v>
      </c>
      <c r="E13" s="661">
        <v>0.14463940520446097</v>
      </c>
      <c r="F13" s="794">
        <v>5905</v>
      </c>
      <c r="G13" s="677">
        <v>8.7806691449814123E-2</v>
      </c>
      <c r="H13" s="794"/>
      <c r="I13" s="661"/>
      <c r="J13" s="794"/>
      <c r="K13" s="661"/>
      <c r="L13" s="794"/>
      <c r="M13" s="700"/>
    </row>
    <row r="14" spans="1:13" ht="14.4" customHeight="1" x14ac:dyDescent="0.3">
      <c r="A14" s="687" t="s">
        <v>4095</v>
      </c>
      <c r="B14" s="794">
        <v>61367</v>
      </c>
      <c r="C14" s="661">
        <v>1</v>
      </c>
      <c r="D14" s="794">
        <v>46759</v>
      </c>
      <c r="E14" s="661">
        <v>0.7619567520002607</v>
      </c>
      <c r="F14" s="794">
        <v>78341</v>
      </c>
      <c r="G14" s="677">
        <v>1.2765981716557759</v>
      </c>
      <c r="H14" s="794"/>
      <c r="I14" s="661"/>
      <c r="J14" s="794"/>
      <c r="K14" s="661"/>
      <c r="L14" s="794"/>
      <c r="M14" s="700"/>
    </row>
    <row r="15" spans="1:13" ht="14.4" customHeight="1" x14ac:dyDescent="0.3">
      <c r="A15" s="687" t="s">
        <v>4096</v>
      </c>
      <c r="B15" s="794">
        <v>507</v>
      </c>
      <c r="C15" s="661">
        <v>1</v>
      </c>
      <c r="D15" s="794"/>
      <c r="E15" s="661"/>
      <c r="F15" s="794"/>
      <c r="G15" s="677"/>
      <c r="H15" s="794"/>
      <c r="I15" s="661"/>
      <c r="J15" s="794"/>
      <c r="K15" s="661"/>
      <c r="L15" s="794"/>
      <c r="M15" s="700"/>
    </row>
    <row r="16" spans="1:13" ht="14.4" customHeight="1" x14ac:dyDescent="0.3">
      <c r="A16" s="687" t="s">
        <v>4097</v>
      </c>
      <c r="B16" s="794">
        <v>51991</v>
      </c>
      <c r="C16" s="661">
        <v>1</v>
      </c>
      <c r="D16" s="794"/>
      <c r="E16" s="661"/>
      <c r="F16" s="794"/>
      <c r="G16" s="677"/>
      <c r="H16" s="794"/>
      <c r="I16" s="661"/>
      <c r="J16" s="794"/>
      <c r="K16" s="661"/>
      <c r="L16" s="794"/>
      <c r="M16" s="700"/>
    </row>
    <row r="17" spans="1:13" ht="14.4" customHeight="1" thickBot="1" x14ac:dyDescent="0.35">
      <c r="A17" s="789" t="s">
        <v>1902</v>
      </c>
      <c r="B17" s="788">
        <v>15064</v>
      </c>
      <c r="C17" s="667">
        <v>1</v>
      </c>
      <c r="D17" s="788"/>
      <c r="E17" s="667"/>
      <c r="F17" s="788"/>
      <c r="G17" s="678"/>
      <c r="H17" s="788"/>
      <c r="I17" s="667"/>
      <c r="J17" s="788"/>
      <c r="K17" s="667"/>
      <c r="L17" s="788"/>
      <c r="M17" s="701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54" bestFit="1" customWidth="1"/>
    <col min="2" max="3" width="9.5546875" style="254" customWidth="1"/>
    <col min="4" max="4" width="2.21875" style="254" customWidth="1"/>
    <col min="5" max="8" width="9.5546875" style="254" customWidth="1"/>
    <col min="9" max="16384" width="8.88671875" style="254"/>
  </cols>
  <sheetData>
    <row r="1" spans="1:8" ht="18.600000000000001" customHeight="1" thickBot="1" x14ac:dyDescent="0.4">
      <c r="A1" s="478" t="s">
        <v>176</v>
      </c>
      <c r="B1" s="478"/>
      <c r="C1" s="478"/>
      <c r="D1" s="478"/>
      <c r="E1" s="478"/>
      <c r="F1" s="478"/>
      <c r="G1" s="479"/>
      <c r="H1" s="479"/>
    </row>
    <row r="2" spans="1:8" ht="14.4" customHeight="1" thickBot="1" x14ac:dyDescent="0.35">
      <c r="A2" s="383" t="s">
        <v>334</v>
      </c>
      <c r="B2" s="224"/>
      <c r="C2" s="224"/>
      <c r="D2" s="224"/>
      <c r="E2" s="224"/>
      <c r="F2" s="224"/>
    </row>
    <row r="3" spans="1:8" ht="14.4" customHeight="1" x14ac:dyDescent="0.3">
      <c r="A3" s="480"/>
      <c r="B3" s="220">
        <v>2013</v>
      </c>
      <c r="C3" s="44">
        <v>2014</v>
      </c>
      <c r="D3" s="11"/>
      <c r="E3" s="484">
        <v>2015</v>
      </c>
      <c r="F3" s="485"/>
      <c r="G3" s="485"/>
      <c r="H3" s="486"/>
    </row>
    <row r="4" spans="1:8" ht="14.4" customHeight="1" thickBot="1" x14ac:dyDescent="0.35">
      <c r="A4" s="481"/>
      <c r="B4" s="482" t="s">
        <v>94</v>
      </c>
      <c r="C4" s="483"/>
      <c r="D4" s="11"/>
      <c r="E4" s="241" t="s">
        <v>94</v>
      </c>
      <c r="F4" s="222" t="s">
        <v>95</v>
      </c>
      <c r="G4" s="222" t="s">
        <v>69</v>
      </c>
      <c r="H4" s="223" t="s">
        <v>96</v>
      </c>
    </row>
    <row r="5" spans="1:8" ht="14.4" customHeight="1" x14ac:dyDescent="0.3">
      <c r="A5" s="225" t="str">
        <f>HYPERLINK("#'Léky Žádanky'!A1","Léky (Kč)")</f>
        <v>Léky (Kč)</v>
      </c>
      <c r="B5" s="31">
        <v>1348.4175</v>
      </c>
      <c r="C5" s="33">
        <v>1253.7472200000029</v>
      </c>
      <c r="D5" s="12"/>
      <c r="E5" s="230">
        <v>1327.5224400000011</v>
      </c>
      <c r="F5" s="32">
        <v>1264.0903462707779</v>
      </c>
      <c r="G5" s="229">
        <f>E5-F5</f>
        <v>63.432093729223197</v>
      </c>
      <c r="H5" s="235">
        <f>IF(F5&lt;0.00000001,"",E5/F5)</f>
        <v>1.0501800317646248</v>
      </c>
    </row>
    <row r="6" spans="1:8" ht="14.4" customHeight="1" x14ac:dyDescent="0.3">
      <c r="A6" s="225" t="str">
        <f>HYPERLINK("#'Materiál Žádanky'!A1","Materiál - SZM (Kč)")</f>
        <v>Materiál - SZM (Kč)</v>
      </c>
      <c r="B6" s="14">
        <v>6013.5671300000004</v>
      </c>
      <c r="C6" s="35">
        <v>5484.3644000000131</v>
      </c>
      <c r="D6" s="12"/>
      <c r="E6" s="231">
        <v>6354.7412000000113</v>
      </c>
      <c r="F6" s="34">
        <v>5997.6662209461792</v>
      </c>
      <c r="G6" s="232">
        <f>E6-F6</f>
        <v>357.07497905383207</v>
      </c>
      <c r="H6" s="236">
        <f>IF(F6&lt;0.00000001,"",E6/F6)</f>
        <v>1.0595356536858933</v>
      </c>
    </row>
    <row r="7" spans="1:8" ht="14.4" customHeight="1" x14ac:dyDescent="0.3">
      <c r="A7" s="225" t="str">
        <f>HYPERLINK("#'Osobní náklady'!A1","Osobní náklady (Kč) *")</f>
        <v>Osobní náklady (Kč) *</v>
      </c>
      <c r="B7" s="14">
        <v>10137.116239999999</v>
      </c>
      <c r="C7" s="35">
        <v>10542.070720000032</v>
      </c>
      <c r="D7" s="12"/>
      <c r="E7" s="231">
        <v>11117.727690000009</v>
      </c>
      <c r="F7" s="34">
        <v>11839.832960407286</v>
      </c>
      <c r="G7" s="232">
        <f>E7-F7</f>
        <v>-722.1052704072772</v>
      </c>
      <c r="H7" s="236">
        <f>IF(F7&lt;0.00000001,"",E7/F7)</f>
        <v>0.9390105187444775</v>
      </c>
    </row>
    <row r="8" spans="1:8" ht="14.4" customHeight="1" thickBot="1" x14ac:dyDescent="0.35">
      <c r="A8" s="1" t="s">
        <v>97</v>
      </c>
      <c r="B8" s="15">
        <v>4754.5807000000013</v>
      </c>
      <c r="C8" s="37">
        <v>5096.9067900000136</v>
      </c>
      <c r="D8" s="12"/>
      <c r="E8" s="233">
        <v>4069.1801800000121</v>
      </c>
      <c r="F8" s="36">
        <v>4653.9416041003369</v>
      </c>
      <c r="G8" s="234">
        <f>E8-F8</f>
        <v>-584.7614241003248</v>
      </c>
      <c r="H8" s="237">
        <f>IF(F8&lt;0.00000001,"",E8/F8)</f>
        <v>0.87435136195410723</v>
      </c>
    </row>
    <row r="9" spans="1:8" ht="14.4" customHeight="1" thickBot="1" x14ac:dyDescent="0.35">
      <c r="A9" s="2" t="s">
        <v>98</v>
      </c>
      <c r="B9" s="3">
        <v>22253.681570000004</v>
      </c>
      <c r="C9" s="39">
        <v>22377.089130000066</v>
      </c>
      <c r="D9" s="12"/>
      <c r="E9" s="3">
        <v>22869.171510000029</v>
      </c>
      <c r="F9" s="38">
        <v>23755.53113172458</v>
      </c>
      <c r="G9" s="38">
        <f>E9-F9</f>
        <v>-886.35962172455038</v>
      </c>
      <c r="H9" s="238">
        <f>IF(F9&lt;0.00000001,"",E9/F9)</f>
        <v>0.96268828439113063</v>
      </c>
    </row>
    <row r="10" spans="1:8" ht="14.4" customHeight="1" thickBot="1" x14ac:dyDescent="0.35">
      <c r="A10" s="16"/>
      <c r="B10" s="16"/>
      <c r="C10" s="221"/>
      <c r="D10" s="12"/>
      <c r="E10" s="16"/>
      <c r="F10" s="17"/>
    </row>
    <row r="11" spans="1:8" ht="14.4" customHeight="1" x14ac:dyDescent="0.3">
      <c r="A11" s="257" t="str">
        <f>HYPERLINK("#'ZV Vykáz.-A'!A1","Ambulance *")</f>
        <v>Ambulance *</v>
      </c>
      <c r="B11" s="13">
        <f>IF(ISERROR(VLOOKUP("Celkem:",'ZV Vykáz.-A'!A:F,2,0)),0,VLOOKUP("Celkem:",'ZV Vykáz.-A'!A:F,2,0)/1000)</f>
        <v>172.774</v>
      </c>
      <c r="C11" s="33">
        <f>IF(ISERROR(VLOOKUP("Celkem:",'ZV Vykáz.-A'!A:F,4,0)),0,VLOOKUP("Celkem:",'ZV Vykáz.-A'!A:F,4,0)/1000)</f>
        <v>191.43299999999999</v>
      </c>
      <c r="D11" s="12"/>
      <c r="E11" s="230">
        <f>IF(ISERROR(VLOOKUP("Celkem:",'ZV Vykáz.-A'!A:F,6,0)),0,VLOOKUP("Celkem:",'ZV Vykáz.-A'!A:F,6,0)/1000)</f>
        <v>234.32499999999999</v>
      </c>
      <c r="F11" s="32">
        <f>B11</f>
        <v>172.774</v>
      </c>
      <c r="G11" s="229">
        <f>E11-F11</f>
        <v>61.550999999999988</v>
      </c>
      <c r="H11" s="235">
        <f>IF(F11&lt;0.00000001,"",E11/F11)</f>
        <v>1.3562515193258244</v>
      </c>
    </row>
    <row r="12" spans="1:8" ht="14.4" customHeight="1" thickBot="1" x14ac:dyDescent="0.35">
      <c r="A12" s="258" t="str">
        <f>HYPERLINK("#CaseMix!A1","Hospitalizace *")</f>
        <v>Hospitalizace *</v>
      </c>
      <c r="B12" s="15">
        <f>IF(ISERROR(VLOOKUP("Celkem",CaseMix!A:D,2,0)),0,VLOOKUP("Celkem",CaseMix!A:D,2,0)*30)</f>
        <v>25542.66</v>
      </c>
      <c r="C12" s="37">
        <f>IF(ISERROR(VLOOKUP("Celkem",CaseMix!A:D,3,0)),0,VLOOKUP("Celkem",CaseMix!A:D,3,0)*30)</f>
        <v>28644.989999999998</v>
      </c>
      <c r="D12" s="12"/>
      <c r="E12" s="233">
        <f>IF(ISERROR(VLOOKUP("Celkem",CaseMix!A:D,4,0)),0,VLOOKUP("Celkem",CaseMix!A:D,4,0)*30)</f>
        <v>25627.5</v>
      </c>
      <c r="F12" s="36">
        <f>B12</f>
        <v>25542.66</v>
      </c>
      <c r="G12" s="234">
        <f>E12-F12</f>
        <v>84.840000000000146</v>
      </c>
      <c r="H12" s="237">
        <f>IF(F12&lt;0.00000001,"",E12/F12)</f>
        <v>1.0033215021458219</v>
      </c>
    </row>
    <row r="13" spans="1:8" ht="14.4" customHeight="1" thickBot="1" x14ac:dyDescent="0.35">
      <c r="A13" s="4" t="s">
        <v>101</v>
      </c>
      <c r="B13" s="9">
        <f>SUM(B11:B12)</f>
        <v>25715.434000000001</v>
      </c>
      <c r="C13" s="41">
        <f>SUM(C11:C12)</f>
        <v>28836.422999999999</v>
      </c>
      <c r="D13" s="12"/>
      <c r="E13" s="9">
        <f>SUM(E11:E12)</f>
        <v>25861.825000000001</v>
      </c>
      <c r="F13" s="40">
        <f>SUM(F11:F12)</f>
        <v>25715.434000000001</v>
      </c>
      <c r="G13" s="40">
        <f>E13-F13</f>
        <v>146.39099999999962</v>
      </c>
      <c r="H13" s="239">
        <f>IF(F13&lt;0.00000001,"",E13/F13)</f>
        <v>1.0056927291213518</v>
      </c>
    </row>
    <row r="14" spans="1:8" ht="14.4" customHeight="1" thickBot="1" x14ac:dyDescent="0.35">
      <c r="A14" s="16"/>
      <c r="B14" s="16"/>
      <c r="C14" s="221"/>
      <c r="D14" s="12"/>
      <c r="E14" s="16"/>
      <c r="F14" s="17"/>
    </row>
    <row r="15" spans="1:8" ht="14.4" customHeight="1" thickBot="1" x14ac:dyDescent="0.35">
      <c r="A15" s="259" t="str">
        <f>HYPERLINK("#'HI Graf'!A1","Hospodářský index (Výnosy / Náklady) *")</f>
        <v>Hospodářský index (Výnosy / Náklady) *</v>
      </c>
      <c r="B15" s="10">
        <f>IF(B9=0,"",B13/B9)</f>
        <v>1.1555586395496356</v>
      </c>
      <c r="C15" s="43">
        <f>IF(C9=0,"",C13/C9)</f>
        <v>1.2886583609009343</v>
      </c>
      <c r="D15" s="12"/>
      <c r="E15" s="10">
        <f>IF(E9=0,"",E13/E9)</f>
        <v>1.1308597247911394</v>
      </c>
      <c r="F15" s="42">
        <f>IF(F9=0,"",F13/F9)</f>
        <v>1.0825030119262646</v>
      </c>
      <c r="G15" s="42">
        <f>IF(ISERROR(F15-E15),"",E15-F15)</f>
        <v>4.8356712864874751E-2</v>
      </c>
      <c r="H15" s="240">
        <f>IF(ISERROR(F15-E15),"",IF(F15&lt;0.00000001,"",E15/F15))</f>
        <v>1.0446712039893784</v>
      </c>
    </row>
    <row r="17" spans="1:8" ht="14.4" customHeight="1" x14ac:dyDescent="0.3">
      <c r="A17" s="226" t="s">
        <v>203</v>
      </c>
    </row>
    <row r="18" spans="1:8" ht="14.4" customHeight="1" x14ac:dyDescent="0.3">
      <c r="A18" s="436" t="s">
        <v>249</v>
      </c>
      <c r="B18" s="437"/>
      <c r="C18" s="437"/>
      <c r="D18" s="437"/>
      <c r="E18" s="437"/>
      <c r="F18" s="437"/>
      <c r="G18" s="437"/>
      <c r="H18" s="437"/>
    </row>
    <row r="19" spans="1:8" x14ac:dyDescent="0.3">
      <c r="A19" s="435" t="s">
        <v>248</v>
      </c>
      <c r="B19" s="437"/>
      <c r="C19" s="437"/>
      <c r="D19" s="437"/>
      <c r="E19" s="437"/>
      <c r="F19" s="437"/>
      <c r="G19" s="437"/>
      <c r="H19" s="437"/>
    </row>
    <row r="20" spans="1:8" ht="14.4" customHeight="1" x14ac:dyDescent="0.3">
      <c r="A20" s="227" t="s">
        <v>310</v>
      </c>
    </row>
    <row r="21" spans="1:8" ht="14.4" customHeight="1" x14ac:dyDescent="0.3">
      <c r="A21" s="227" t="s">
        <v>204</v>
      </c>
    </row>
    <row r="22" spans="1:8" ht="14.4" customHeight="1" x14ac:dyDescent="0.3">
      <c r="A22" s="228" t="s">
        <v>205</v>
      </c>
    </row>
    <row r="23" spans="1:8" ht="14.4" customHeight="1" x14ac:dyDescent="0.3">
      <c r="A23" s="228" t="s">
        <v>206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76" priority="4" operator="greaterThan">
      <formula>0</formula>
    </cfRule>
  </conditionalFormatting>
  <conditionalFormatting sqref="G11:G13 G15">
    <cfRule type="cellIs" dxfId="75" priority="3" operator="lessThan">
      <formula>0</formula>
    </cfRule>
  </conditionalFormatting>
  <conditionalFormatting sqref="H5:H9">
    <cfRule type="cellIs" dxfId="74" priority="2" operator="greaterThan">
      <formula>1</formula>
    </cfRule>
  </conditionalFormatting>
  <conditionalFormatting sqref="H11:H13 H15">
    <cfRule type="cellIs" dxfId="73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24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54" bestFit="1" customWidth="1"/>
    <col min="2" max="2" width="8.6640625" style="254" bestFit="1" customWidth="1"/>
    <col min="3" max="3" width="2.109375" style="254" bestFit="1" customWidth="1"/>
    <col min="4" max="4" width="8" style="254" bestFit="1" customWidth="1"/>
    <col min="5" max="5" width="52.88671875" style="254" bestFit="1" customWidth="1"/>
    <col min="6" max="7" width="11.109375" style="337" customWidth="1"/>
    <col min="8" max="9" width="9.33203125" style="337" hidden="1" customWidth="1"/>
    <col min="10" max="11" width="11.109375" style="337" customWidth="1"/>
    <col min="12" max="13" width="9.33203125" style="337" hidden="1" customWidth="1"/>
    <col min="14" max="15" width="11.109375" style="337" customWidth="1"/>
    <col min="16" max="16" width="11.109375" style="340" customWidth="1"/>
    <col min="17" max="17" width="11.109375" style="337" customWidth="1"/>
    <col min="18" max="16384" width="8.88671875" style="254"/>
  </cols>
  <sheetData>
    <row r="1" spans="1:17" ht="18.600000000000001" customHeight="1" thickBot="1" x14ac:dyDescent="0.4">
      <c r="A1" s="487" t="s">
        <v>4510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ht="14.4" customHeight="1" thickBot="1" x14ac:dyDescent="0.35">
      <c r="A2" s="383" t="s">
        <v>334</v>
      </c>
      <c r="B2" s="224"/>
      <c r="C2" s="224"/>
      <c r="D2" s="224"/>
      <c r="E2" s="224"/>
      <c r="F2" s="360"/>
      <c r="G2" s="360"/>
      <c r="H2" s="360"/>
      <c r="I2" s="360"/>
      <c r="J2" s="360"/>
      <c r="K2" s="360"/>
      <c r="L2" s="360"/>
      <c r="M2" s="360"/>
      <c r="N2" s="360"/>
      <c r="O2" s="360"/>
      <c r="P2" s="357"/>
      <c r="Q2" s="360"/>
    </row>
    <row r="3" spans="1:17" ht="14.4" customHeight="1" thickBot="1" x14ac:dyDescent="0.35">
      <c r="E3" s="112" t="s">
        <v>160</v>
      </c>
      <c r="F3" s="211">
        <f t="shared" ref="F3:O3" si="0">SUBTOTAL(9,F6:F1048576)</f>
        <v>7833.19</v>
      </c>
      <c r="G3" s="215">
        <f t="shared" si="0"/>
        <v>905995.69</v>
      </c>
      <c r="H3" s="216"/>
      <c r="I3" s="216"/>
      <c r="J3" s="211">
        <f t="shared" si="0"/>
        <v>9248.6899999999987</v>
      </c>
      <c r="K3" s="215">
        <f t="shared" si="0"/>
        <v>725088.95</v>
      </c>
      <c r="L3" s="216"/>
      <c r="M3" s="216"/>
      <c r="N3" s="211">
        <f t="shared" si="0"/>
        <v>8908.0400000000009</v>
      </c>
      <c r="O3" s="215">
        <f t="shared" si="0"/>
        <v>2079328.3000000003</v>
      </c>
      <c r="P3" s="181">
        <f>IF(G3=0,"",O3/G3)</f>
        <v>2.2950752668591616</v>
      </c>
      <c r="Q3" s="213">
        <f>IF(N3=0,"",O3/N3)</f>
        <v>233.42152706992786</v>
      </c>
    </row>
    <row r="4" spans="1:17" ht="14.4" customHeight="1" x14ac:dyDescent="0.3">
      <c r="A4" s="561" t="s">
        <v>74</v>
      </c>
      <c r="B4" s="560" t="s">
        <v>119</v>
      </c>
      <c r="C4" s="561" t="s">
        <v>120</v>
      </c>
      <c r="D4" s="569" t="s">
        <v>90</v>
      </c>
      <c r="E4" s="562" t="s">
        <v>11</v>
      </c>
      <c r="F4" s="567">
        <v>2013</v>
      </c>
      <c r="G4" s="568"/>
      <c r="H4" s="214"/>
      <c r="I4" s="214"/>
      <c r="J4" s="567">
        <v>2014</v>
      </c>
      <c r="K4" s="568"/>
      <c r="L4" s="214"/>
      <c r="M4" s="214"/>
      <c r="N4" s="567">
        <v>2015</v>
      </c>
      <c r="O4" s="568"/>
      <c r="P4" s="570" t="s">
        <v>2</v>
      </c>
      <c r="Q4" s="559" t="s">
        <v>122</v>
      </c>
    </row>
    <row r="5" spans="1:17" ht="14.4" customHeight="1" thickBot="1" x14ac:dyDescent="0.35">
      <c r="A5" s="798"/>
      <c r="B5" s="797"/>
      <c r="C5" s="798"/>
      <c r="D5" s="806"/>
      <c r="E5" s="800"/>
      <c r="F5" s="807" t="s">
        <v>91</v>
      </c>
      <c r="G5" s="808" t="s">
        <v>14</v>
      </c>
      <c r="H5" s="809"/>
      <c r="I5" s="809"/>
      <c r="J5" s="807" t="s">
        <v>91</v>
      </c>
      <c r="K5" s="808" t="s">
        <v>14</v>
      </c>
      <c r="L5" s="809"/>
      <c r="M5" s="809"/>
      <c r="N5" s="807" t="s">
        <v>91</v>
      </c>
      <c r="O5" s="808" t="s">
        <v>14</v>
      </c>
      <c r="P5" s="810"/>
      <c r="Q5" s="805"/>
    </row>
    <row r="6" spans="1:17" ht="14.4" customHeight="1" x14ac:dyDescent="0.3">
      <c r="A6" s="733" t="s">
        <v>4098</v>
      </c>
      <c r="B6" s="734" t="s">
        <v>4099</v>
      </c>
      <c r="C6" s="734" t="s">
        <v>3411</v>
      </c>
      <c r="D6" s="734" t="s">
        <v>4100</v>
      </c>
      <c r="E6" s="734" t="s">
        <v>4101</v>
      </c>
      <c r="F6" s="229">
        <v>2</v>
      </c>
      <c r="G6" s="229">
        <v>126</v>
      </c>
      <c r="H6" s="229">
        <v>1</v>
      </c>
      <c r="I6" s="229">
        <v>63</v>
      </c>
      <c r="J6" s="229"/>
      <c r="K6" s="229"/>
      <c r="L6" s="229"/>
      <c r="M6" s="229"/>
      <c r="N6" s="229"/>
      <c r="O6" s="229"/>
      <c r="P6" s="739"/>
      <c r="Q6" s="747"/>
    </row>
    <row r="7" spans="1:17" ht="14.4" customHeight="1" x14ac:dyDescent="0.3">
      <c r="A7" s="660" t="s">
        <v>3495</v>
      </c>
      <c r="B7" s="661" t="s">
        <v>4102</v>
      </c>
      <c r="C7" s="661" t="s">
        <v>3411</v>
      </c>
      <c r="D7" s="661" t="s">
        <v>4103</v>
      </c>
      <c r="E7" s="661" t="s">
        <v>4104</v>
      </c>
      <c r="F7" s="664">
        <v>1</v>
      </c>
      <c r="G7" s="664">
        <v>664</v>
      </c>
      <c r="H7" s="664">
        <v>1</v>
      </c>
      <c r="I7" s="664">
        <v>664</v>
      </c>
      <c r="J7" s="664"/>
      <c r="K7" s="664"/>
      <c r="L7" s="664"/>
      <c r="M7" s="664"/>
      <c r="N7" s="664"/>
      <c r="O7" s="664"/>
      <c r="P7" s="677"/>
      <c r="Q7" s="665"/>
    </row>
    <row r="8" spans="1:17" ht="14.4" customHeight="1" x14ac:dyDescent="0.3">
      <c r="A8" s="660" t="s">
        <v>3495</v>
      </c>
      <c r="B8" s="661" t="s">
        <v>4102</v>
      </c>
      <c r="C8" s="661" t="s">
        <v>3411</v>
      </c>
      <c r="D8" s="661" t="s">
        <v>4105</v>
      </c>
      <c r="E8" s="661" t="s">
        <v>4106</v>
      </c>
      <c r="F8" s="664">
        <v>2</v>
      </c>
      <c r="G8" s="664">
        <v>914</v>
      </c>
      <c r="H8" s="664">
        <v>1</v>
      </c>
      <c r="I8" s="664">
        <v>457</v>
      </c>
      <c r="J8" s="664"/>
      <c r="K8" s="664"/>
      <c r="L8" s="664"/>
      <c r="M8" s="664"/>
      <c r="N8" s="664"/>
      <c r="O8" s="664"/>
      <c r="P8" s="677"/>
      <c r="Q8" s="665"/>
    </row>
    <row r="9" spans="1:17" ht="14.4" customHeight="1" x14ac:dyDescent="0.3">
      <c r="A9" s="660" t="s">
        <v>3495</v>
      </c>
      <c r="B9" s="661" t="s">
        <v>4102</v>
      </c>
      <c r="C9" s="661" t="s">
        <v>3411</v>
      </c>
      <c r="D9" s="661" t="s">
        <v>4107</v>
      </c>
      <c r="E9" s="661" t="s">
        <v>4108</v>
      </c>
      <c r="F9" s="664">
        <v>1</v>
      </c>
      <c r="G9" s="664">
        <v>237</v>
      </c>
      <c r="H9" s="664">
        <v>1</v>
      </c>
      <c r="I9" s="664">
        <v>237</v>
      </c>
      <c r="J9" s="664"/>
      <c r="K9" s="664"/>
      <c r="L9" s="664"/>
      <c r="M9" s="664"/>
      <c r="N9" s="664"/>
      <c r="O9" s="664"/>
      <c r="P9" s="677"/>
      <c r="Q9" s="665"/>
    </row>
    <row r="10" spans="1:17" ht="14.4" customHeight="1" x14ac:dyDescent="0.3">
      <c r="A10" s="660" t="s">
        <v>3495</v>
      </c>
      <c r="B10" s="661" t="s">
        <v>4102</v>
      </c>
      <c r="C10" s="661" t="s">
        <v>3411</v>
      </c>
      <c r="D10" s="661" t="s">
        <v>4109</v>
      </c>
      <c r="E10" s="661" t="s">
        <v>4110</v>
      </c>
      <c r="F10" s="664">
        <v>2</v>
      </c>
      <c r="G10" s="664">
        <v>158</v>
      </c>
      <c r="H10" s="664">
        <v>1</v>
      </c>
      <c r="I10" s="664">
        <v>79</v>
      </c>
      <c r="J10" s="664"/>
      <c r="K10" s="664"/>
      <c r="L10" s="664"/>
      <c r="M10" s="664"/>
      <c r="N10" s="664"/>
      <c r="O10" s="664"/>
      <c r="P10" s="677"/>
      <c r="Q10" s="665"/>
    </row>
    <row r="11" spans="1:17" ht="14.4" customHeight="1" x14ac:dyDescent="0.3">
      <c r="A11" s="660" t="s">
        <v>4111</v>
      </c>
      <c r="B11" s="661" t="s">
        <v>4112</v>
      </c>
      <c r="C11" s="661" t="s">
        <v>3561</v>
      </c>
      <c r="D11" s="661" t="s">
        <v>4113</v>
      </c>
      <c r="E11" s="661" t="s">
        <v>4114</v>
      </c>
      <c r="F11" s="664"/>
      <c r="G11" s="664"/>
      <c r="H11" s="664"/>
      <c r="I11" s="664"/>
      <c r="J11" s="664">
        <v>1000</v>
      </c>
      <c r="K11" s="664">
        <v>5550</v>
      </c>
      <c r="L11" s="664"/>
      <c r="M11" s="664">
        <v>5.55</v>
      </c>
      <c r="N11" s="664"/>
      <c r="O11" s="664"/>
      <c r="P11" s="677"/>
      <c r="Q11" s="665"/>
    </row>
    <row r="12" spans="1:17" ht="14.4" customHeight="1" x14ac:dyDescent="0.3">
      <c r="A12" s="660" t="s">
        <v>4111</v>
      </c>
      <c r="B12" s="661" t="s">
        <v>4112</v>
      </c>
      <c r="C12" s="661" t="s">
        <v>3411</v>
      </c>
      <c r="D12" s="661" t="s">
        <v>4115</v>
      </c>
      <c r="E12" s="661" t="s">
        <v>4116</v>
      </c>
      <c r="F12" s="664">
        <v>1</v>
      </c>
      <c r="G12" s="664">
        <v>163</v>
      </c>
      <c r="H12" s="664">
        <v>1</v>
      </c>
      <c r="I12" s="664">
        <v>163</v>
      </c>
      <c r="J12" s="664"/>
      <c r="K12" s="664"/>
      <c r="L12" s="664"/>
      <c r="M12" s="664"/>
      <c r="N12" s="664"/>
      <c r="O12" s="664"/>
      <c r="P12" s="677"/>
      <c r="Q12" s="665"/>
    </row>
    <row r="13" spans="1:17" ht="14.4" customHeight="1" x14ac:dyDescent="0.3">
      <c r="A13" s="660" t="s">
        <v>4111</v>
      </c>
      <c r="B13" s="661" t="s">
        <v>4112</v>
      </c>
      <c r="C13" s="661" t="s">
        <v>3411</v>
      </c>
      <c r="D13" s="661" t="s">
        <v>4117</v>
      </c>
      <c r="E13" s="661" t="s">
        <v>4118</v>
      </c>
      <c r="F13" s="664"/>
      <c r="G13" s="664"/>
      <c r="H13" s="664"/>
      <c r="I13" s="664"/>
      <c r="J13" s="664">
        <v>2</v>
      </c>
      <c r="K13" s="664">
        <v>3508</v>
      </c>
      <c r="L13" s="664"/>
      <c r="M13" s="664">
        <v>1754</v>
      </c>
      <c r="N13" s="664"/>
      <c r="O13" s="664"/>
      <c r="P13" s="677"/>
      <c r="Q13" s="665"/>
    </row>
    <row r="14" spans="1:17" ht="14.4" customHeight="1" x14ac:dyDescent="0.3">
      <c r="A14" s="660" t="s">
        <v>4111</v>
      </c>
      <c r="B14" s="661" t="s">
        <v>4112</v>
      </c>
      <c r="C14" s="661" t="s">
        <v>3411</v>
      </c>
      <c r="D14" s="661" t="s">
        <v>4119</v>
      </c>
      <c r="E14" s="661" t="s">
        <v>4120</v>
      </c>
      <c r="F14" s="664"/>
      <c r="G14" s="664"/>
      <c r="H14" s="664"/>
      <c r="I14" s="664"/>
      <c r="J14" s="664">
        <v>2</v>
      </c>
      <c r="K14" s="664">
        <v>820</v>
      </c>
      <c r="L14" s="664"/>
      <c r="M14" s="664">
        <v>410</v>
      </c>
      <c r="N14" s="664"/>
      <c r="O14" s="664"/>
      <c r="P14" s="677"/>
      <c r="Q14" s="665"/>
    </row>
    <row r="15" spans="1:17" ht="14.4" customHeight="1" x14ac:dyDescent="0.3">
      <c r="A15" s="660" t="s">
        <v>4121</v>
      </c>
      <c r="B15" s="661" t="s">
        <v>4122</v>
      </c>
      <c r="C15" s="661" t="s">
        <v>3411</v>
      </c>
      <c r="D15" s="661" t="s">
        <v>4123</v>
      </c>
      <c r="E15" s="661" t="s">
        <v>4124</v>
      </c>
      <c r="F15" s="664">
        <v>6</v>
      </c>
      <c r="G15" s="664">
        <v>2100</v>
      </c>
      <c r="H15" s="664">
        <v>1</v>
      </c>
      <c r="I15" s="664">
        <v>350</v>
      </c>
      <c r="J15" s="664">
        <v>11</v>
      </c>
      <c r="K15" s="664">
        <v>3850</v>
      </c>
      <c r="L15" s="664">
        <v>1.8333333333333333</v>
      </c>
      <c r="M15" s="664">
        <v>350</v>
      </c>
      <c r="N15" s="664"/>
      <c r="O15" s="664"/>
      <c r="P15" s="677"/>
      <c r="Q15" s="665"/>
    </row>
    <row r="16" spans="1:17" ht="14.4" customHeight="1" x14ac:dyDescent="0.3">
      <c r="A16" s="660" t="s">
        <v>4121</v>
      </c>
      <c r="B16" s="661" t="s">
        <v>4122</v>
      </c>
      <c r="C16" s="661" t="s">
        <v>3411</v>
      </c>
      <c r="D16" s="661" t="s">
        <v>4125</v>
      </c>
      <c r="E16" s="661" t="s">
        <v>4126</v>
      </c>
      <c r="F16" s="664">
        <v>7</v>
      </c>
      <c r="G16" s="664">
        <v>455</v>
      </c>
      <c r="H16" s="664">
        <v>1</v>
      </c>
      <c r="I16" s="664">
        <v>65</v>
      </c>
      <c r="J16" s="664">
        <v>8</v>
      </c>
      <c r="K16" s="664">
        <v>520</v>
      </c>
      <c r="L16" s="664">
        <v>1.1428571428571428</v>
      </c>
      <c r="M16" s="664">
        <v>65</v>
      </c>
      <c r="N16" s="664">
        <v>10</v>
      </c>
      <c r="O16" s="664">
        <v>650</v>
      </c>
      <c r="P16" s="677">
        <v>1.4285714285714286</v>
      </c>
      <c r="Q16" s="665">
        <v>65</v>
      </c>
    </row>
    <row r="17" spans="1:17" ht="14.4" customHeight="1" x14ac:dyDescent="0.3">
      <c r="A17" s="660" t="s">
        <v>4121</v>
      </c>
      <c r="B17" s="661" t="s">
        <v>4122</v>
      </c>
      <c r="C17" s="661" t="s">
        <v>3411</v>
      </c>
      <c r="D17" s="661" t="s">
        <v>4127</v>
      </c>
      <c r="E17" s="661" t="s">
        <v>4128</v>
      </c>
      <c r="F17" s="664">
        <v>9</v>
      </c>
      <c r="G17" s="664">
        <v>207</v>
      </c>
      <c r="H17" s="664">
        <v>1</v>
      </c>
      <c r="I17" s="664">
        <v>23</v>
      </c>
      <c r="J17" s="664">
        <v>7</v>
      </c>
      <c r="K17" s="664">
        <v>161</v>
      </c>
      <c r="L17" s="664">
        <v>0.77777777777777779</v>
      </c>
      <c r="M17" s="664">
        <v>23</v>
      </c>
      <c r="N17" s="664">
        <v>7</v>
      </c>
      <c r="O17" s="664">
        <v>168</v>
      </c>
      <c r="P17" s="677">
        <v>0.81159420289855078</v>
      </c>
      <c r="Q17" s="665">
        <v>24</v>
      </c>
    </row>
    <row r="18" spans="1:17" ht="14.4" customHeight="1" x14ac:dyDescent="0.3">
      <c r="A18" s="660" t="s">
        <v>4121</v>
      </c>
      <c r="B18" s="661" t="s">
        <v>4122</v>
      </c>
      <c r="C18" s="661" t="s">
        <v>3411</v>
      </c>
      <c r="D18" s="661" t="s">
        <v>4129</v>
      </c>
      <c r="E18" s="661" t="s">
        <v>4130</v>
      </c>
      <c r="F18" s="664">
        <v>7</v>
      </c>
      <c r="G18" s="664">
        <v>378</v>
      </c>
      <c r="H18" s="664">
        <v>1</v>
      </c>
      <c r="I18" s="664">
        <v>54</v>
      </c>
      <c r="J18" s="664">
        <v>5</v>
      </c>
      <c r="K18" s="664">
        <v>270</v>
      </c>
      <c r="L18" s="664">
        <v>0.7142857142857143</v>
      </c>
      <c r="M18" s="664">
        <v>54</v>
      </c>
      <c r="N18" s="664">
        <v>4</v>
      </c>
      <c r="O18" s="664">
        <v>216</v>
      </c>
      <c r="P18" s="677">
        <v>0.5714285714285714</v>
      </c>
      <c r="Q18" s="665">
        <v>54</v>
      </c>
    </row>
    <row r="19" spans="1:17" ht="14.4" customHeight="1" x14ac:dyDescent="0.3">
      <c r="A19" s="660" t="s">
        <v>4121</v>
      </c>
      <c r="B19" s="661" t="s">
        <v>4122</v>
      </c>
      <c r="C19" s="661" t="s">
        <v>3411</v>
      </c>
      <c r="D19" s="661" t="s">
        <v>4131</v>
      </c>
      <c r="E19" s="661" t="s">
        <v>4132</v>
      </c>
      <c r="F19" s="664">
        <v>301</v>
      </c>
      <c r="G19" s="664">
        <v>23177</v>
      </c>
      <c r="H19" s="664">
        <v>1</v>
      </c>
      <c r="I19" s="664">
        <v>77</v>
      </c>
      <c r="J19" s="664">
        <v>392</v>
      </c>
      <c r="K19" s="664">
        <v>30184</v>
      </c>
      <c r="L19" s="664">
        <v>1.3023255813953489</v>
      </c>
      <c r="M19" s="664">
        <v>77</v>
      </c>
      <c r="N19" s="664">
        <v>359</v>
      </c>
      <c r="O19" s="664">
        <v>27643</v>
      </c>
      <c r="P19" s="677">
        <v>1.1926910299003322</v>
      </c>
      <c r="Q19" s="665">
        <v>77</v>
      </c>
    </row>
    <row r="20" spans="1:17" ht="14.4" customHeight="1" x14ac:dyDescent="0.3">
      <c r="A20" s="660" t="s">
        <v>4121</v>
      </c>
      <c r="B20" s="661" t="s">
        <v>4122</v>
      </c>
      <c r="C20" s="661" t="s">
        <v>3411</v>
      </c>
      <c r="D20" s="661" t="s">
        <v>4133</v>
      </c>
      <c r="E20" s="661" t="s">
        <v>4134</v>
      </c>
      <c r="F20" s="664">
        <v>12</v>
      </c>
      <c r="G20" s="664">
        <v>264</v>
      </c>
      <c r="H20" s="664">
        <v>1</v>
      </c>
      <c r="I20" s="664">
        <v>22</v>
      </c>
      <c r="J20" s="664">
        <v>7</v>
      </c>
      <c r="K20" s="664">
        <v>154</v>
      </c>
      <c r="L20" s="664">
        <v>0.58333333333333337</v>
      </c>
      <c r="M20" s="664">
        <v>22</v>
      </c>
      <c r="N20" s="664">
        <v>11</v>
      </c>
      <c r="O20" s="664">
        <v>253</v>
      </c>
      <c r="P20" s="677">
        <v>0.95833333333333337</v>
      </c>
      <c r="Q20" s="665">
        <v>23</v>
      </c>
    </row>
    <row r="21" spans="1:17" ht="14.4" customHeight="1" x14ac:dyDescent="0.3">
      <c r="A21" s="660" t="s">
        <v>4121</v>
      </c>
      <c r="B21" s="661" t="s">
        <v>4122</v>
      </c>
      <c r="C21" s="661" t="s">
        <v>3411</v>
      </c>
      <c r="D21" s="661" t="s">
        <v>4135</v>
      </c>
      <c r="E21" s="661" t="s">
        <v>4136</v>
      </c>
      <c r="F21" s="664">
        <v>4</v>
      </c>
      <c r="G21" s="664">
        <v>836</v>
      </c>
      <c r="H21" s="664">
        <v>1</v>
      </c>
      <c r="I21" s="664">
        <v>209</v>
      </c>
      <c r="J21" s="664"/>
      <c r="K21" s="664"/>
      <c r="L21" s="664"/>
      <c r="M21" s="664"/>
      <c r="N21" s="664"/>
      <c r="O21" s="664"/>
      <c r="P21" s="677"/>
      <c r="Q21" s="665"/>
    </row>
    <row r="22" spans="1:17" ht="14.4" customHeight="1" x14ac:dyDescent="0.3">
      <c r="A22" s="660" t="s">
        <v>4121</v>
      </c>
      <c r="B22" s="661" t="s">
        <v>4122</v>
      </c>
      <c r="C22" s="661" t="s">
        <v>3411</v>
      </c>
      <c r="D22" s="661" t="s">
        <v>4137</v>
      </c>
      <c r="E22" s="661" t="s">
        <v>4138</v>
      </c>
      <c r="F22" s="664">
        <v>7</v>
      </c>
      <c r="G22" s="664">
        <v>462</v>
      </c>
      <c r="H22" s="664">
        <v>1</v>
      </c>
      <c r="I22" s="664">
        <v>66</v>
      </c>
      <c r="J22" s="664">
        <v>1</v>
      </c>
      <c r="K22" s="664">
        <v>66</v>
      </c>
      <c r="L22" s="664">
        <v>0.14285714285714285</v>
      </c>
      <c r="M22" s="664">
        <v>66</v>
      </c>
      <c r="N22" s="664">
        <v>1</v>
      </c>
      <c r="O22" s="664">
        <v>66</v>
      </c>
      <c r="P22" s="677">
        <v>0.14285714285714285</v>
      </c>
      <c r="Q22" s="665">
        <v>66</v>
      </c>
    </row>
    <row r="23" spans="1:17" ht="14.4" customHeight="1" x14ac:dyDescent="0.3">
      <c r="A23" s="660" t="s">
        <v>4121</v>
      </c>
      <c r="B23" s="661" t="s">
        <v>4122</v>
      </c>
      <c r="C23" s="661" t="s">
        <v>3411</v>
      </c>
      <c r="D23" s="661" t="s">
        <v>4139</v>
      </c>
      <c r="E23" s="661" t="s">
        <v>4140</v>
      </c>
      <c r="F23" s="664">
        <v>3</v>
      </c>
      <c r="G23" s="664">
        <v>72</v>
      </c>
      <c r="H23" s="664">
        <v>1</v>
      </c>
      <c r="I23" s="664">
        <v>24</v>
      </c>
      <c r="J23" s="664"/>
      <c r="K23" s="664"/>
      <c r="L23" s="664"/>
      <c r="M23" s="664"/>
      <c r="N23" s="664">
        <v>2</v>
      </c>
      <c r="O23" s="664">
        <v>48</v>
      </c>
      <c r="P23" s="677">
        <v>0.66666666666666663</v>
      </c>
      <c r="Q23" s="665">
        <v>24</v>
      </c>
    </row>
    <row r="24" spans="1:17" ht="14.4" customHeight="1" x14ac:dyDescent="0.3">
      <c r="A24" s="660" t="s">
        <v>4121</v>
      </c>
      <c r="B24" s="661" t="s">
        <v>4122</v>
      </c>
      <c r="C24" s="661" t="s">
        <v>3411</v>
      </c>
      <c r="D24" s="661" t="s">
        <v>4141</v>
      </c>
      <c r="E24" s="661" t="s">
        <v>4142</v>
      </c>
      <c r="F24" s="664">
        <v>4</v>
      </c>
      <c r="G24" s="664">
        <v>720</v>
      </c>
      <c r="H24" s="664">
        <v>1</v>
      </c>
      <c r="I24" s="664">
        <v>180</v>
      </c>
      <c r="J24" s="664">
        <v>7</v>
      </c>
      <c r="K24" s="664">
        <v>1260</v>
      </c>
      <c r="L24" s="664">
        <v>1.75</v>
      </c>
      <c r="M24" s="664">
        <v>180</v>
      </c>
      <c r="N24" s="664">
        <v>6</v>
      </c>
      <c r="O24" s="664">
        <v>1080</v>
      </c>
      <c r="P24" s="677">
        <v>1.5</v>
      </c>
      <c r="Q24" s="665">
        <v>180</v>
      </c>
    </row>
    <row r="25" spans="1:17" ht="14.4" customHeight="1" x14ac:dyDescent="0.3">
      <c r="A25" s="660" t="s">
        <v>4121</v>
      </c>
      <c r="B25" s="661" t="s">
        <v>4122</v>
      </c>
      <c r="C25" s="661" t="s">
        <v>3411</v>
      </c>
      <c r="D25" s="661" t="s">
        <v>4143</v>
      </c>
      <c r="E25" s="661" t="s">
        <v>4144</v>
      </c>
      <c r="F25" s="664">
        <v>1</v>
      </c>
      <c r="G25" s="664">
        <v>253</v>
      </c>
      <c r="H25" s="664">
        <v>1</v>
      </c>
      <c r="I25" s="664">
        <v>253</v>
      </c>
      <c r="J25" s="664">
        <v>5</v>
      </c>
      <c r="K25" s="664">
        <v>1265</v>
      </c>
      <c r="L25" s="664">
        <v>5</v>
      </c>
      <c r="M25" s="664">
        <v>253</v>
      </c>
      <c r="N25" s="664">
        <v>4</v>
      </c>
      <c r="O25" s="664">
        <v>1012</v>
      </c>
      <c r="P25" s="677">
        <v>4</v>
      </c>
      <c r="Q25" s="665">
        <v>253</v>
      </c>
    </row>
    <row r="26" spans="1:17" ht="14.4" customHeight="1" x14ac:dyDescent="0.3">
      <c r="A26" s="660" t="s">
        <v>4121</v>
      </c>
      <c r="B26" s="661" t="s">
        <v>4122</v>
      </c>
      <c r="C26" s="661" t="s">
        <v>3411</v>
      </c>
      <c r="D26" s="661" t="s">
        <v>4145</v>
      </c>
      <c r="E26" s="661" t="s">
        <v>4146</v>
      </c>
      <c r="F26" s="664">
        <v>103</v>
      </c>
      <c r="G26" s="664">
        <v>22248</v>
      </c>
      <c r="H26" s="664">
        <v>1</v>
      </c>
      <c r="I26" s="664">
        <v>216</v>
      </c>
      <c r="J26" s="664">
        <v>111</v>
      </c>
      <c r="K26" s="664">
        <v>23976</v>
      </c>
      <c r="L26" s="664">
        <v>1.0776699029126213</v>
      </c>
      <c r="M26" s="664">
        <v>216</v>
      </c>
      <c r="N26" s="664">
        <v>114</v>
      </c>
      <c r="O26" s="664">
        <v>24624</v>
      </c>
      <c r="P26" s="677">
        <v>1.1067961165048543</v>
      </c>
      <c r="Q26" s="665">
        <v>216</v>
      </c>
    </row>
    <row r="27" spans="1:17" ht="14.4" customHeight="1" x14ac:dyDescent="0.3">
      <c r="A27" s="660" t="s">
        <v>4121</v>
      </c>
      <c r="B27" s="661" t="s">
        <v>4122</v>
      </c>
      <c r="C27" s="661" t="s">
        <v>3411</v>
      </c>
      <c r="D27" s="661" t="s">
        <v>4147</v>
      </c>
      <c r="E27" s="661" t="s">
        <v>4148</v>
      </c>
      <c r="F27" s="664">
        <v>10</v>
      </c>
      <c r="G27" s="664">
        <v>500</v>
      </c>
      <c r="H27" s="664">
        <v>1</v>
      </c>
      <c r="I27" s="664">
        <v>50</v>
      </c>
      <c r="J27" s="664">
        <v>2</v>
      </c>
      <c r="K27" s="664">
        <v>100</v>
      </c>
      <c r="L27" s="664">
        <v>0.2</v>
      </c>
      <c r="M27" s="664">
        <v>50</v>
      </c>
      <c r="N27" s="664">
        <v>5</v>
      </c>
      <c r="O27" s="664">
        <v>250</v>
      </c>
      <c r="P27" s="677">
        <v>0.5</v>
      </c>
      <c r="Q27" s="665">
        <v>50</v>
      </c>
    </row>
    <row r="28" spans="1:17" ht="14.4" customHeight="1" x14ac:dyDescent="0.3">
      <c r="A28" s="660" t="s">
        <v>4149</v>
      </c>
      <c r="B28" s="661" t="s">
        <v>4150</v>
      </c>
      <c r="C28" s="661" t="s">
        <v>3411</v>
      </c>
      <c r="D28" s="661" t="s">
        <v>4151</v>
      </c>
      <c r="E28" s="661" t="s">
        <v>4152</v>
      </c>
      <c r="F28" s="664">
        <v>206</v>
      </c>
      <c r="G28" s="664">
        <v>5562</v>
      </c>
      <c r="H28" s="664">
        <v>1</v>
      </c>
      <c r="I28" s="664">
        <v>27</v>
      </c>
      <c r="J28" s="664">
        <v>269</v>
      </c>
      <c r="K28" s="664">
        <v>7263</v>
      </c>
      <c r="L28" s="664">
        <v>1.3058252427184467</v>
      </c>
      <c r="M28" s="664">
        <v>27</v>
      </c>
      <c r="N28" s="664">
        <v>294</v>
      </c>
      <c r="O28" s="664">
        <v>7938</v>
      </c>
      <c r="P28" s="677">
        <v>1.4271844660194175</v>
      </c>
      <c r="Q28" s="665">
        <v>27</v>
      </c>
    </row>
    <row r="29" spans="1:17" ht="14.4" customHeight="1" x14ac:dyDescent="0.3">
      <c r="A29" s="660" t="s">
        <v>4149</v>
      </c>
      <c r="B29" s="661" t="s">
        <v>4150</v>
      </c>
      <c r="C29" s="661" t="s">
        <v>3411</v>
      </c>
      <c r="D29" s="661" t="s">
        <v>4153</v>
      </c>
      <c r="E29" s="661" t="s">
        <v>4154</v>
      </c>
      <c r="F29" s="664">
        <v>4</v>
      </c>
      <c r="G29" s="664">
        <v>216</v>
      </c>
      <c r="H29" s="664">
        <v>1</v>
      </c>
      <c r="I29" s="664">
        <v>54</v>
      </c>
      <c r="J29" s="664">
        <v>3</v>
      </c>
      <c r="K29" s="664">
        <v>162</v>
      </c>
      <c r="L29" s="664">
        <v>0.75</v>
      </c>
      <c r="M29" s="664">
        <v>54</v>
      </c>
      <c r="N29" s="664">
        <v>3</v>
      </c>
      <c r="O29" s="664">
        <v>162</v>
      </c>
      <c r="P29" s="677">
        <v>0.75</v>
      </c>
      <c r="Q29" s="665">
        <v>54</v>
      </c>
    </row>
    <row r="30" spans="1:17" ht="14.4" customHeight="1" x14ac:dyDescent="0.3">
      <c r="A30" s="660" t="s">
        <v>4149</v>
      </c>
      <c r="B30" s="661" t="s">
        <v>4150</v>
      </c>
      <c r="C30" s="661" t="s">
        <v>3411</v>
      </c>
      <c r="D30" s="661" t="s">
        <v>4155</v>
      </c>
      <c r="E30" s="661" t="s">
        <v>4156</v>
      </c>
      <c r="F30" s="664">
        <v>202</v>
      </c>
      <c r="G30" s="664">
        <v>4848</v>
      </c>
      <c r="H30" s="664">
        <v>1</v>
      </c>
      <c r="I30" s="664">
        <v>24</v>
      </c>
      <c r="J30" s="664">
        <v>260</v>
      </c>
      <c r="K30" s="664">
        <v>6240</v>
      </c>
      <c r="L30" s="664">
        <v>1.2871287128712872</v>
      </c>
      <c r="M30" s="664">
        <v>24</v>
      </c>
      <c r="N30" s="664">
        <v>288</v>
      </c>
      <c r="O30" s="664">
        <v>6912</v>
      </c>
      <c r="P30" s="677">
        <v>1.4257425742574257</v>
      </c>
      <c r="Q30" s="665">
        <v>24</v>
      </c>
    </row>
    <row r="31" spans="1:17" ht="14.4" customHeight="1" x14ac:dyDescent="0.3">
      <c r="A31" s="660" t="s">
        <v>4149</v>
      </c>
      <c r="B31" s="661" t="s">
        <v>4150</v>
      </c>
      <c r="C31" s="661" t="s">
        <v>3411</v>
      </c>
      <c r="D31" s="661" t="s">
        <v>4157</v>
      </c>
      <c r="E31" s="661" t="s">
        <v>4158</v>
      </c>
      <c r="F31" s="664">
        <v>450</v>
      </c>
      <c r="G31" s="664">
        <v>12150</v>
      </c>
      <c r="H31" s="664">
        <v>1</v>
      </c>
      <c r="I31" s="664">
        <v>27</v>
      </c>
      <c r="J31" s="664">
        <v>514</v>
      </c>
      <c r="K31" s="664">
        <v>13878</v>
      </c>
      <c r="L31" s="664">
        <v>1.1422222222222222</v>
      </c>
      <c r="M31" s="664">
        <v>27</v>
      </c>
      <c r="N31" s="664">
        <v>551</v>
      </c>
      <c r="O31" s="664">
        <v>14877</v>
      </c>
      <c r="P31" s="677">
        <v>1.2244444444444444</v>
      </c>
      <c r="Q31" s="665">
        <v>27</v>
      </c>
    </row>
    <row r="32" spans="1:17" ht="14.4" customHeight="1" x14ac:dyDescent="0.3">
      <c r="A32" s="660" t="s">
        <v>4149</v>
      </c>
      <c r="B32" s="661" t="s">
        <v>4150</v>
      </c>
      <c r="C32" s="661" t="s">
        <v>3411</v>
      </c>
      <c r="D32" s="661" t="s">
        <v>3711</v>
      </c>
      <c r="E32" s="661" t="s">
        <v>3712</v>
      </c>
      <c r="F32" s="664">
        <v>6</v>
      </c>
      <c r="G32" s="664">
        <v>336</v>
      </c>
      <c r="H32" s="664">
        <v>1</v>
      </c>
      <c r="I32" s="664">
        <v>56</v>
      </c>
      <c r="J32" s="664"/>
      <c r="K32" s="664"/>
      <c r="L32" s="664"/>
      <c r="M32" s="664"/>
      <c r="N32" s="664"/>
      <c r="O32" s="664"/>
      <c r="P32" s="677"/>
      <c r="Q32" s="665"/>
    </row>
    <row r="33" spans="1:17" ht="14.4" customHeight="1" x14ac:dyDescent="0.3">
      <c r="A33" s="660" t="s">
        <v>4149</v>
      </c>
      <c r="B33" s="661" t="s">
        <v>4150</v>
      </c>
      <c r="C33" s="661" t="s">
        <v>3411</v>
      </c>
      <c r="D33" s="661" t="s">
        <v>4159</v>
      </c>
      <c r="E33" s="661" t="s">
        <v>4160</v>
      </c>
      <c r="F33" s="664">
        <v>22</v>
      </c>
      <c r="G33" s="664">
        <v>594</v>
      </c>
      <c r="H33" s="664">
        <v>1</v>
      </c>
      <c r="I33" s="664">
        <v>27</v>
      </c>
      <c r="J33" s="664">
        <v>37</v>
      </c>
      <c r="K33" s="664">
        <v>999</v>
      </c>
      <c r="L33" s="664">
        <v>1.6818181818181819</v>
      </c>
      <c r="M33" s="664">
        <v>27</v>
      </c>
      <c r="N33" s="664">
        <v>48</v>
      </c>
      <c r="O33" s="664">
        <v>1296</v>
      </c>
      <c r="P33" s="677">
        <v>2.1818181818181817</v>
      </c>
      <c r="Q33" s="665">
        <v>27</v>
      </c>
    </row>
    <row r="34" spans="1:17" ht="14.4" customHeight="1" x14ac:dyDescent="0.3">
      <c r="A34" s="660" t="s">
        <v>4149</v>
      </c>
      <c r="B34" s="661" t="s">
        <v>4150</v>
      </c>
      <c r="C34" s="661" t="s">
        <v>3411</v>
      </c>
      <c r="D34" s="661" t="s">
        <v>4161</v>
      </c>
      <c r="E34" s="661" t="s">
        <v>4162</v>
      </c>
      <c r="F34" s="664">
        <v>90</v>
      </c>
      <c r="G34" s="664">
        <v>1980</v>
      </c>
      <c r="H34" s="664">
        <v>1</v>
      </c>
      <c r="I34" s="664">
        <v>22</v>
      </c>
      <c r="J34" s="664">
        <v>102</v>
      </c>
      <c r="K34" s="664">
        <v>2244</v>
      </c>
      <c r="L34" s="664">
        <v>1.1333333333333333</v>
      </c>
      <c r="M34" s="664">
        <v>22</v>
      </c>
      <c r="N34" s="664">
        <v>126</v>
      </c>
      <c r="O34" s="664">
        <v>2772</v>
      </c>
      <c r="P34" s="677">
        <v>1.4</v>
      </c>
      <c r="Q34" s="665">
        <v>22</v>
      </c>
    </row>
    <row r="35" spans="1:17" ht="14.4" customHeight="1" x14ac:dyDescent="0.3">
      <c r="A35" s="660" t="s">
        <v>4149</v>
      </c>
      <c r="B35" s="661" t="s">
        <v>4150</v>
      </c>
      <c r="C35" s="661" t="s">
        <v>3411</v>
      </c>
      <c r="D35" s="661" t="s">
        <v>4163</v>
      </c>
      <c r="E35" s="661" t="s">
        <v>4164</v>
      </c>
      <c r="F35" s="664"/>
      <c r="G35" s="664"/>
      <c r="H35" s="664"/>
      <c r="I35" s="664"/>
      <c r="J35" s="664">
        <v>1</v>
      </c>
      <c r="K35" s="664">
        <v>68</v>
      </c>
      <c r="L35" s="664"/>
      <c r="M35" s="664">
        <v>68</v>
      </c>
      <c r="N35" s="664">
        <v>2</v>
      </c>
      <c r="O35" s="664">
        <v>136</v>
      </c>
      <c r="P35" s="677"/>
      <c r="Q35" s="665">
        <v>68</v>
      </c>
    </row>
    <row r="36" spans="1:17" ht="14.4" customHeight="1" x14ac:dyDescent="0.3">
      <c r="A36" s="660" t="s">
        <v>4149</v>
      </c>
      <c r="B36" s="661" t="s">
        <v>4150</v>
      </c>
      <c r="C36" s="661" t="s">
        <v>3411</v>
      </c>
      <c r="D36" s="661" t="s">
        <v>4165</v>
      </c>
      <c r="E36" s="661" t="s">
        <v>4166</v>
      </c>
      <c r="F36" s="664">
        <v>253</v>
      </c>
      <c r="G36" s="664">
        <v>15686</v>
      </c>
      <c r="H36" s="664">
        <v>1</v>
      </c>
      <c r="I36" s="664">
        <v>62</v>
      </c>
      <c r="J36" s="664">
        <v>316</v>
      </c>
      <c r="K36" s="664">
        <v>19592</v>
      </c>
      <c r="L36" s="664">
        <v>1.2490118577075098</v>
      </c>
      <c r="M36" s="664">
        <v>62</v>
      </c>
      <c r="N36" s="664">
        <v>322</v>
      </c>
      <c r="O36" s="664">
        <v>19964</v>
      </c>
      <c r="P36" s="677">
        <v>1.2727272727272727</v>
      </c>
      <c r="Q36" s="665">
        <v>62</v>
      </c>
    </row>
    <row r="37" spans="1:17" ht="14.4" customHeight="1" x14ac:dyDescent="0.3">
      <c r="A37" s="660" t="s">
        <v>4149</v>
      </c>
      <c r="B37" s="661" t="s">
        <v>4150</v>
      </c>
      <c r="C37" s="661" t="s">
        <v>3411</v>
      </c>
      <c r="D37" s="661" t="s">
        <v>3713</v>
      </c>
      <c r="E37" s="661" t="s">
        <v>3714</v>
      </c>
      <c r="F37" s="664"/>
      <c r="G37" s="664"/>
      <c r="H37" s="664"/>
      <c r="I37" s="664"/>
      <c r="J37" s="664">
        <v>1</v>
      </c>
      <c r="K37" s="664">
        <v>61</v>
      </c>
      <c r="L37" s="664"/>
      <c r="M37" s="664">
        <v>61</v>
      </c>
      <c r="N37" s="664">
        <v>2</v>
      </c>
      <c r="O37" s="664">
        <v>124</v>
      </c>
      <c r="P37" s="677"/>
      <c r="Q37" s="665">
        <v>62</v>
      </c>
    </row>
    <row r="38" spans="1:17" ht="14.4" customHeight="1" x14ac:dyDescent="0.3">
      <c r="A38" s="660" t="s">
        <v>4149</v>
      </c>
      <c r="B38" s="661" t="s">
        <v>4150</v>
      </c>
      <c r="C38" s="661" t="s">
        <v>3411</v>
      </c>
      <c r="D38" s="661" t="s">
        <v>4167</v>
      </c>
      <c r="E38" s="661" t="s">
        <v>4168</v>
      </c>
      <c r="F38" s="664"/>
      <c r="G38" s="664"/>
      <c r="H38" s="664"/>
      <c r="I38" s="664"/>
      <c r="J38" s="664"/>
      <c r="K38" s="664"/>
      <c r="L38" s="664"/>
      <c r="M38" s="664"/>
      <c r="N38" s="664">
        <v>1</v>
      </c>
      <c r="O38" s="664">
        <v>394</v>
      </c>
      <c r="P38" s="677"/>
      <c r="Q38" s="665">
        <v>394</v>
      </c>
    </row>
    <row r="39" spans="1:17" ht="14.4" customHeight="1" x14ac:dyDescent="0.3">
      <c r="A39" s="660" t="s">
        <v>4149</v>
      </c>
      <c r="B39" s="661" t="s">
        <v>4150</v>
      </c>
      <c r="C39" s="661" t="s">
        <v>3411</v>
      </c>
      <c r="D39" s="661" t="s">
        <v>4169</v>
      </c>
      <c r="E39" s="661" t="s">
        <v>4170</v>
      </c>
      <c r="F39" s="664">
        <v>60</v>
      </c>
      <c r="G39" s="664">
        <v>59220</v>
      </c>
      <c r="H39" s="664">
        <v>1</v>
      </c>
      <c r="I39" s="664">
        <v>987</v>
      </c>
      <c r="J39" s="664">
        <v>53</v>
      </c>
      <c r="K39" s="664">
        <v>52311</v>
      </c>
      <c r="L39" s="664">
        <v>0.8833333333333333</v>
      </c>
      <c r="M39" s="664">
        <v>987</v>
      </c>
      <c r="N39" s="664">
        <v>52</v>
      </c>
      <c r="O39" s="664">
        <v>51324</v>
      </c>
      <c r="P39" s="677">
        <v>0.8666666666666667</v>
      </c>
      <c r="Q39" s="665">
        <v>987</v>
      </c>
    </row>
    <row r="40" spans="1:17" ht="14.4" customHeight="1" x14ac:dyDescent="0.3">
      <c r="A40" s="660" t="s">
        <v>4149</v>
      </c>
      <c r="B40" s="661" t="s">
        <v>4150</v>
      </c>
      <c r="C40" s="661" t="s">
        <v>3411</v>
      </c>
      <c r="D40" s="661" t="s">
        <v>4171</v>
      </c>
      <c r="E40" s="661" t="s">
        <v>4172</v>
      </c>
      <c r="F40" s="664">
        <v>1</v>
      </c>
      <c r="G40" s="664">
        <v>63</v>
      </c>
      <c r="H40" s="664">
        <v>1</v>
      </c>
      <c r="I40" s="664">
        <v>63</v>
      </c>
      <c r="J40" s="664"/>
      <c r="K40" s="664"/>
      <c r="L40" s="664"/>
      <c r="M40" s="664"/>
      <c r="N40" s="664"/>
      <c r="O40" s="664"/>
      <c r="P40" s="677"/>
      <c r="Q40" s="665"/>
    </row>
    <row r="41" spans="1:17" ht="14.4" customHeight="1" x14ac:dyDescent="0.3">
      <c r="A41" s="660" t="s">
        <v>4149</v>
      </c>
      <c r="B41" s="661" t="s">
        <v>4150</v>
      </c>
      <c r="C41" s="661" t="s">
        <v>3411</v>
      </c>
      <c r="D41" s="661" t="s">
        <v>4173</v>
      </c>
      <c r="E41" s="661" t="s">
        <v>4174</v>
      </c>
      <c r="F41" s="664">
        <v>1</v>
      </c>
      <c r="G41" s="664">
        <v>17</v>
      </c>
      <c r="H41" s="664">
        <v>1</v>
      </c>
      <c r="I41" s="664">
        <v>17</v>
      </c>
      <c r="J41" s="664"/>
      <c r="K41" s="664"/>
      <c r="L41" s="664"/>
      <c r="M41" s="664"/>
      <c r="N41" s="664"/>
      <c r="O41" s="664"/>
      <c r="P41" s="677"/>
      <c r="Q41" s="665"/>
    </row>
    <row r="42" spans="1:17" ht="14.4" customHeight="1" x14ac:dyDescent="0.3">
      <c r="A42" s="660" t="s">
        <v>4149</v>
      </c>
      <c r="B42" s="661" t="s">
        <v>4150</v>
      </c>
      <c r="C42" s="661" t="s">
        <v>3411</v>
      </c>
      <c r="D42" s="661" t="s">
        <v>4175</v>
      </c>
      <c r="E42" s="661" t="s">
        <v>4176</v>
      </c>
      <c r="F42" s="664"/>
      <c r="G42" s="664"/>
      <c r="H42" s="664"/>
      <c r="I42" s="664"/>
      <c r="J42" s="664"/>
      <c r="K42" s="664"/>
      <c r="L42" s="664"/>
      <c r="M42" s="664"/>
      <c r="N42" s="664">
        <v>2</v>
      </c>
      <c r="O42" s="664">
        <v>128</v>
      </c>
      <c r="P42" s="677"/>
      <c r="Q42" s="665">
        <v>64</v>
      </c>
    </row>
    <row r="43" spans="1:17" ht="14.4" customHeight="1" x14ac:dyDescent="0.3">
      <c r="A43" s="660" t="s">
        <v>4149</v>
      </c>
      <c r="B43" s="661" t="s">
        <v>4150</v>
      </c>
      <c r="C43" s="661" t="s">
        <v>3411</v>
      </c>
      <c r="D43" s="661" t="s">
        <v>4177</v>
      </c>
      <c r="E43" s="661" t="s">
        <v>4178</v>
      </c>
      <c r="F43" s="664">
        <v>1</v>
      </c>
      <c r="G43" s="664">
        <v>47</v>
      </c>
      <c r="H43" s="664">
        <v>1</v>
      </c>
      <c r="I43" s="664">
        <v>47</v>
      </c>
      <c r="J43" s="664"/>
      <c r="K43" s="664"/>
      <c r="L43" s="664"/>
      <c r="M43" s="664"/>
      <c r="N43" s="664">
        <v>2</v>
      </c>
      <c r="O43" s="664">
        <v>94</v>
      </c>
      <c r="P43" s="677">
        <v>2</v>
      </c>
      <c r="Q43" s="665">
        <v>47</v>
      </c>
    </row>
    <row r="44" spans="1:17" ht="14.4" customHeight="1" x14ac:dyDescent="0.3">
      <c r="A44" s="660" t="s">
        <v>4149</v>
      </c>
      <c r="B44" s="661" t="s">
        <v>4150</v>
      </c>
      <c r="C44" s="661" t="s">
        <v>3411</v>
      </c>
      <c r="D44" s="661" t="s">
        <v>4179</v>
      </c>
      <c r="E44" s="661" t="s">
        <v>4180</v>
      </c>
      <c r="F44" s="664">
        <v>96</v>
      </c>
      <c r="G44" s="664">
        <v>5760</v>
      </c>
      <c r="H44" s="664">
        <v>1</v>
      </c>
      <c r="I44" s="664">
        <v>60</v>
      </c>
      <c r="J44" s="664">
        <v>106</v>
      </c>
      <c r="K44" s="664">
        <v>6360</v>
      </c>
      <c r="L44" s="664">
        <v>1.1041666666666667</v>
      </c>
      <c r="M44" s="664">
        <v>60</v>
      </c>
      <c r="N44" s="664">
        <v>104</v>
      </c>
      <c r="O44" s="664">
        <v>6240</v>
      </c>
      <c r="P44" s="677">
        <v>1.0833333333333333</v>
      </c>
      <c r="Q44" s="665">
        <v>60</v>
      </c>
    </row>
    <row r="45" spans="1:17" ht="14.4" customHeight="1" x14ac:dyDescent="0.3">
      <c r="A45" s="660" t="s">
        <v>4149</v>
      </c>
      <c r="B45" s="661" t="s">
        <v>4150</v>
      </c>
      <c r="C45" s="661" t="s">
        <v>3411</v>
      </c>
      <c r="D45" s="661" t="s">
        <v>4181</v>
      </c>
      <c r="E45" s="661" t="s">
        <v>4182</v>
      </c>
      <c r="F45" s="664">
        <v>2</v>
      </c>
      <c r="G45" s="664">
        <v>38</v>
      </c>
      <c r="H45" s="664">
        <v>1</v>
      </c>
      <c r="I45" s="664">
        <v>19</v>
      </c>
      <c r="J45" s="664"/>
      <c r="K45" s="664"/>
      <c r="L45" s="664"/>
      <c r="M45" s="664"/>
      <c r="N45" s="664"/>
      <c r="O45" s="664"/>
      <c r="P45" s="677"/>
      <c r="Q45" s="665"/>
    </row>
    <row r="46" spans="1:17" ht="14.4" customHeight="1" x14ac:dyDescent="0.3">
      <c r="A46" s="660" t="s">
        <v>4149</v>
      </c>
      <c r="B46" s="661" t="s">
        <v>4150</v>
      </c>
      <c r="C46" s="661" t="s">
        <v>3411</v>
      </c>
      <c r="D46" s="661" t="s">
        <v>4183</v>
      </c>
      <c r="E46" s="661" t="s">
        <v>4184</v>
      </c>
      <c r="F46" s="664">
        <v>1</v>
      </c>
      <c r="G46" s="664">
        <v>312</v>
      </c>
      <c r="H46" s="664">
        <v>1</v>
      </c>
      <c r="I46" s="664">
        <v>312</v>
      </c>
      <c r="J46" s="664"/>
      <c r="K46" s="664"/>
      <c r="L46" s="664"/>
      <c r="M46" s="664"/>
      <c r="N46" s="664"/>
      <c r="O46" s="664"/>
      <c r="P46" s="677"/>
      <c r="Q46" s="665"/>
    </row>
    <row r="47" spans="1:17" ht="14.4" customHeight="1" x14ac:dyDescent="0.3">
      <c r="A47" s="660" t="s">
        <v>4149</v>
      </c>
      <c r="B47" s="661" t="s">
        <v>4150</v>
      </c>
      <c r="C47" s="661" t="s">
        <v>3411</v>
      </c>
      <c r="D47" s="661" t="s">
        <v>4185</v>
      </c>
      <c r="E47" s="661" t="s">
        <v>4186</v>
      </c>
      <c r="F47" s="664">
        <v>2</v>
      </c>
      <c r="G47" s="664">
        <v>1702</v>
      </c>
      <c r="H47" s="664">
        <v>1</v>
      </c>
      <c r="I47" s="664">
        <v>851</v>
      </c>
      <c r="J47" s="664">
        <v>1</v>
      </c>
      <c r="K47" s="664">
        <v>851</v>
      </c>
      <c r="L47" s="664">
        <v>0.5</v>
      </c>
      <c r="M47" s="664">
        <v>851</v>
      </c>
      <c r="N47" s="664">
        <v>9</v>
      </c>
      <c r="O47" s="664">
        <v>7668</v>
      </c>
      <c r="P47" s="677">
        <v>4.505287896592244</v>
      </c>
      <c r="Q47" s="665">
        <v>852</v>
      </c>
    </row>
    <row r="48" spans="1:17" ht="14.4" customHeight="1" x14ac:dyDescent="0.3">
      <c r="A48" s="660" t="s">
        <v>4149</v>
      </c>
      <c r="B48" s="661" t="s">
        <v>4150</v>
      </c>
      <c r="C48" s="661" t="s">
        <v>3411</v>
      </c>
      <c r="D48" s="661" t="s">
        <v>4187</v>
      </c>
      <c r="E48" s="661" t="s">
        <v>4188</v>
      </c>
      <c r="F48" s="664">
        <v>1</v>
      </c>
      <c r="G48" s="664">
        <v>349</v>
      </c>
      <c r="H48" s="664">
        <v>1</v>
      </c>
      <c r="I48" s="664">
        <v>349</v>
      </c>
      <c r="J48" s="664"/>
      <c r="K48" s="664"/>
      <c r="L48" s="664"/>
      <c r="M48" s="664"/>
      <c r="N48" s="664"/>
      <c r="O48" s="664"/>
      <c r="P48" s="677"/>
      <c r="Q48" s="665"/>
    </row>
    <row r="49" spans="1:17" ht="14.4" customHeight="1" x14ac:dyDescent="0.3">
      <c r="A49" s="660" t="s">
        <v>4149</v>
      </c>
      <c r="B49" s="661" t="s">
        <v>4150</v>
      </c>
      <c r="C49" s="661" t="s">
        <v>3411</v>
      </c>
      <c r="D49" s="661" t="s">
        <v>4189</v>
      </c>
      <c r="E49" s="661" t="s">
        <v>4190</v>
      </c>
      <c r="F49" s="664">
        <v>8</v>
      </c>
      <c r="G49" s="664">
        <v>6264</v>
      </c>
      <c r="H49" s="664">
        <v>1</v>
      </c>
      <c r="I49" s="664">
        <v>783</v>
      </c>
      <c r="J49" s="664">
        <v>5</v>
      </c>
      <c r="K49" s="664">
        <v>3915</v>
      </c>
      <c r="L49" s="664">
        <v>0.625</v>
      </c>
      <c r="M49" s="664">
        <v>783</v>
      </c>
      <c r="N49" s="664">
        <v>7</v>
      </c>
      <c r="O49" s="664">
        <v>5502</v>
      </c>
      <c r="P49" s="677">
        <v>0.87835249042145591</v>
      </c>
      <c r="Q49" s="665">
        <v>786</v>
      </c>
    </row>
    <row r="50" spans="1:17" ht="14.4" customHeight="1" x14ac:dyDescent="0.3">
      <c r="A50" s="660" t="s">
        <v>4149</v>
      </c>
      <c r="B50" s="661" t="s">
        <v>4150</v>
      </c>
      <c r="C50" s="661" t="s">
        <v>3411</v>
      </c>
      <c r="D50" s="661" t="s">
        <v>4191</v>
      </c>
      <c r="E50" s="661" t="s">
        <v>4192</v>
      </c>
      <c r="F50" s="664">
        <v>1</v>
      </c>
      <c r="G50" s="664">
        <v>227</v>
      </c>
      <c r="H50" s="664">
        <v>1</v>
      </c>
      <c r="I50" s="664">
        <v>227</v>
      </c>
      <c r="J50" s="664"/>
      <c r="K50" s="664"/>
      <c r="L50" s="664"/>
      <c r="M50" s="664"/>
      <c r="N50" s="664"/>
      <c r="O50" s="664"/>
      <c r="P50" s="677"/>
      <c r="Q50" s="665"/>
    </row>
    <row r="51" spans="1:17" ht="14.4" customHeight="1" x14ac:dyDescent="0.3">
      <c r="A51" s="660" t="s">
        <v>4149</v>
      </c>
      <c r="B51" s="661" t="s">
        <v>4150</v>
      </c>
      <c r="C51" s="661" t="s">
        <v>3411</v>
      </c>
      <c r="D51" s="661" t="s">
        <v>4193</v>
      </c>
      <c r="E51" s="661" t="s">
        <v>4194</v>
      </c>
      <c r="F51" s="664">
        <v>1</v>
      </c>
      <c r="G51" s="664">
        <v>560</v>
      </c>
      <c r="H51" s="664">
        <v>1</v>
      </c>
      <c r="I51" s="664">
        <v>560</v>
      </c>
      <c r="J51" s="664"/>
      <c r="K51" s="664"/>
      <c r="L51" s="664"/>
      <c r="M51" s="664"/>
      <c r="N51" s="664"/>
      <c r="O51" s="664"/>
      <c r="P51" s="677"/>
      <c r="Q51" s="665"/>
    </row>
    <row r="52" spans="1:17" ht="14.4" customHeight="1" x14ac:dyDescent="0.3">
      <c r="A52" s="660" t="s">
        <v>4149</v>
      </c>
      <c r="B52" s="661" t="s">
        <v>4150</v>
      </c>
      <c r="C52" s="661" t="s">
        <v>3411</v>
      </c>
      <c r="D52" s="661" t="s">
        <v>4195</v>
      </c>
      <c r="E52" s="661" t="s">
        <v>4196</v>
      </c>
      <c r="F52" s="664">
        <v>1</v>
      </c>
      <c r="G52" s="664">
        <v>394</v>
      </c>
      <c r="H52" s="664">
        <v>1</v>
      </c>
      <c r="I52" s="664">
        <v>394</v>
      </c>
      <c r="J52" s="664"/>
      <c r="K52" s="664"/>
      <c r="L52" s="664"/>
      <c r="M52" s="664"/>
      <c r="N52" s="664"/>
      <c r="O52" s="664"/>
      <c r="P52" s="677"/>
      <c r="Q52" s="665"/>
    </row>
    <row r="53" spans="1:17" ht="14.4" customHeight="1" x14ac:dyDescent="0.3">
      <c r="A53" s="660" t="s">
        <v>4149</v>
      </c>
      <c r="B53" s="661" t="s">
        <v>4150</v>
      </c>
      <c r="C53" s="661" t="s">
        <v>3411</v>
      </c>
      <c r="D53" s="661" t="s">
        <v>3780</v>
      </c>
      <c r="E53" s="661" t="s">
        <v>3781</v>
      </c>
      <c r="F53" s="664">
        <v>90</v>
      </c>
      <c r="G53" s="664">
        <v>2610</v>
      </c>
      <c r="H53" s="664">
        <v>1</v>
      </c>
      <c r="I53" s="664">
        <v>29</v>
      </c>
      <c r="J53" s="664">
        <v>102</v>
      </c>
      <c r="K53" s="664">
        <v>2958</v>
      </c>
      <c r="L53" s="664">
        <v>1.1333333333333333</v>
      </c>
      <c r="M53" s="664">
        <v>29</v>
      </c>
      <c r="N53" s="664">
        <v>126</v>
      </c>
      <c r="O53" s="664">
        <v>3780</v>
      </c>
      <c r="P53" s="677">
        <v>1.4482758620689655</v>
      </c>
      <c r="Q53" s="665">
        <v>30</v>
      </c>
    </row>
    <row r="54" spans="1:17" ht="14.4" customHeight="1" x14ac:dyDescent="0.3">
      <c r="A54" s="660" t="s">
        <v>4149</v>
      </c>
      <c r="B54" s="661" t="s">
        <v>4150</v>
      </c>
      <c r="C54" s="661" t="s">
        <v>3411</v>
      </c>
      <c r="D54" s="661" t="s">
        <v>4197</v>
      </c>
      <c r="E54" s="661" t="s">
        <v>4198</v>
      </c>
      <c r="F54" s="664">
        <v>96</v>
      </c>
      <c r="G54" s="664">
        <v>4800</v>
      </c>
      <c r="H54" s="664">
        <v>1</v>
      </c>
      <c r="I54" s="664">
        <v>50</v>
      </c>
      <c r="J54" s="664">
        <v>106</v>
      </c>
      <c r="K54" s="664">
        <v>5300</v>
      </c>
      <c r="L54" s="664">
        <v>1.1041666666666667</v>
      </c>
      <c r="M54" s="664">
        <v>50</v>
      </c>
      <c r="N54" s="664">
        <v>106</v>
      </c>
      <c r="O54" s="664">
        <v>5300</v>
      </c>
      <c r="P54" s="677">
        <v>1.1041666666666667</v>
      </c>
      <c r="Q54" s="665">
        <v>50</v>
      </c>
    </row>
    <row r="55" spans="1:17" ht="14.4" customHeight="1" x14ac:dyDescent="0.3">
      <c r="A55" s="660" t="s">
        <v>4149</v>
      </c>
      <c r="B55" s="661" t="s">
        <v>4150</v>
      </c>
      <c r="C55" s="661" t="s">
        <v>3411</v>
      </c>
      <c r="D55" s="661" t="s">
        <v>4199</v>
      </c>
      <c r="E55" s="661" t="s">
        <v>4200</v>
      </c>
      <c r="F55" s="664">
        <v>184</v>
      </c>
      <c r="G55" s="664">
        <v>2208</v>
      </c>
      <c r="H55" s="664">
        <v>1</v>
      </c>
      <c r="I55" s="664">
        <v>12</v>
      </c>
      <c r="J55" s="664">
        <v>233</v>
      </c>
      <c r="K55" s="664">
        <v>2796</v>
      </c>
      <c r="L55" s="664">
        <v>1.2663043478260869</v>
      </c>
      <c r="M55" s="664">
        <v>12</v>
      </c>
      <c r="N55" s="664">
        <v>228</v>
      </c>
      <c r="O55" s="664">
        <v>2736</v>
      </c>
      <c r="P55" s="677">
        <v>1.2391304347826086</v>
      </c>
      <c r="Q55" s="665">
        <v>12</v>
      </c>
    </row>
    <row r="56" spans="1:17" ht="14.4" customHeight="1" x14ac:dyDescent="0.3">
      <c r="A56" s="660" t="s">
        <v>4149</v>
      </c>
      <c r="B56" s="661" t="s">
        <v>4150</v>
      </c>
      <c r="C56" s="661" t="s">
        <v>3411</v>
      </c>
      <c r="D56" s="661" t="s">
        <v>4201</v>
      </c>
      <c r="E56" s="661" t="s">
        <v>4202</v>
      </c>
      <c r="F56" s="664">
        <v>5</v>
      </c>
      <c r="G56" s="664">
        <v>905</v>
      </c>
      <c r="H56" s="664">
        <v>1</v>
      </c>
      <c r="I56" s="664">
        <v>181</v>
      </c>
      <c r="J56" s="664">
        <v>4</v>
      </c>
      <c r="K56" s="664">
        <v>724</v>
      </c>
      <c r="L56" s="664">
        <v>0.8</v>
      </c>
      <c r="M56" s="664">
        <v>181</v>
      </c>
      <c r="N56" s="664">
        <v>7</v>
      </c>
      <c r="O56" s="664">
        <v>1274</v>
      </c>
      <c r="P56" s="677">
        <v>1.4077348066298343</v>
      </c>
      <c r="Q56" s="665">
        <v>182</v>
      </c>
    </row>
    <row r="57" spans="1:17" ht="14.4" customHeight="1" x14ac:dyDescent="0.3">
      <c r="A57" s="660" t="s">
        <v>4149</v>
      </c>
      <c r="B57" s="661" t="s">
        <v>4150</v>
      </c>
      <c r="C57" s="661" t="s">
        <v>3411</v>
      </c>
      <c r="D57" s="661" t="s">
        <v>3784</v>
      </c>
      <c r="E57" s="661" t="s">
        <v>3785</v>
      </c>
      <c r="F57" s="664">
        <v>6</v>
      </c>
      <c r="G57" s="664">
        <v>426</v>
      </c>
      <c r="H57" s="664">
        <v>1</v>
      </c>
      <c r="I57" s="664">
        <v>71</v>
      </c>
      <c r="J57" s="664"/>
      <c r="K57" s="664"/>
      <c r="L57" s="664"/>
      <c r="M57" s="664"/>
      <c r="N57" s="664"/>
      <c r="O57" s="664"/>
      <c r="P57" s="677"/>
      <c r="Q57" s="665"/>
    </row>
    <row r="58" spans="1:17" ht="14.4" customHeight="1" x14ac:dyDescent="0.3">
      <c r="A58" s="660" t="s">
        <v>4149</v>
      </c>
      <c r="B58" s="661" t="s">
        <v>4150</v>
      </c>
      <c r="C58" s="661" t="s">
        <v>3411</v>
      </c>
      <c r="D58" s="661" t="s">
        <v>4203</v>
      </c>
      <c r="E58" s="661" t="s">
        <v>4204</v>
      </c>
      <c r="F58" s="664">
        <v>3</v>
      </c>
      <c r="G58" s="664">
        <v>546</v>
      </c>
      <c r="H58" s="664">
        <v>1</v>
      </c>
      <c r="I58" s="664">
        <v>182</v>
      </c>
      <c r="J58" s="664">
        <v>3</v>
      </c>
      <c r="K58" s="664">
        <v>546</v>
      </c>
      <c r="L58" s="664">
        <v>1</v>
      </c>
      <c r="M58" s="664">
        <v>182</v>
      </c>
      <c r="N58" s="664">
        <v>7</v>
      </c>
      <c r="O58" s="664">
        <v>1281</v>
      </c>
      <c r="P58" s="677">
        <v>2.3461538461538463</v>
      </c>
      <c r="Q58" s="665">
        <v>183</v>
      </c>
    </row>
    <row r="59" spans="1:17" ht="14.4" customHeight="1" x14ac:dyDescent="0.3">
      <c r="A59" s="660" t="s">
        <v>4149</v>
      </c>
      <c r="B59" s="661" t="s">
        <v>4150</v>
      </c>
      <c r="C59" s="661" t="s">
        <v>3411</v>
      </c>
      <c r="D59" s="661" t="s">
        <v>4205</v>
      </c>
      <c r="E59" s="661" t="s">
        <v>4206</v>
      </c>
      <c r="F59" s="664">
        <v>626</v>
      </c>
      <c r="G59" s="664">
        <v>92022</v>
      </c>
      <c r="H59" s="664">
        <v>1</v>
      </c>
      <c r="I59" s="664">
        <v>147</v>
      </c>
      <c r="J59" s="664">
        <v>698</v>
      </c>
      <c r="K59" s="664">
        <v>102606</v>
      </c>
      <c r="L59" s="664">
        <v>1.1150159744408945</v>
      </c>
      <c r="M59" s="664">
        <v>147</v>
      </c>
      <c r="N59" s="664">
        <v>741</v>
      </c>
      <c r="O59" s="664">
        <v>109668</v>
      </c>
      <c r="P59" s="677">
        <v>1.191758492534394</v>
      </c>
      <c r="Q59" s="665">
        <v>148</v>
      </c>
    </row>
    <row r="60" spans="1:17" ht="14.4" customHeight="1" x14ac:dyDescent="0.3">
      <c r="A60" s="660" t="s">
        <v>4149</v>
      </c>
      <c r="B60" s="661" t="s">
        <v>4150</v>
      </c>
      <c r="C60" s="661" t="s">
        <v>3411</v>
      </c>
      <c r="D60" s="661" t="s">
        <v>3786</v>
      </c>
      <c r="E60" s="661" t="s">
        <v>3787</v>
      </c>
      <c r="F60" s="664">
        <v>90</v>
      </c>
      <c r="G60" s="664">
        <v>2610</v>
      </c>
      <c r="H60" s="664">
        <v>1</v>
      </c>
      <c r="I60" s="664">
        <v>29</v>
      </c>
      <c r="J60" s="664">
        <v>103</v>
      </c>
      <c r="K60" s="664">
        <v>2987</v>
      </c>
      <c r="L60" s="664">
        <v>1.1444444444444444</v>
      </c>
      <c r="M60" s="664">
        <v>29</v>
      </c>
      <c r="N60" s="664">
        <v>127</v>
      </c>
      <c r="O60" s="664">
        <v>3810</v>
      </c>
      <c r="P60" s="677">
        <v>1.4597701149425288</v>
      </c>
      <c r="Q60" s="665">
        <v>30</v>
      </c>
    </row>
    <row r="61" spans="1:17" ht="14.4" customHeight="1" x14ac:dyDescent="0.3">
      <c r="A61" s="660" t="s">
        <v>4149</v>
      </c>
      <c r="B61" s="661" t="s">
        <v>4150</v>
      </c>
      <c r="C61" s="661" t="s">
        <v>3411</v>
      </c>
      <c r="D61" s="661" t="s">
        <v>4207</v>
      </c>
      <c r="E61" s="661" t="s">
        <v>4208</v>
      </c>
      <c r="F61" s="664">
        <v>26</v>
      </c>
      <c r="G61" s="664">
        <v>806</v>
      </c>
      <c r="H61" s="664">
        <v>1</v>
      </c>
      <c r="I61" s="664">
        <v>31</v>
      </c>
      <c r="J61" s="664">
        <v>44</v>
      </c>
      <c r="K61" s="664">
        <v>1364</v>
      </c>
      <c r="L61" s="664">
        <v>1.6923076923076923</v>
      </c>
      <c r="M61" s="664">
        <v>31</v>
      </c>
      <c r="N61" s="664">
        <v>58</v>
      </c>
      <c r="O61" s="664">
        <v>1798</v>
      </c>
      <c r="P61" s="677">
        <v>2.2307692307692308</v>
      </c>
      <c r="Q61" s="665">
        <v>31</v>
      </c>
    </row>
    <row r="62" spans="1:17" ht="14.4" customHeight="1" x14ac:dyDescent="0.3">
      <c r="A62" s="660" t="s">
        <v>4149</v>
      </c>
      <c r="B62" s="661" t="s">
        <v>4150</v>
      </c>
      <c r="C62" s="661" t="s">
        <v>3411</v>
      </c>
      <c r="D62" s="661" t="s">
        <v>4209</v>
      </c>
      <c r="E62" s="661" t="s">
        <v>4210</v>
      </c>
      <c r="F62" s="664">
        <v>206</v>
      </c>
      <c r="G62" s="664">
        <v>5562</v>
      </c>
      <c r="H62" s="664">
        <v>1</v>
      </c>
      <c r="I62" s="664">
        <v>27</v>
      </c>
      <c r="J62" s="664">
        <v>268</v>
      </c>
      <c r="K62" s="664">
        <v>7236</v>
      </c>
      <c r="L62" s="664">
        <v>1.3009708737864079</v>
      </c>
      <c r="M62" s="664">
        <v>27</v>
      </c>
      <c r="N62" s="664">
        <v>294</v>
      </c>
      <c r="O62" s="664">
        <v>7938</v>
      </c>
      <c r="P62" s="677">
        <v>1.4271844660194175</v>
      </c>
      <c r="Q62" s="665">
        <v>27</v>
      </c>
    </row>
    <row r="63" spans="1:17" ht="14.4" customHeight="1" x14ac:dyDescent="0.3">
      <c r="A63" s="660" t="s">
        <v>4149</v>
      </c>
      <c r="B63" s="661" t="s">
        <v>4150</v>
      </c>
      <c r="C63" s="661" t="s">
        <v>3411</v>
      </c>
      <c r="D63" s="661" t="s">
        <v>4211</v>
      </c>
      <c r="E63" s="661" t="s">
        <v>4212</v>
      </c>
      <c r="F63" s="664"/>
      <c r="G63" s="664"/>
      <c r="H63" s="664"/>
      <c r="I63" s="664"/>
      <c r="J63" s="664"/>
      <c r="K63" s="664"/>
      <c r="L63" s="664"/>
      <c r="M63" s="664"/>
      <c r="N63" s="664">
        <v>1</v>
      </c>
      <c r="O63" s="664">
        <v>255</v>
      </c>
      <c r="P63" s="677"/>
      <c r="Q63" s="665">
        <v>255</v>
      </c>
    </row>
    <row r="64" spans="1:17" ht="14.4" customHeight="1" x14ac:dyDescent="0.3">
      <c r="A64" s="660" t="s">
        <v>4149</v>
      </c>
      <c r="B64" s="661" t="s">
        <v>4150</v>
      </c>
      <c r="C64" s="661" t="s">
        <v>3411</v>
      </c>
      <c r="D64" s="661" t="s">
        <v>4213</v>
      </c>
      <c r="E64" s="661" t="s">
        <v>4214</v>
      </c>
      <c r="F64" s="664">
        <v>450</v>
      </c>
      <c r="G64" s="664">
        <v>11250</v>
      </c>
      <c r="H64" s="664">
        <v>1</v>
      </c>
      <c r="I64" s="664">
        <v>25</v>
      </c>
      <c r="J64" s="664">
        <v>514</v>
      </c>
      <c r="K64" s="664">
        <v>12850</v>
      </c>
      <c r="L64" s="664">
        <v>1.1422222222222222</v>
      </c>
      <c r="M64" s="664">
        <v>25</v>
      </c>
      <c r="N64" s="664">
        <v>550</v>
      </c>
      <c r="O64" s="664">
        <v>13750</v>
      </c>
      <c r="P64" s="677">
        <v>1.2222222222222223</v>
      </c>
      <c r="Q64" s="665">
        <v>25</v>
      </c>
    </row>
    <row r="65" spans="1:17" ht="14.4" customHeight="1" x14ac:dyDescent="0.3">
      <c r="A65" s="660" t="s">
        <v>4149</v>
      </c>
      <c r="B65" s="661" t="s">
        <v>4150</v>
      </c>
      <c r="C65" s="661" t="s">
        <v>3411</v>
      </c>
      <c r="D65" s="661" t="s">
        <v>4215</v>
      </c>
      <c r="E65" s="661" t="s">
        <v>4216</v>
      </c>
      <c r="F65" s="664"/>
      <c r="G65" s="664"/>
      <c r="H65" s="664"/>
      <c r="I65" s="664"/>
      <c r="J65" s="664">
        <v>1</v>
      </c>
      <c r="K65" s="664">
        <v>33</v>
      </c>
      <c r="L65" s="664"/>
      <c r="M65" s="664">
        <v>33</v>
      </c>
      <c r="N65" s="664"/>
      <c r="O65" s="664"/>
      <c r="P65" s="677"/>
      <c r="Q65" s="665"/>
    </row>
    <row r="66" spans="1:17" ht="14.4" customHeight="1" x14ac:dyDescent="0.3">
      <c r="A66" s="660" t="s">
        <v>4149</v>
      </c>
      <c r="B66" s="661" t="s">
        <v>4150</v>
      </c>
      <c r="C66" s="661" t="s">
        <v>3411</v>
      </c>
      <c r="D66" s="661" t="s">
        <v>4217</v>
      </c>
      <c r="E66" s="661" t="s">
        <v>4218</v>
      </c>
      <c r="F66" s="664">
        <v>2</v>
      </c>
      <c r="G66" s="664">
        <v>60</v>
      </c>
      <c r="H66" s="664">
        <v>1</v>
      </c>
      <c r="I66" s="664">
        <v>30</v>
      </c>
      <c r="J66" s="664">
        <v>1</v>
      </c>
      <c r="K66" s="664">
        <v>30</v>
      </c>
      <c r="L66" s="664">
        <v>0.5</v>
      </c>
      <c r="M66" s="664">
        <v>30</v>
      </c>
      <c r="N66" s="664">
        <v>2</v>
      </c>
      <c r="O66" s="664">
        <v>60</v>
      </c>
      <c r="P66" s="677">
        <v>1</v>
      </c>
      <c r="Q66" s="665">
        <v>30</v>
      </c>
    </row>
    <row r="67" spans="1:17" ht="14.4" customHeight="1" x14ac:dyDescent="0.3">
      <c r="A67" s="660" t="s">
        <v>4149</v>
      </c>
      <c r="B67" s="661" t="s">
        <v>4150</v>
      </c>
      <c r="C67" s="661" t="s">
        <v>3411</v>
      </c>
      <c r="D67" s="661" t="s">
        <v>4219</v>
      </c>
      <c r="E67" s="661" t="s">
        <v>4220</v>
      </c>
      <c r="F67" s="664"/>
      <c r="G67" s="664"/>
      <c r="H67" s="664"/>
      <c r="I67" s="664"/>
      <c r="J67" s="664">
        <v>5</v>
      </c>
      <c r="K67" s="664">
        <v>1020</v>
      </c>
      <c r="L67" s="664"/>
      <c r="M67" s="664">
        <v>204</v>
      </c>
      <c r="N67" s="664">
        <v>1</v>
      </c>
      <c r="O67" s="664">
        <v>204</v>
      </c>
      <c r="P67" s="677"/>
      <c r="Q67" s="665">
        <v>204</v>
      </c>
    </row>
    <row r="68" spans="1:17" ht="14.4" customHeight="1" x14ac:dyDescent="0.3">
      <c r="A68" s="660" t="s">
        <v>4149</v>
      </c>
      <c r="B68" s="661" t="s">
        <v>4150</v>
      </c>
      <c r="C68" s="661" t="s">
        <v>3411</v>
      </c>
      <c r="D68" s="661" t="s">
        <v>4221</v>
      </c>
      <c r="E68" s="661" t="s">
        <v>4222</v>
      </c>
      <c r="F68" s="664">
        <v>8</v>
      </c>
      <c r="G68" s="664">
        <v>208</v>
      </c>
      <c r="H68" s="664">
        <v>1</v>
      </c>
      <c r="I68" s="664">
        <v>26</v>
      </c>
      <c r="J68" s="664">
        <v>5</v>
      </c>
      <c r="K68" s="664">
        <v>130</v>
      </c>
      <c r="L68" s="664">
        <v>0.625</v>
      </c>
      <c r="M68" s="664">
        <v>26</v>
      </c>
      <c r="N68" s="664">
        <v>13</v>
      </c>
      <c r="O68" s="664">
        <v>338</v>
      </c>
      <c r="P68" s="677">
        <v>1.625</v>
      </c>
      <c r="Q68" s="665">
        <v>26</v>
      </c>
    </row>
    <row r="69" spans="1:17" ht="14.4" customHeight="1" x14ac:dyDescent="0.3">
      <c r="A69" s="660" t="s">
        <v>4149</v>
      </c>
      <c r="B69" s="661" t="s">
        <v>4150</v>
      </c>
      <c r="C69" s="661" t="s">
        <v>3411</v>
      </c>
      <c r="D69" s="661" t="s">
        <v>4223</v>
      </c>
      <c r="E69" s="661" t="s">
        <v>4224</v>
      </c>
      <c r="F69" s="664">
        <v>3</v>
      </c>
      <c r="G69" s="664">
        <v>252</v>
      </c>
      <c r="H69" s="664">
        <v>1</v>
      </c>
      <c r="I69" s="664">
        <v>84</v>
      </c>
      <c r="J69" s="664">
        <v>3</v>
      </c>
      <c r="K69" s="664">
        <v>252</v>
      </c>
      <c r="L69" s="664">
        <v>1</v>
      </c>
      <c r="M69" s="664">
        <v>84</v>
      </c>
      <c r="N69" s="664">
        <v>3</v>
      </c>
      <c r="O69" s="664">
        <v>252</v>
      </c>
      <c r="P69" s="677">
        <v>1</v>
      </c>
      <c r="Q69" s="665">
        <v>84</v>
      </c>
    </row>
    <row r="70" spans="1:17" ht="14.4" customHeight="1" x14ac:dyDescent="0.3">
      <c r="A70" s="660" t="s">
        <v>4149</v>
      </c>
      <c r="B70" s="661" t="s">
        <v>4150</v>
      </c>
      <c r="C70" s="661" t="s">
        <v>3411</v>
      </c>
      <c r="D70" s="661" t="s">
        <v>4225</v>
      </c>
      <c r="E70" s="661" t="s">
        <v>4226</v>
      </c>
      <c r="F70" s="664">
        <v>7</v>
      </c>
      <c r="G70" s="664">
        <v>1218</v>
      </c>
      <c r="H70" s="664">
        <v>1</v>
      </c>
      <c r="I70" s="664">
        <v>174</v>
      </c>
      <c r="J70" s="664">
        <v>5</v>
      </c>
      <c r="K70" s="664">
        <v>870</v>
      </c>
      <c r="L70" s="664">
        <v>0.7142857142857143</v>
      </c>
      <c r="M70" s="664">
        <v>174</v>
      </c>
      <c r="N70" s="664">
        <v>10</v>
      </c>
      <c r="O70" s="664">
        <v>1750</v>
      </c>
      <c r="P70" s="677">
        <v>1.4367816091954022</v>
      </c>
      <c r="Q70" s="665">
        <v>175</v>
      </c>
    </row>
    <row r="71" spans="1:17" ht="14.4" customHeight="1" x14ac:dyDescent="0.3">
      <c r="A71" s="660" t="s">
        <v>4149</v>
      </c>
      <c r="B71" s="661" t="s">
        <v>4150</v>
      </c>
      <c r="C71" s="661" t="s">
        <v>3411</v>
      </c>
      <c r="D71" s="661" t="s">
        <v>4227</v>
      </c>
      <c r="E71" s="661" t="s">
        <v>4228</v>
      </c>
      <c r="F71" s="664">
        <v>1</v>
      </c>
      <c r="G71" s="664">
        <v>250</v>
      </c>
      <c r="H71" s="664">
        <v>1</v>
      </c>
      <c r="I71" s="664">
        <v>250</v>
      </c>
      <c r="J71" s="664">
        <v>1</v>
      </c>
      <c r="K71" s="664">
        <v>250</v>
      </c>
      <c r="L71" s="664">
        <v>1</v>
      </c>
      <c r="M71" s="664">
        <v>250</v>
      </c>
      <c r="N71" s="664"/>
      <c r="O71" s="664"/>
      <c r="P71" s="677"/>
      <c r="Q71" s="665"/>
    </row>
    <row r="72" spans="1:17" ht="14.4" customHeight="1" x14ac:dyDescent="0.3">
      <c r="A72" s="660" t="s">
        <v>4149</v>
      </c>
      <c r="B72" s="661" t="s">
        <v>4150</v>
      </c>
      <c r="C72" s="661" t="s">
        <v>3411</v>
      </c>
      <c r="D72" s="661" t="s">
        <v>4229</v>
      </c>
      <c r="E72" s="661" t="s">
        <v>4230</v>
      </c>
      <c r="F72" s="664">
        <v>123</v>
      </c>
      <c r="G72" s="664">
        <v>1845</v>
      </c>
      <c r="H72" s="664">
        <v>1</v>
      </c>
      <c r="I72" s="664">
        <v>15</v>
      </c>
      <c r="J72" s="664">
        <v>120</v>
      </c>
      <c r="K72" s="664">
        <v>1800</v>
      </c>
      <c r="L72" s="664">
        <v>0.97560975609756095</v>
      </c>
      <c r="M72" s="664">
        <v>15</v>
      </c>
      <c r="N72" s="664">
        <v>157</v>
      </c>
      <c r="O72" s="664">
        <v>2355</v>
      </c>
      <c r="P72" s="677">
        <v>1.2764227642276422</v>
      </c>
      <c r="Q72" s="665">
        <v>15</v>
      </c>
    </row>
    <row r="73" spans="1:17" ht="14.4" customHeight="1" x14ac:dyDescent="0.3">
      <c r="A73" s="660" t="s">
        <v>4149</v>
      </c>
      <c r="B73" s="661" t="s">
        <v>4150</v>
      </c>
      <c r="C73" s="661" t="s">
        <v>3411</v>
      </c>
      <c r="D73" s="661" t="s">
        <v>4231</v>
      </c>
      <c r="E73" s="661" t="s">
        <v>4232</v>
      </c>
      <c r="F73" s="664">
        <v>133</v>
      </c>
      <c r="G73" s="664">
        <v>3059</v>
      </c>
      <c r="H73" s="664">
        <v>1</v>
      </c>
      <c r="I73" s="664">
        <v>23</v>
      </c>
      <c r="J73" s="664">
        <v>169</v>
      </c>
      <c r="K73" s="664">
        <v>3887</v>
      </c>
      <c r="L73" s="664">
        <v>1.2706766917293233</v>
      </c>
      <c r="M73" s="664">
        <v>23</v>
      </c>
      <c r="N73" s="664">
        <v>189</v>
      </c>
      <c r="O73" s="664">
        <v>4347</v>
      </c>
      <c r="P73" s="677">
        <v>1.4210526315789473</v>
      </c>
      <c r="Q73" s="665">
        <v>23</v>
      </c>
    </row>
    <row r="74" spans="1:17" ht="14.4" customHeight="1" x14ac:dyDescent="0.3">
      <c r="A74" s="660" t="s">
        <v>4149</v>
      </c>
      <c r="B74" s="661" t="s">
        <v>4150</v>
      </c>
      <c r="C74" s="661" t="s">
        <v>3411</v>
      </c>
      <c r="D74" s="661" t="s">
        <v>4233</v>
      </c>
      <c r="E74" s="661" t="s">
        <v>4234</v>
      </c>
      <c r="F74" s="664">
        <v>1</v>
      </c>
      <c r="G74" s="664">
        <v>249</v>
      </c>
      <c r="H74" s="664">
        <v>1</v>
      </c>
      <c r="I74" s="664">
        <v>249</v>
      </c>
      <c r="J74" s="664">
        <v>1</v>
      </c>
      <c r="K74" s="664">
        <v>249</v>
      </c>
      <c r="L74" s="664">
        <v>1</v>
      </c>
      <c r="M74" s="664">
        <v>249</v>
      </c>
      <c r="N74" s="664"/>
      <c r="O74" s="664"/>
      <c r="P74" s="677"/>
      <c r="Q74" s="665"/>
    </row>
    <row r="75" spans="1:17" ht="14.4" customHeight="1" x14ac:dyDescent="0.3">
      <c r="A75" s="660" t="s">
        <v>4149</v>
      </c>
      <c r="B75" s="661" t="s">
        <v>4150</v>
      </c>
      <c r="C75" s="661" t="s">
        <v>3411</v>
      </c>
      <c r="D75" s="661" t="s">
        <v>4235</v>
      </c>
      <c r="E75" s="661" t="s">
        <v>4236</v>
      </c>
      <c r="F75" s="664">
        <v>1</v>
      </c>
      <c r="G75" s="664">
        <v>37</v>
      </c>
      <c r="H75" s="664">
        <v>1</v>
      </c>
      <c r="I75" s="664">
        <v>37</v>
      </c>
      <c r="J75" s="664"/>
      <c r="K75" s="664"/>
      <c r="L75" s="664"/>
      <c r="M75" s="664"/>
      <c r="N75" s="664"/>
      <c r="O75" s="664"/>
      <c r="P75" s="677"/>
      <c r="Q75" s="665"/>
    </row>
    <row r="76" spans="1:17" ht="14.4" customHeight="1" x14ac:dyDescent="0.3">
      <c r="A76" s="660" t="s">
        <v>4149</v>
      </c>
      <c r="B76" s="661" t="s">
        <v>4150</v>
      </c>
      <c r="C76" s="661" t="s">
        <v>3411</v>
      </c>
      <c r="D76" s="661" t="s">
        <v>3792</v>
      </c>
      <c r="E76" s="661" t="s">
        <v>3793</v>
      </c>
      <c r="F76" s="664">
        <v>43</v>
      </c>
      <c r="G76" s="664">
        <v>989</v>
      </c>
      <c r="H76" s="664">
        <v>1</v>
      </c>
      <c r="I76" s="664">
        <v>23</v>
      </c>
      <c r="J76" s="664">
        <v>69</v>
      </c>
      <c r="K76" s="664">
        <v>1587</v>
      </c>
      <c r="L76" s="664">
        <v>1.6046511627906976</v>
      </c>
      <c r="M76" s="664">
        <v>23</v>
      </c>
      <c r="N76" s="664">
        <v>100</v>
      </c>
      <c r="O76" s="664">
        <v>2300</v>
      </c>
      <c r="P76" s="677">
        <v>2.3255813953488373</v>
      </c>
      <c r="Q76" s="665">
        <v>23</v>
      </c>
    </row>
    <row r="77" spans="1:17" ht="14.4" customHeight="1" x14ac:dyDescent="0.3">
      <c r="A77" s="660" t="s">
        <v>4149</v>
      </c>
      <c r="B77" s="661" t="s">
        <v>4150</v>
      </c>
      <c r="C77" s="661" t="s">
        <v>3411</v>
      </c>
      <c r="D77" s="661" t="s">
        <v>4237</v>
      </c>
      <c r="E77" s="661" t="s">
        <v>4238</v>
      </c>
      <c r="F77" s="664">
        <v>89</v>
      </c>
      <c r="G77" s="664">
        <v>2581</v>
      </c>
      <c r="H77" s="664">
        <v>1</v>
      </c>
      <c r="I77" s="664">
        <v>29</v>
      </c>
      <c r="J77" s="664">
        <v>97</v>
      </c>
      <c r="K77" s="664">
        <v>2813</v>
      </c>
      <c r="L77" s="664">
        <v>1.0898876404494382</v>
      </c>
      <c r="M77" s="664">
        <v>29</v>
      </c>
      <c r="N77" s="664">
        <v>123</v>
      </c>
      <c r="O77" s="664">
        <v>3567</v>
      </c>
      <c r="P77" s="677">
        <v>1.3820224719101124</v>
      </c>
      <c r="Q77" s="665">
        <v>29</v>
      </c>
    </row>
    <row r="78" spans="1:17" ht="14.4" customHeight="1" x14ac:dyDescent="0.3">
      <c r="A78" s="660" t="s">
        <v>4149</v>
      </c>
      <c r="B78" s="661" t="s">
        <v>4150</v>
      </c>
      <c r="C78" s="661" t="s">
        <v>3411</v>
      </c>
      <c r="D78" s="661" t="s">
        <v>4239</v>
      </c>
      <c r="E78" s="661" t="s">
        <v>4240</v>
      </c>
      <c r="F78" s="664">
        <v>2</v>
      </c>
      <c r="G78" s="664">
        <v>30</v>
      </c>
      <c r="H78" s="664">
        <v>1</v>
      </c>
      <c r="I78" s="664">
        <v>15</v>
      </c>
      <c r="J78" s="664">
        <v>1</v>
      </c>
      <c r="K78" s="664">
        <v>15</v>
      </c>
      <c r="L78" s="664">
        <v>0.5</v>
      </c>
      <c r="M78" s="664">
        <v>15</v>
      </c>
      <c r="N78" s="664">
        <v>2</v>
      </c>
      <c r="O78" s="664">
        <v>30</v>
      </c>
      <c r="P78" s="677">
        <v>1</v>
      </c>
      <c r="Q78" s="665">
        <v>15</v>
      </c>
    </row>
    <row r="79" spans="1:17" ht="14.4" customHeight="1" x14ac:dyDescent="0.3">
      <c r="A79" s="660" t="s">
        <v>4149</v>
      </c>
      <c r="B79" s="661" t="s">
        <v>4150</v>
      </c>
      <c r="C79" s="661" t="s">
        <v>3411</v>
      </c>
      <c r="D79" s="661" t="s">
        <v>4241</v>
      </c>
      <c r="E79" s="661" t="s">
        <v>4242</v>
      </c>
      <c r="F79" s="664">
        <v>253</v>
      </c>
      <c r="G79" s="664">
        <v>4807</v>
      </c>
      <c r="H79" s="664">
        <v>1</v>
      </c>
      <c r="I79" s="664">
        <v>19</v>
      </c>
      <c r="J79" s="664">
        <v>282</v>
      </c>
      <c r="K79" s="664">
        <v>5358</v>
      </c>
      <c r="L79" s="664">
        <v>1.1146245059288538</v>
      </c>
      <c r="M79" s="664">
        <v>19</v>
      </c>
      <c r="N79" s="664">
        <v>290</v>
      </c>
      <c r="O79" s="664">
        <v>5510</v>
      </c>
      <c r="P79" s="677">
        <v>1.1462450592885376</v>
      </c>
      <c r="Q79" s="665">
        <v>19</v>
      </c>
    </row>
    <row r="80" spans="1:17" ht="14.4" customHeight="1" x14ac:dyDescent="0.3">
      <c r="A80" s="660" t="s">
        <v>4149</v>
      </c>
      <c r="B80" s="661" t="s">
        <v>4150</v>
      </c>
      <c r="C80" s="661" t="s">
        <v>3411</v>
      </c>
      <c r="D80" s="661" t="s">
        <v>4243</v>
      </c>
      <c r="E80" s="661" t="s">
        <v>4244</v>
      </c>
      <c r="F80" s="664">
        <v>771</v>
      </c>
      <c r="G80" s="664">
        <v>15420</v>
      </c>
      <c r="H80" s="664">
        <v>1</v>
      </c>
      <c r="I80" s="664">
        <v>20</v>
      </c>
      <c r="J80" s="664">
        <v>900</v>
      </c>
      <c r="K80" s="664">
        <v>18000</v>
      </c>
      <c r="L80" s="664">
        <v>1.1673151750972763</v>
      </c>
      <c r="M80" s="664">
        <v>20</v>
      </c>
      <c r="N80" s="664">
        <v>945</v>
      </c>
      <c r="O80" s="664">
        <v>18900</v>
      </c>
      <c r="P80" s="677">
        <v>1.2256809338521402</v>
      </c>
      <c r="Q80" s="665">
        <v>20</v>
      </c>
    </row>
    <row r="81" spans="1:17" ht="14.4" customHeight="1" x14ac:dyDescent="0.3">
      <c r="A81" s="660" t="s">
        <v>4149</v>
      </c>
      <c r="B81" s="661" t="s">
        <v>4150</v>
      </c>
      <c r="C81" s="661" t="s">
        <v>3411</v>
      </c>
      <c r="D81" s="661" t="s">
        <v>4245</v>
      </c>
      <c r="E81" s="661" t="s">
        <v>4246</v>
      </c>
      <c r="F81" s="664">
        <v>2</v>
      </c>
      <c r="G81" s="664">
        <v>168</v>
      </c>
      <c r="H81" s="664">
        <v>1</v>
      </c>
      <c r="I81" s="664">
        <v>84</v>
      </c>
      <c r="J81" s="664"/>
      <c r="K81" s="664"/>
      <c r="L81" s="664"/>
      <c r="M81" s="664"/>
      <c r="N81" s="664">
        <v>1</v>
      </c>
      <c r="O81" s="664">
        <v>84</v>
      </c>
      <c r="P81" s="677">
        <v>0.5</v>
      </c>
      <c r="Q81" s="665">
        <v>84</v>
      </c>
    </row>
    <row r="82" spans="1:17" ht="14.4" customHeight="1" x14ac:dyDescent="0.3">
      <c r="A82" s="660" t="s">
        <v>4149</v>
      </c>
      <c r="B82" s="661" t="s">
        <v>4150</v>
      </c>
      <c r="C82" s="661" t="s">
        <v>3411</v>
      </c>
      <c r="D82" s="661" t="s">
        <v>4247</v>
      </c>
      <c r="E82" s="661" t="s">
        <v>4248</v>
      </c>
      <c r="F82" s="664">
        <v>1</v>
      </c>
      <c r="G82" s="664">
        <v>263</v>
      </c>
      <c r="H82" s="664">
        <v>1</v>
      </c>
      <c r="I82" s="664">
        <v>263</v>
      </c>
      <c r="J82" s="664"/>
      <c r="K82" s="664"/>
      <c r="L82" s="664"/>
      <c r="M82" s="664"/>
      <c r="N82" s="664"/>
      <c r="O82" s="664"/>
      <c r="P82" s="677"/>
      <c r="Q82" s="665"/>
    </row>
    <row r="83" spans="1:17" ht="14.4" customHeight="1" x14ac:dyDescent="0.3">
      <c r="A83" s="660" t="s">
        <v>4149</v>
      </c>
      <c r="B83" s="661" t="s">
        <v>4150</v>
      </c>
      <c r="C83" s="661" t="s">
        <v>3411</v>
      </c>
      <c r="D83" s="661" t="s">
        <v>4249</v>
      </c>
      <c r="E83" s="661" t="s">
        <v>4250</v>
      </c>
      <c r="F83" s="664">
        <v>1</v>
      </c>
      <c r="G83" s="664">
        <v>78</v>
      </c>
      <c r="H83" s="664">
        <v>1</v>
      </c>
      <c r="I83" s="664">
        <v>78</v>
      </c>
      <c r="J83" s="664"/>
      <c r="K83" s="664"/>
      <c r="L83" s="664"/>
      <c r="M83" s="664"/>
      <c r="N83" s="664"/>
      <c r="O83" s="664"/>
      <c r="P83" s="677"/>
      <c r="Q83" s="665"/>
    </row>
    <row r="84" spans="1:17" ht="14.4" customHeight="1" x14ac:dyDescent="0.3">
      <c r="A84" s="660" t="s">
        <v>4149</v>
      </c>
      <c r="B84" s="661" t="s">
        <v>4150</v>
      </c>
      <c r="C84" s="661" t="s">
        <v>3411</v>
      </c>
      <c r="D84" s="661" t="s">
        <v>4251</v>
      </c>
      <c r="E84" s="661" t="s">
        <v>4252</v>
      </c>
      <c r="F84" s="664">
        <v>41</v>
      </c>
      <c r="G84" s="664">
        <v>902</v>
      </c>
      <c r="H84" s="664">
        <v>1</v>
      </c>
      <c r="I84" s="664">
        <v>22</v>
      </c>
      <c r="J84" s="664">
        <v>49</v>
      </c>
      <c r="K84" s="664">
        <v>1078</v>
      </c>
      <c r="L84" s="664">
        <v>1.1951219512195121</v>
      </c>
      <c r="M84" s="664">
        <v>22</v>
      </c>
      <c r="N84" s="664">
        <v>71</v>
      </c>
      <c r="O84" s="664">
        <v>1562</v>
      </c>
      <c r="P84" s="677">
        <v>1.7317073170731707</v>
      </c>
      <c r="Q84" s="665">
        <v>22</v>
      </c>
    </row>
    <row r="85" spans="1:17" ht="14.4" customHeight="1" x14ac:dyDescent="0.3">
      <c r="A85" s="660" t="s">
        <v>4149</v>
      </c>
      <c r="B85" s="661" t="s">
        <v>4150</v>
      </c>
      <c r="C85" s="661" t="s">
        <v>3411</v>
      </c>
      <c r="D85" s="661" t="s">
        <v>4253</v>
      </c>
      <c r="E85" s="661" t="s">
        <v>4254</v>
      </c>
      <c r="F85" s="664"/>
      <c r="G85" s="664"/>
      <c r="H85" s="664"/>
      <c r="I85" s="664"/>
      <c r="J85" s="664">
        <v>1</v>
      </c>
      <c r="K85" s="664">
        <v>170</v>
      </c>
      <c r="L85" s="664"/>
      <c r="M85" s="664">
        <v>170</v>
      </c>
      <c r="N85" s="664"/>
      <c r="O85" s="664"/>
      <c r="P85" s="677"/>
      <c r="Q85" s="665"/>
    </row>
    <row r="86" spans="1:17" ht="14.4" customHeight="1" x14ac:dyDescent="0.3">
      <c r="A86" s="660" t="s">
        <v>4149</v>
      </c>
      <c r="B86" s="661" t="s">
        <v>4150</v>
      </c>
      <c r="C86" s="661" t="s">
        <v>3411</v>
      </c>
      <c r="D86" s="661" t="s">
        <v>4255</v>
      </c>
      <c r="E86" s="661" t="s">
        <v>4256</v>
      </c>
      <c r="F86" s="664"/>
      <c r="G86" s="664"/>
      <c r="H86" s="664"/>
      <c r="I86" s="664"/>
      <c r="J86" s="664"/>
      <c r="K86" s="664"/>
      <c r="L86" s="664"/>
      <c r="M86" s="664"/>
      <c r="N86" s="664">
        <v>1</v>
      </c>
      <c r="O86" s="664">
        <v>167</v>
      </c>
      <c r="P86" s="677"/>
      <c r="Q86" s="665">
        <v>167</v>
      </c>
    </row>
    <row r="87" spans="1:17" ht="14.4" customHeight="1" x14ac:dyDescent="0.3">
      <c r="A87" s="660" t="s">
        <v>4149</v>
      </c>
      <c r="B87" s="661" t="s">
        <v>4150</v>
      </c>
      <c r="C87" s="661" t="s">
        <v>3411</v>
      </c>
      <c r="D87" s="661" t="s">
        <v>4257</v>
      </c>
      <c r="E87" s="661" t="s">
        <v>4258</v>
      </c>
      <c r="F87" s="664">
        <v>1</v>
      </c>
      <c r="G87" s="664">
        <v>310</v>
      </c>
      <c r="H87" s="664">
        <v>1</v>
      </c>
      <c r="I87" s="664">
        <v>310</v>
      </c>
      <c r="J87" s="664"/>
      <c r="K87" s="664"/>
      <c r="L87" s="664"/>
      <c r="M87" s="664"/>
      <c r="N87" s="664"/>
      <c r="O87" s="664"/>
      <c r="P87" s="677"/>
      <c r="Q87" s="665"/>
    </row>
    <row r="88" spans="1:17" ht="14.4" customHeight="1" x14ac:dyDescent="0.3">
      <c r="A88" s="660" t="s">
        <v>4149</v>
      </c>
      <c r="B88" s="661" t="s">
        <v>4150</v>
      </c>
      <c r="C88" s="661" t="s">
        <v>3411</v>
      </c>
      <c r="D88" s="661" t="s">
        <v>4259</v>
      </c>
      <c r="E88" s="661" t="s">
        <v>4260</v>
      </c>
      <c r="F88" s="664">
        <v>1</v>
      </c>
      <c r="G88" s="664">
        <v>23</v>
      </c>
      <c r="H88" s="664">
        <v>1</v>
      </c>
      <c r="I88" s="664">
        <v>23</v>
      </c>
      <c r="J88" s="664"/>
      <c r="K88" s="664"/>
      <c r="L88" s="664"/>
      <c r="M88" s="664"/>
      <c r="N88" s="664">
        <v>1</v>
      </c>
      <c r="O88" s="664">
        <v>23</v>
      </c>
      <c r="P88" s="677">
        <v>1</v>
      </c>
      <c r="Q88" s="665">
        <v>23</v>
      </c>
    </row>
    <row r="89" spans="1:17" ht="14.4" customHeight="1" x14ac:dyDescent="0.3">
      <c r="A89" s="660" t="s">
        <v>4149</v>
      </c>
      <c r="B89" s="661" t="s">
        <v>4150</v>
      </c>
      <c r="C89" s="661" t="s">
        <v>3411</v>
      </c>
      <c r="D89" s="661" t="s">
        <v>4261</v>
      </c>
      <c r="E89" s="661" t="s">
        <v>4262</v>
      </c>
      <c r="F89" s="664">
        <v>80</v>
      </c>
      <c r="G89" s="664">
        <v>23280</v>
      </c>
      <c r="H89" s="664">
        <v>1</v>
      </c>
      <c r="I89" s="664">
        <v>291</v>
      </c>
      <c r="J89" s="664">
        <v>49</v>
      </c>
      <c r="K89" s="664">
        <v>14259</v>
      </c>
      <c r="L89" s="664">
        <v>0.61250000000000004</v>
      </c>
      <c r="M89" s="664">
        <v>291</v>
      </c>
      <c r="N89" s="664">
        <v>47</v>
      </c>
      <c r="O89" s="664">
        <v>13771</v>
      </c>
      <c r="P89" s="677">
        <v>0.59153780068728523</v>
      </c>
      <c r="Q89" s="665">
        <v>293</v>
      </c>
    </row>
    <row r="90" spans="1:17" ht="14.4" customHeight="1" x14ac:dyDescent="0.3">
      <c r="A90" s="660" t="s">
        <v>4149</v>
      </c>
      <c r="B90" s="661" t="s">
        <v>4150</v>
      </c>
      <c r="C90" s="661" t="s">
        <v>3411</v>
      </c>
      <c r="D90" s="661" t="s">
        <v>4263</v>
      </c>
      <c r="E90" s="661" t="s">
        <v>4264</v>
      </c>
      <c r="F90" s="664">
        <v>251</v>
      </c>
      <c r="G90" s="664">
        <v>11295</v>
      </c>
      <c r="H90" s="664">
        <v>1</v>
      </c>
      <c r="I90" s="664">
        <v>45</v>
      </c>
      <c r="J90" s="664">
        <v>315</v>
      </c>
      <c r="K90" s="664">
        <v>14175</v>
      </c>
      <c r="L90" s="664">
        <v>1.2549800796812749</v>
      </c>
      <c r="M90" s="664">
        <v>45</v>
      </c>
      <c r="N90" s="664">
        <v>320</v>
      </c>
      <c r="O90" s="664">
        <v>14400</v>
      </c>
      <c r="P90" s="677">
        <v>1.2749003984063745</v>
      </c>
      <c r="Q90" s="665">
        <v>45</v>
      </c>
    </row>
    <row r="91" spans="1:17" ht="14.4" customHeight="1" x14ac:dyDescent="0.3">
      <c r="A91" s="660" t="s">
        <v>4149</v>
      </c>
      <c r="B91" s="661" t="s">
        <v>4150</v>
      </c>
      <c r="C91" s="661" t="s">
        <v>3411</v>
      </c>
      <c r="D91" s="661" t="s">
        <v>4265</v>
      </c>
      <c r="E91" s="661" t="s">
        <v>4266</v>
      </c>
      <c r="F91" s="664"/>
      <c r="G91" s="664"/>
      <c r="H91" s="664"/>
      <c r="I91" s="664"/>
      <c r="J91" s="664">
        <v>1</v>
      </c>
      <c r="K91" s="664">
        <v>24</v>
      </c>
      <c r="L91" s="664"/>
      <c r="M91" s="664">
        <v>24</v>
      </c>
      <c r="N91" s="664"/>
      <c r="O91" s="664"/>
      <c r="P91" s="677"/>
      <c r="Q91" s="665"/>
    </row>
    <row r="92" spans="1:17" ht="14.4" customHeight="1" x14ac:dyDescent="0.3">
      <c r="A92" s="660" t="s">
        <v>4149</v>
      </c>
      <c r="B92" s="661" t="s">
        <v>4150</v>
      </c>
      <c r="C92" s="661" t="s">
        <v>3411</v>
      </c>
      <c r="D92" s="661" t="s">
        <v>4267</v>
      </c>
      <c r="E92" s="661" t="s">
        <v>4268</v>
      </c>
      <c r="F92" s="664"/>
      <c r="G92" s="664"/>
      <c r="H92" s="664"/>
      <c r="I92" s="664"/>
      <c r="J92" s="664">
        <v>1</v>
      </c>
      <c r="K92" s="664">
        <v>101</v>
      </c>
      <c r="L92" s="664"/>
      <c r="M92" s="664">
        <v>101</v>
      </c>
      <c r="N92" s="664"/>
      <c r="O92" s="664"/>
      <c r="P92" s="677"/>
      <c r="Q92" s="665"/>
    </row>
    <row r="93" spans="1:17" ht="14.4" customHeight="1" x14ac:dyDescent="0.3">
      <c r="A93" s="660" t="s">
        <v>4149</v>
      </c>
      <c r="B93" s="661" t="s">
        <v>4150</v>
      </c>
      <c r="C93" s="661" t="s">
        <v>3411</v>
      </c>
      <c r="D93" s="661" t="s">
        <v>4269</v>
      </c>
      <c r="E93" s="661" t="s">
        <v>4270</v>
      </c>
      <c r="F93" s="664"/>
      <c r="G93" s="664"/>
      <c r="H93" s="664"/>
      <c r="I93" s="664"/>
      <c r="J93" s="664"/>
      <c r="K93" s="664"/>
      <c r="L93" s="664"/>
      <c r="M93" s="664"/>
      <c r="N93" s="664">
        <v>1</v>
      </c>
      <c r="O93" s="664">
        <v>26</v>
      </c>
      <c r="P93" s="677"/>
      <c r="Q93" s="665">
        <v>26</v>
      </c>
    </row>
    <row r="94" spans="1:17" ht="14.4" customHeight="1" x14ac:dyDescent="0.3">
      <c r="A94" s="660" t="s">
        <v>4149</v>
      </c>
      <c r="B94" s="661" t="s">
        <v>4150</v>
      </c>
      <c r="C94" s="661" t="s">
        <v>3411</v>
      </c>
      <c r="D94" s="661" t="s">
        <v>4271</v>
      </c>
      <c r="E94" s="661" t="s">
        <v>4272</v>
      </c>
      <c r="F94" s="664"/>
      <c r="G94" s="664"/>
      <c r="H94" s="664"/>
      <c r="I94" s="664"/>
      <c r="J94" s="664">
        <v>1</v>
      </c>
      <c r="K94" s="664">
        <v>351</v>
      </c>
      <c r="L94" s="664"/>
      <c r="M94" s="664">
        <v>351</v>
      </c>
      <c r="N94" s="664"/>
      <c r="O94" s="664"/>
      <c r="P94" s="677"/>
      <c r="Q94" s="665"/>
    </row>
    <row r="95" spans="1:17" ht="14.4" customHeight="1" x14ac:dyDescent="0.3">
      <c r="A95" s="660" t="s">
        <v>4273</v>
      </c>
      <c r="B95" s="661" t="s">
        <v>4274</v>
      </c>
      <c r="C95" s="661" t="s">
        <v>3527</v>
      </c>
      <c r="D95" s="661" t="s">
        <v>4275</v>
      </c>
      <c r="E95" s="661" t="s">
        <v>4276</v>
      </c>
      <c r="F95" s="664">
        <v>0.67</v>
      </c>
      <c r="G95" s="664">
        <v>1789.87</v>
      </c>
      <c r="H95" s="664">
        <v>1</v>
      </c>
      <c r="I95" s="664">
        <v>2671.4477611940297</v>
      </c>
      <c r="J95" s="664"/>
      <c r="K95" s="664"/>
      <c r="L95" s="664"/>
      <c r="M95" s="664"/>
      <c r="N95" s="664">
        <v>1</v>
      </c>
      <c r="O95" s="664">
        <v>2555.31</v>
      </c>
      <c r="P95" s="677">
        <v>1.4276511701967183</v>
      </c>
      <c r="Q95" s="665">
        <v>2555.31</v>
      </c>
    </row>
    <row r="96" spans="1:17" ht="14.4" customHeight="1" x14ac:dyDescent="0.3">
      <c r="A96" s="660" t="s">
        <v>4273</v>
      </c>
      <c r="B96" s="661" t="s">
        <v>4274</v>
      </c>
      <c r="C96" s="661" t="s">
        <v>3527</v>
      </c>
      <c r="D96" s="661" t="s">
        <v>4277</v>
      </c>
      <c r="E96" s="661" t="s">
        <v>4276</v>
      </c>
      <c r="F96" s="664"/>
      <c r="G96" s="664"/>
      <c r="H96" s="664"/>
      <c r="I96" s="664"/>
      <c r="J96" s="664">
        <v>0.2</v>
      </c>
      <c r="K96" s="664">
        <v>1335.72</v>
      </c>
      <c r="L96" s="664"/>
      <c r="M96" s="664">
        <v>6678.5999999999995</v>
      </c>
      <c r="N96" s="664"/>
      <c r="O96" s="664"/>
      <c r="P96" s="677"/>
      <c r="Q96" s="665"/>
    </row>
    <row r="97" spans="1:17" ht="14.4" customHeight="1" x14ac:dyDescent="0.3">
      <c r="A97" s="660" t="s">
        <v>4273</v>
      </c>
      <c r="B97" s="661" t="s">
        <v>4274</v>
      </c>
      <c r="C97" s="661" t="s">
        <v>3527</v>
      </c>
      <c r="D97" s="661" t="s">
        <v>4278</v>
      </c>
      <c r="E97" s="661" t="s">
        <v>4279</v>
      </c>
      <c r="F97" s="664"/>
      <c r="G97" s="664"/>
      <c r="H97" s="664"/>
      <c r="I97" s="664"/>
      <c r="J97" s="664"/>
      <c r="K97" s="664"/>
      <c r="L97" s="664"/>
      <c r="M97" s="664"/>
      <c r="N97" s="664">
        <v>0.06</v>
      </c>
      <c r="O97" s="664">
        <v>296.63</v>
      </c>
      <c r="P97" s="677"/>
      <c r="Q97" s="665">
        <v>4943.833333333333</v>
      </c>
    </row>
    <row r="98" spans="1:17" ht="14.4" customHeight="1" x14ac:dyDescent="0.3">
      <c r="A98" s="660" t="s">
        <v>4273</v>
      </c>
      <c r="B98" s="661" t="s">
        <v>4274</v>
      </c>
      <c r="C98" s="661" t="s">
        <v>3527</v>
      </c>
      <c r="D98" s="661" t="s">
        <v>4280</v>
      </c>
      <c r="E98" s="661" t="s">
        <v>4279</v>
      </c>
      <c r="F98" s="664">
        <v>0.24</v>
      </c>
      <c r="G98" s="664">
        <v>2480.9699999999998</v>
      </c>
      <c r="H98" s="664">
        <v>1</v>
      </c>
      <c r="I98" s="664">
        <v>10337.375</v>
      </c>
      <c r="J98" s="664"/>
      <c r="K98" s="664"/>
      <c r="L98" s="664"/>
      <c r="M98" s="664"/>
      <c r="N98" s="664">
        <v>0.83000000000000007</v>
      </c>
      <c r="O98" s="664">
        <v>8206.9699999999993</v>
      </c>
      <c r="P98" s="677">
        <v>3.3079682543521285</v>
      </c>
      <c r="Q98" s="665">
        <v>9887.915662650601</v>
      </c>
    </row>
    <row r="99" spans="1:17" ht="14.4" customHeight="1" x14ac:dyDescent="0.3">
      <c r="A99" s="660" t="s">
        <v>4273</v>
      </c>
      <c r="B99" s="661" t="s">
        <v>4274</v>
      </c>
      <c r="C99" s="661" t="s">
        <v>3527</v>
      </c>
      <c r="D99" s="661" t="s">
        <v>4281</v>
      </c>
      <c r="E99" s="661" t="s">
        <v>4282</v>
      </c>
      <c r="F99" s="664">
        <v>0.2</v>
      </c>
      <c r="G99" s="664">
        <v>1092.1600000000001</v>
      </c>
      <c r="H99" s="664">
        <v>1</v>
      </c>
      <c r="I99" s="664">
        <v>5460.8</v>
      </c>
      <c r="J99" s="664"/>
      <c r="K99" s="664"/>
      <c r="L99" s="664"/>
      <c r="M99" s="664"/>
      <c r="N99" s="664"/>
      <c r="O99" s="664"/>
      <c r="P99" s="677"/>
      <c r="Q99" s="665"/>
    </row>
    <row r="100" spans="1:17" ht="14.4" customHeight="1" x14ac:dyDescent="0.3">
      <c r="A100" s="660" t="s">
        <v>4273</v>
      </c>
      <c r="B100" s="661" t="s">
        <v>4274</v>
      </c>
      <c r="C100" s="661" t="s">
        <v>3527</v>
      </c>
      <c r="D100" s="661" t="s">
        <v>4283</v>
      </c>
      <c r="E100" s="661" t="s">
        <v>4282</v>
      </c>
      <c r="F100" s="664">
        <v>0.08</v>
      </c>
      <c r="G100" s="664">
        <v>873.72</v>
      </c>
      <c r="H100" s="664">
        <v>1</v>
      </c>
      <c r="I100" s="664">
        <v>10921.5</v>
      </c>
      <c r="J100" s="664">
        <v>0.34</v>
      </c>
      <c r="K100" s="664">
        <v>3713.33</v>
      </c>
      <c r="L100" s="664">
        <v>4.2500228906285766</v>
      </c>
      <c r="M100" s="664">
        <v>10921.558823529411</v>
      </c>
      <c r="N100" s="664">
        <v>0.06</v>
      </c>
      <c r="O100" s="664">
        <v>531.24</v>
      </c>
      <c r="P100" s="677">
        <v>0.60802087625326195</v>
      </c>
      <c r="Q100" s="665">
        <v>8854</v>
      </c>
    </row>
    <row r="101" spans="1:17" ht="14.4" customHeight="1" x14ac:dyDescent="0.3">
      <c r="A101" s="660" t="s">
        <v>4273</v>
      </c>
      <c r="B101" s="661" t="s">
        <v>4274</v>
      </c>
      <c r="C101" s="661" t="s">
        <v>3527</v>
      </c>
      <c r="D101" s="661" t="s">
        <v>4284</v>
      </c>
      <c r="E101" s="661" t="s">
        <v>4285</v>
      </c>
      <c r="F101" s="664"/>
      <c r="G101" s="664"/>
      <c r="H101" s="664"/>
      <c r="I101" s="664"/>
      <c r="J101" s="664">
        <v>0.15</v>
      </c>
      <c r="K101" s="664">
        <v>56.9</v>
      </c>
      <c r="L101" s="664"/>
      <c r="M101" s="664">
        <v>379.33333333333331</v>
      </c>
      <c r="N101" s="664"/>
      <c r="O101" s="664"/>
      <c r="P101" s="677"/>
      <c r="Q101" s="665"/>
    </row>
    <row r="102" spans="1:17" ht="14.4" customHeight="1" x14ac:dyDescent="0.3">
      <c r="A102" s="660" t="s">
        <v>4273</v>
      </c>
      <c r="B102" s="661" t="s">
        <v>4274</v>
      </c>
      <c r="C102" s="661" t="s">
        <v>3527</v>
      </c>
      <c r="D102" s="661" t="s">
        <v>4286</v>
      </c>
      <c r="E102" s="661" t="s">
        <v>4282</v>
      </c>
      <c r="F102" s="664"/>
      <c r="G102" s="664"/>
      <c r="H102" s="664"/>
      <c r="I102" s="664"/>
      <c r="J102" s="664"/>
      <c r="K102" s="664"/>
      <c r="L102" s="664"/>
      <c r="M102" s="664"/>
      <c r="N102" s="664">
        <v>0.09</v>
      </c>
      <c r="O102" s="664">
        <v>2833.28</v>
      </c>
      <c r="P102" s="677"/>
      <c r="Q102" s="665">
        <v>31480.888888888891</v>
      </c>
    </row>
    <row r="103" spans="1:17" ht="14.4" customHeight="1" x14ac:dyDescent="0.3">
      <c r="A103" s="660" t="s">
        <v>4273</v>
      </c>
      <c r="B103" s="661" t="s">
        <v>4274</v>
      </c>
      <c r="C103" s="661" t="s">
        <v>3566</v>
      </c>
      <c r="D103" s="661" t="s">
        <v>4287</v>
      </c>
      <c r="E103" s="661" t="s">
        <v>4288</v>
      </c>
      <c r="F103" s="664"/>
      <c r="G103" s="664"/>
      <c r="H103" s="664"/>
      <c r="I103" s="664"/>
      <c r="J103" s="664"/>
      <c r="K103" s="664"/>
      <c r="L103" s="664"/>
      <c r="M103" s="664"/>
      <c r="N103" s="664">
        <v>1</v>
      </c>
      <c r="O103" s="664">
        <v>1447.28</v>
      </c>
      <c r="P103" s="677"/>
      <c r="Q103" s="665">
        <v>1447.28</v>
      </c>
    </row>
    <row r="104" spans="1:17" ht="14.4" customHeight="1" x14ac:dyDescent="0.3">
      <c r="A104" s="660" t="s">
        <v>4273</v>
      </c>
      <c r="B104" s="661" t="s">
        <v>4274</v>
      </c>
      <c r="C104" s="661" t="s">
        <v>3566</v>
      </c>
      <c r="D104" s="661" t="s">
        <v>4289</v>
      </c>
      <c r="E104" s="661" t="s">
        <v>4290</v>
      </c>
      <c r="F104" s="664"/>
      <c r="G104" s="664"/>
      <c r="H104" s="664"/>
      <c r="I104" s="664"/>
      <c r="J104" s="664"/>
      <c r="K104" s="664"/>
      <c r="L104" s="664"/>
      <c r="M104" s="664"/>
      <c r="N104" s="664">
        <v>1</v>
      </c>
      <c r="O104" s="664">
        <v>972.32</v>
      </c>
      <c r="P104" s="677"/>
      <c r="Q104" s="665">
        <v>972.32</v>
      </c>
    </row>
    <row r="105" spans="1:17" ht="14.4" customHeight="1" x14ac:dyDescent="0.3">
      <c r="A105" s="660" t="s">
        <v>4273</v>
      </c>
      <c r="B105" s="661" t="s">
        <v>4274</v>
      </c>
      <c r="C105" s="661" t="s">
        <v>3566</v>
      </c>
      <c r="D105" s="661" t="s">
        <v>4291</v>
      </c>
      <c r="E105" s="661" t="s">
        <v>4290</v>
      </c>
      <c r="F105" s="664">
        <v>1</v>
      </c>
      <c r="G105" s="664">
        <v>1707.31</v>
      </c>
      <c r="H105" s="664">
        <v>1</v>
      </c>
      <c r="I105" s="664">
        <v>1707.31</v>
      </c>
      <c r="J105" s="664"/>
      <c r="K105" s="664"/>
      <c r="L105" s="664"/>
      <c r="M105" s="664"/>
      <c r="N105" s="664">
        <v>2</v>
      </c>
      <c r="O105" s="664">
        <v>3414.62</v>
      </c>
      <c r="P105" s="677">
        <v>2</v>
      </c>
      <c r="Q105" s="665">
        <v>1707.31</v>
      </c>
    </row>
    <row r="106" spans="1:17" ht="14.4" customHeight="1" x14ac:dyDescent="0.3">
      <c r="A106" s="660" t="s">
        <v>4273</v>
      </c>
      <c r="B106" s="661" t="s">
        <v>4274</v>
      </c>
      <c r="C106" s="661" t="s">
        <v>3566</v>
      </c>
      <c r="D106" s="661" t="s">
        <v>4292</v>
      </c>
      <c r="E106" s="661" t="s">
        <v>4290</v>
      </c>
      <c r="F106" s="664">
        <v>1</v>
      </c>
      <c r="G106" s="664">
        <v>2066.3000000000002</v>
      </c>
      <c r="H106" s="664">
        <v>1</v>
      </c>
      <c r="I106" s="664">
        <v>2066.3000000000002</v>
      </c>
      <c r="J106" s="664"/>
      <c r="K106" s="664"/>
      <c r="L106" s="664"/>
      <c r="M106" s="664"/>
      <c r="N106" s="664">
        <v>1</v>
      </c>
      <c r="O106" s="664">
        <v>2066.3000000000002</v>
      </c>
      <c r="P106" s="677">
        <v>1</v>
      </c>
      <c r="Q106" s="665">
        <v>2066.3000000000002</v>
      </c>
    </row>
    <row r="107" spans="1:17" ht="14.4" customHeight="1" x14ac:dyDescent="0.3">
      <c r="A107" s="660" t="s">
        <v>4273</v>
      </c>
      <c r="B107" s="661" t="s">
        <v>4274</v>
      </c>
      <c r="C107" s="661" t="s">
        <v>3566</v>
      </c>
      <c r="D107" s="661" t="s">
        <v>4293</v>
      </c>
      <c r="E107" s="661" t="s">
        <v>4294</v>
      </c>
      <c r="F107" s="664">
        <v>3</v>
      </c>
      <c r="G107" s="664">
        <v>3083.28</v>
      </c>
      <c r="H107" s="664">
        <v>1</v>
      </c>
      <c r="I107" s="664">
        <v>1027.76</v>
      </c>
      <c r="J107" s="664"/>
      <c r="K107" s="664"/>
      <c r="L107" s="664"/>
      <c r="M107" s="664"/>
      <c r="N107" s="664">
        <v>2</v>
      </c>
      <c r="O107" s="664">
        <v>2055.52</v>
      </c>
      <c r="P107" s="677">
        <v>0.66666666666666663</v>
      </c>
      <c r="Q107" s="665">
        <v>1027.76</v>
      </c>
    </row>
    <row r="108" spans="1:17" ht="14.4" customHeight="1" x14ac:dyDescent="0.3">
      <c r="A108" s="660" t="s">
        <v>4273</v>
      </c>
      <c r="B108" s="661" t="s">
        <v>4274</v>
      </c>
      <c r="C108" s="661" t="s">
        <v>3566</v>
      </c>
      <c r="D108" s="661" t="s">
        <v>4295</v>
      </c>
      <c r="E108" s="661" t="s">
        <v>4296</v>
      </c>
      <c r="F108" s="664"/>
      <c r="G108" s="664"/>
      <c r="H108" s="664"/>
      <c r="I108" s="664"/>
      <c r="J108" s="664"/>
      <c r="K108" s="664"/>
      <c r="L108" s="664"/>
      <c r="M108" s="664"/>
      <c r="N108" s="664">
        <v>3</v>
      </c>
      <c r="O108" s="664">
        <v>166191.6</v>
      </c>
      <c r="P108" s="677"/>
      <c r="Q108" s="665">
        <v>55397.200000000004</v>
      </c>
    </row>
    <row r="109" spans="1:17" ht="14.4" customHeight="1" x14ac:dyDescent="0.3">
      <c r="A109" s="660" t="s">
        <v>4273</v>
      </c>
      <c r="B109" s="661" t="s">
        <v>4274</v>
      </c>
      <c r="C109" s="661" t="s">
        <v>3566</v>
      </c>
      <c r="D109" s="661" t="s">
        <v>4297</v>
      </c>
      <c r="E109" s="661" t="s">
        <v>4298</v>
      </c>
      <c r="F109" s="664"/>
      <c r="G109" s="664"/>
      <c r="H109" s="664"/>
      <c r="I109" s="664"/>
      <c r="J109" s="664"/>
      <c r="K109" s="664"/>
      <c r="L109" s="664"/>
      <c r="M109" s="664"/>
      <c r="N109" s="664">
        <v>1</v>
      </c>
      <c r="O109" s="664">
        <v>2236.5</v>
      </c>
      <c r="P109" s="677"/>
      <c r="Q109" s="665">
        <v>2236.5</v>
      </c>
    </row>
    <row r="110" spans="1:17" ht="14.4" customHeight="1" x14ac:dyDescent="0.3">
      <c r="A110" s="660" t="s">
        <v>4273</v>
      </c>
      <c r="B110" s="661" t="s">
        <v>4274</v>
      </c>
      <c r="C110" s="661" t="s">
        <v>3566</v>
      </c>
      <c r="D110" s="661" t="s">
        <v>4299</v>
      </c>
      <c r="E110" s="661" t="s">
        <v>4300</v>
      </c>
      <c r="F110" s="664"/>
      <c r="G110" s="664"/>
      <c r="H110" s="664"/>
      <c r="I110" s="664"/>
      <c r="J110" s="664"/>
      <c r="K110" s="664"/>
      <c r="L110" s="664"/>
      <c r="M110" s="664"/>
      <c r="N110" s="664">
        <v>6</v>
      </c>
      <c r="O110" s="664">
        <v>41344.68</v>
      </c>
      <c r="P110" s="677"/>
      <c r="Q110" s="665">
        <v>6890.78</v>
      </c>
    </row>
    <row r="111" spans="1:17" ht="14.4" customHeight="1" x14ac:dyDescent="0.3">
      <c r="A111" s="660" t="s">
        <v>4273</v>
      </c>
      <c r="B111" s="661" t="s">
        <v>4274</v>
      </c>
      <c r="C111" s="661" t="s">
        <v>3566</v>
      </c>
      <c r="D111" s="661" t="s">
        <v>4301</v>
      </c>
      <c r="E111" s="661" t="s">
        <v>4302</v>
      </c>
      <c r="F111" s="664"/>
      <c r="G111" s="664"/>
      <c r="H111" s="664"/>
      <c r="I111" s="664"/>
      <c r="J111" s="664"/>
      <c r="K111" s="664"/>
      <c r="L111" s="664"/>
      <c r="M111" s="664"/>
      <c r="N111" s="664">
        <v>1</v>
      </c>
      <c r="O111" s="664">
        <v>1002.8</v>
      </c>
      <c r="P111" s="677"/>
      <c r="Q111" s="665">
        <v>1002.8</v>
      </c>
    </row>
    <row r="112" spans="1:17" ht="14.4" customHeight="1" x14ac:dyDescent="0.3">
      <c r="A112" s="660" t="s">
        <v>4273</v>
      </c>
      <c r="B112" s="661" t="s">
        <v>4274</v>
      </c>
      <c r="C112" s="661" t="s">
        <v>3566</v>
      </c>
      <c r="D112" s="661" t="s">
        <v>4303</v>
      </c>
      <c r="E112" s="661" t="s">
        <v>4304</v>
      </c>
      <c r="F112" s="664">
        <v>1</v>
      </c>
      <c r="G112" s="664">
        <v>9370.39</v>
      </c>
      <c r="H112" s="664">
        <v>1</v>
      </c>
      <c r="I112" s="664">
        <v>9370.39</v>
      </c>
      <c r="J112" s="664"/>
      <c r="K112" s="664"/>
      <c r="L112" s="664"/>
      <c r="M112" s="664"/>
      <c r="N112" s="664"/>
      <c r="O112" s="664"/>
      <c r="P112" s="677"/>
      <c r="Q112" s="665"/>
    </row>
    <row r="113" spans="1:17" ht="14.4" customHeight="1" x14ac:dyDescent="0.3">
      <c r="A113" s="660" t="s">
        <v>4273</v>
      </c>
      <c r="B113" s="661" t="s">
        <v>4274</v>
      </c>
      <c r="C113" s="661" t="s">
        <v>3566</v>
      </c>
      <c r="D113" s="661" t="s">
        <v>4305</v>
      </c>
      <c r="E113" s="661" t="s">
        <v>4306</v>
      </c>
      <c r="F113" s="664">
        <v>1</v>
      </c>
      <c r="G113" s="664">
        <v>797</v>
      </c>
      <c r="H113" s="664">
        <v>1</v>
      </c>
      <c r="I113" s="664">
        <v>797</v>
      </c>
      <c r="J113" s="664"/>
      <c r="K113" s="664"/>
      <c r="L113" s="664"/>
      <c r="M113" s="664"/>
      <c r="N113" s="664">
        <v>1</v>
      </c>
      <c r="O113" s="664">
        <v>797</v>
      </c>
      <c r="P113" s="677">
        <v>1</v>
      </c>
      <c r="Q113" s="665">
        <v>797</v>
      </c>
    </row>
    <row r="114" spans="1:17" ht="14.4" customHeight="1" x14ac:dyDescent="0.3">
      <c r="A114" s="660" t="s">
        <v>4273</v>
      </c>
      <c r="B114" s="661" t="s">
        <v>4274</v>
      </c>
      <c r="C114" s="661" t="s">
        <v>3566</v>
      </c>
      <c r="D114" s="661" t="s">
        <v>4307</v>
      </c>
      <c r="E114" s="661" t="s">
        <v>4308</v>
      </c>
      <c r="F114" s="664"/>
      <c r="G114" s="664"/>
      <c r="H114" s="664"/>
      <c r="I114" s="664"/>
      <c r="J114" s="664"/>
      <c r="K114" s="664"/>
      <c r="L114" s="664"/>
      <c r="M114" s="664"/>
      <c r="N114" s="664">
        <v>1</v>
      </c>
      <c r="O114" s="664">
        <v>10072.94</v>
      </c>
      <c r="P114" s="677"/>
      <c r="Q114" s="665">
        <v>10072.94</v>
      </c>
    </row>
    <row r="115" spans="1:17" ht="14.4" customHeight="1" x14ac:dyDescent="0.3">
      <c r="A115" s="660" t="s">
        <v>4273</v>
      </c>
      <c r="B115" s="661" t="s">
        <v>4274</v>
      </c>
      <c r="C115" s="661" t="s">
        <v>3566</v>
      </c>
      <c r="D115" s="661" t="s">
        <v>4309</v>
      </c>
      <c r="E115" s="661" t="s">
        <v>4310</v>
      </c>
      <c r="F115" s="664"/>
      <c r="G115" s="664"/>
      <c r="H115" s="664"/>
      <c r="I115" s="664"/>
      <c r="J115" s="664"/>
      <c r="K115" s="664"/>
      <c r="L115" s="664"/>
      <c r="M115" s="664"/>
      <c r="N115" s="664">
        <v>1</v>
      </c>
      <c r="O115" s="664">
        <v>2974.36</v>
      </c>
      <c r="P115" s="677"/>
      <c r="Q115" s="665">
        <v>2974.36</v>
      </c>
    </row>
    <row r="116" spans="1:17" ht="14.4" customHeight="1" x14ac:dyDescent="0.3">
      <c r="A116" s="660" t="s">
        <v>4273</v>
      </c>
      <c r="B116" s="661" t="s">
        <v>4274</v>
      </c>
      <c r="C116" s="661" t="s">
        <v>3566</v>
      </c>
      <c r="D116" s="661" t="s">
        <v>4311</v>
      </c>
      <c r="E116" s="661" t="s">
        <v>4312</v>
      </c>
      <c r="F116" s="664"/>
      <c r="G116" s="664"/>
      <c r="H116" s="664"/>
      <c r="I116" s="664"/>
      <c r="J116" s="664"/>
      <c r="K116" s="664"/>
      <c r="L116" s="664"/>
      <c r="M116" s="664"/>
      <c r="N116" s="664">
        <v>5</v>
      </c>
      <c r="O116" s="664">
        <v>26296.149999999998</v>
      </c>
      <c r="P116" s="677"/>
      <c r="Q116" s="665">
        <v>5259.23</v>
      </c>
    </row>
    <row r="117" spans="1:17" ht="14.4" customHeight="1" x14ac:dyDescent="0.3">
      <c r="A117" s="660" t="s">
        <v>4273</v>
      </c>
      <c r="B117" s="661" t="s">
        <v>4274</v>
      </c>
      <c r="C117" s="661" t="s">
        <v>3566</v>
      </c>
      <c r="D117" s="661" t="s">
        <v>4313</v>
      </c>
      <c r="E117" s="661" t="s">
        <v>4314</v>
      </c>
      <c r="F117" s="664">
        <v>1</v>
      </c>
      <c r="G117" s="664">
        <v>605.65</v>
      </c>
      <c r="H117" s="664">
        <v>1</v>
      </c>
      <c r="I117" s="664">
        <v>605.65</v>
      </c>
      <c r="J117" s="664"/>
      <c r="K117" s="664"/>
      <c r="L117" s="664"/>
      <c r="M117" s="664"/>
      <c r="N117" s="664"/>
      <c r="O117" s="664"/>
      <c r="P117" s="677"/>
      <c r="Q117" s="665"/>
    </row>
    <row r="118" spans="1:17" ht="14.4" customHeight="1" x14ac:dyDescent="0.3">
      <c r="A118" s="660" t="s">
        <v>4273</v>
      </c>
      <c r="B118" s="661" t="s">
        <v>4274</v>
      </c>
      <c r="C118" s="661" t="s">
        <v>3566</v>
      </c>
      <c r="D118" s="661" t="s">
        <v>4315</v>
      </c>
      <c r="E118" s="661" t="s">
        <v>4316</v>
      </c>
      <c r="F118" s="664">
        <v>1</v>
      </c>
      <c r="G118" s="664">
        <v>831.16</v>
      </c>
      <c r="H118" s="664">
        <v>1</v>
      </c>
      <c r="I118" s="664">
        <v>831.16</v>
      </c>
      <c r="J118" s="664"/>
      <c r="K118" s="664"/>
      <c r="L118" s="664"/>
      <c r="M118" s="664"/>
      <c r="N118" s="664">
        <v>1</v>
      </c>
      <c r="O118" s="664">
        <v>831.16</v>
      </c>
      <c r="P118" s="677">
        <v>1</v>
      </c>
      <c r="Q118" s="665">
        <v>831.16</v>
      </c>
    </row>
    <row r="119" spans="1:17" ht="14.4" customHeight="1" x14ac:dyDescent="0.3">
      <c r="A119" s="660" t="s">
        <v>4273</v>
      </c>
      <c r="B119" s="661" t="s">
        <v>4274</v>
      </c>
      <c r="C119" s="661" t="s">
        <v>3566</v>
      </c>
      <c r="D119" s="661" t="s">
        <v>4317</v>
      </c>
      <c r="E119" s="661" t="s">
        <v>4316</v>
      </c>
      <c r="F119" s="664"/>
      <c r="G119" s="664"/>
      <c r="H119" s="664"/>
      <c r="I119" s="664"/>
      <c r="J119" s="664"/>
      <c r="K119" s="664"/>
      <c r="L119" s="664"/>
      <c r="M119" s="664"/>
      <c r="N119" s="664">
        <v>2</v>
      </c>
      <c r="O119" s="664">
        <v>1776.12</v>
      </c>
      <c r="P119" s="677"/>
      <c r="Q119" s="665">
        <v>888.06</v>
      </c>
    </row>
    <row r="120" spans="1:17" ht="14.4" customHeight="1" x14ac:dyDescent="0.3">
      <c r="A120" s="660" t="s">
        <v>4273</v>
      </c>
      <c r="B120" s="661" t="s">
        <v>4274</v>
      </c>
      <c r="C120" s="661" t="s">
        <v>3566</v>
      </c>
      <c r="D120" s="661" t="s">
        <v>4318</v>
      </c>
      <c r="E120" s="661" t="s">
        <v>4319</v>
      </c>
      <c r="F120" s="664">
        <v>1</v>
      </c>
      <c r="G120" s="664">
        <v>888.06</v>
      </c>
      <c r="H120" s="664">
        <v>1</v>
      </c>
      <c r="I120" s="664">
        <v>888.06</v>
      </c>
      <c r="J120" s="664"/>
      <c r="K120" s="664"/>
      <c r="L120" s="664"/>
      <c r="M120" s="664"/>
      <c r="N120" s="664">
        <v>1</v>
      </c>
      <c r="O120" s="664">
        <v>888.06</v>
      </c>
      <c r="P120" s="677">
        <v>1</v>
      </c>
      <c r="Q120" s="665">
        <v>888.06</v>
      </c>
    </row>
    <row r="121" spans="1:17" ht="14.4" customHeight="1" x14ac:dyDescent="0.3">
      <c r="A121" s="660" t="s">
        <v>4273</v>
      </c>
      <c r="B121" s="661" t="s">
        <v>4274</v>
      </c>
      <c r="C121" s="661" t="s">
        <v>3566</v>
      </c>
      <c r="D121" s="661" t="s">
        <v>4320</v>
      </c>
      <c r="E121" s="661" t="s">
        <v>4321</v>
      </c>
      <c r="F121" s="664"/>
      <c r="G121" s="664"/>
      <c r="H121" s="664"/>
      <c r="I121" s="664"/>
      <c r="J121" s="664"/>
      <c r="K121" s="664"/>
      <c r="L121" s="664"/>
      <c r="M121" s="664"/>
      <c r="N121" s="664">
        <v>2</v>
      </c>
      <c r="O121" s="664">
        <v>2624.28</v>
      </c>
      <c r="P121" s="677"/>
      <c r="Q121" s="665">
        <v>1312.14</v>
      </c>
    </row>
    <row r="122" spans="1:17" ht="14.4" customHeight="1" x14ac:dyDescent="0.3">
      <c r="A122" s="660" t="s">
        <v>4273</v>
      </c>
      <c r="B122" s="661" t="s">
        <v>4274</v>
      </c>
      <c r="C122" s="661" t="s">
        <v>3566</v>
      </c>
      <c r="D122" s="661" t="s">
        <v>4322</v>
      </c>
      <c r="E122" s="661" t="s">
        <v>4323</v>
      </c>
      <c r="F122" s="664">
        <v>1</v>
      </c>
      <c r="G122" s="664">
        <v>34453.9</v>
      </c>
      <c r="H122" s="664">
        <v>1</v>
      </c>
      <c r="I122" s="664">
        <v>34453.9</v>
      </c>
      <c r="J122" s="664"/>
      <c r="K122" s="664"/>
      <c r="L122" s="664"/>
      <c r="M122" s="664"/>
      <c r="N122" s="664"/>
      <c r="O122" s="664"/>
      <c r="P122" s="677"/>
      <c r="Q122" s="665"/>
    </row>
    <row r="123" spans="1:17" ht="14.4" customHeight="1" x14ac:dyDescent="0.3">
      <c r="A123" s="660" t="s">
        <v>4273</v>
      </c>
      <c r="B123" s="661" t="s">
        <v>4274</v>
      </c>
      <c r="C123" s="661" t="s">
        <v>3566</v>
      </c>
      <c r="D123" s="661" t="s">
        <v>4324</v>
      </c>
      <c r="E123" s="661" t="s">
        <v>4325</v>
      </c>
      <c r="F123" s="664">
        <v>1</v>
      </c>
      <c r="G123" s="664">
        <v>1305.82</v>
      </c>
      <c r="H123" s="664">
        <v>1</v>
      </c>
      <c r="I123" s="664">
        <v>1305.82</v>
      </c>
      <c r="J123" s="664"/>
      <c r="K123" s="664"/>
      <c r="L123" s="664"/>
      <c r="M123" s="664"/>
      <c r="N123" s="664">
        <v>2</v>
      </c>
      <c r="O123" s="664">
        <v>2292.66</v>
      </c>
      <c r="P123" s="677">
        <v>1.7557243724249896</v>
      </c>
      <c r="Q123" s="665">
        <v>1146.33</v>
      </c>
    </row>
    <row r="124" spans="1:17" ht="14.4" customHeight="1" x14ac:dyDescent="0.3">
      <c r="A124" s="660" t="s">
        <v>4273</v>
      </c>
      <c r="B124" s="661" t="s">
        <v>4274</v>
      </c>
      <c r="C124" s="661" t="s">
        <v>3566</v>
      </c>
      <c r="D124" s="661" t="s">
        <v>4326</v>
      </c>
      <c r="E124" s="661" t="s">
        <v>4327</v>
      </c>
      <c r="F124" s="664">
        <v>1</v>
      </c>
      <c r="G124" s="664">
        <v>359.1</v>
      </c>
      <c r="H124" s="664">
        <v>1</v>
      </c>
      <c r="I124" s="664">
        <v>359.1</v>
      </c>
      <c r="J124" s="664"/>
      <c r="K124" s="664"/>
      <c r="L124" s="664"/>
      <c r="M124" s="664"/>
      <c r="N124" s="664">
        <v>4</v>
      </c>
      <c r="O124" s="664">
        <v>1436.4</v>
      </c>
      <c r="P124" s="677">
        <v>4</v>
      </c>
      <c r="Q124" s="665">
        <v>359.1</v>
      </c>
    </row>
    <row r="125" spans="1:17" ht="14.4" customHeight="1" x14ac:dyDescent="0.3">
      <c r="A125" s="660" t="s">
        <v>4273</v>
      </c>
      <c r="B125" s="661" t="s">
        <v>4274</v>
      </c>
      <c r="C125" s="661" t="s">
        <v>3566</v>
      </c>
      <c r="D125" s="661" t="s">
        <v>4328</v>
      </c>
      <c r="E125" s="661" t="s">
        <v>4329</v>
      </c>
      <c r="F125" s="664"/>
      <c r="G125" s="664"/>
      <c r="H125" s="664"/>
      <c r="I125" s="664"/>
      <c r="J125" s="664"/>
      <c r="K125" s="664"/>
      <c r="L125" s="664"/>
      <c r="M125" s="664"/>
      <c r="N125" s="664">
        <v>1</v>
      </c>
      <c r="O125" s="664">
        <v>32179.09</v>
      </c>
      <c r="P125" s="677"/>
      <c r="Q125" s="665">
        <v>32179.09</v>
      </c>
    </row>
    <row r="126" spans="1:17" ht="14.4" customHeight="1" x14ac:dyDescent="0.3">
      <c r="A126" s="660" t="s">
        <v>4273</v>
      </c>
      <c r="B126" s="661" t="s">
        <v>4274</v>
      </c>
      <c r="C126" s="661" t="s">
        <v>3566</v>
      </c>
      <c r="D126" s="661" t="s">
        <v>4330</v>
      </c>
      <c r="E126" s="661" t="s">
        <v>4331</v>
      </c>
      <c r="F126" s="664"/>
      <c r="G126" s="664"/>
      <c r="H126" s="664"/>
      <c r="I126" s="664"/>
      <c r="J126" s="664"/>
      <c r="K126" s="664"/>
      <c r="L126" s="664"/>
      <c r="M126" s="664"/>
      <c r="N126" s="664">
        <v>1</v>
      </c>
      <c r="O126" s="664">
        <v>6587.13</v>
      </c>
      <c r="P126" s="677"/>
      <c r="Q126" s="665">
        <v>6587.13</v>
      </c>
    </row>
    <row r="127" spans="1:17" ht="14.4" customHeight="1" x14ac:dyDescent="0.3">
      <c r="A127" s="660" t="s">
        <v>4273</v>
      </c>
      <c r="B127" s="661" t="s">
        <v>4274</v>
      </c>
      <c r="C127" s="661" t="s">
        <v>3566</v>
      </c>
      <c r="D127" s="661" t="s">
        <v>4332</v>
      </c>
      <c r="E127" s="661" t="s">
        <v>4333</v>
      </c>
      <c r="F127" s="664"/>
      <c r="G127" s="664"/>
      <c r="H127" s="664"/>
      <c r="I127" s="664"/>
      <c r="J127" s="664"/>
      <c r="K127" s="664"/>
      <c r="L127" s="664"/>
      <c r="M127" s="664"/>
      <c r="N127" s="664">
        <v>2</v>
      </c>
      <c r="O127" s="664">
        <v>63259.64</v>
      </c>
      <c r="P127" s="677"/>
      <c r="Q127" s="665">
        <v>31629.82</v>
      </c>
    </row>
    <row r="128" spans="1:17" ht="14.4" customHeight="1" x14ac:dyDescent="0.3">
      <c r="A128" s="660" t="s">
        <v>4273</v>
      </c>
      <c r="B128" s="661" t="s">
        <v>4274</v>
      </c>
      <c r="C128" s="661" t="s">
        <v>3566</v>
      </c>
      <c r="D128" s="661" t="s">
        <v>4334</v>
      </c>
      <c r="E128" s="661" t="s">
        <v>4335</v>
      </c>
      <c r="F128" s="664"/>
      <c r="G128" s="664"/>
      <c r="H128" s="664"/>
      <c r="I128" s="664"/>
      <c r="J128" s="664"/>
      <c r="K128" s="664"/>
      <c r="L128" s="664"/>
      <c r="M128" s="664"/>
      <c r="N128" s="664">
        <v>2</v>
      </c>
      <c r="O128" s="664">
        <v>148822</v>
      </c>
      <c r="P128" s="677"/>
      <c r="Q128" s="665">
        <v>74411</v>
      </c>
    </row>
    <row r="129" spans="1:17" ht="14.4" customHeight="1" x14ac:dyDescent="0.3">
      <c r="A129" s="660" t="s">
        <v>4273</v>
      </c>
      <c r="B129" s="661" t="s">
        <v>4274</v>
      </c>
      <c r="C129" s="661" t="s">
        <v>3566</v>
      </c>
      <c r="D129" s="661" t="s">
        <v>4336</v>
      </c>
      <c r="E129" s="661" t="s">
        <v>4337</v>
      </c>
      <c r="F129" s="664"/>
      <c r="G129" s="664"/>
      <c r="H129" s="664"/>
      <c r="I129" s="664"/>
      <c r="J129" s="664"/>
      <c r="K129" s="664"/>
      <c r="L129" s="664"/>
      <c r="M129" s="664"/>
      <c r="N129" s="664">
        <v>1</v>
      </c>
      <c r="O129" s="664">
        <v>166546.75</v>
      </c>
      <c r="P129" s="677"/>
      <c r="Q129" s="665">
        <v>166546.75</v>
      </c>
    </row>
    <row r="130" spans="1:17" ht="14.4" customHeight="1" x14ac:dyDescent="0.3">
      <c r="A130" s="660" t="s">
        <v>4273</v>
      </c>
      <c r="B130" s="661" t="s">
        <v>4274</v>
      </c>
      <c r="C130" s="661" t="s">
        <v>3566</v>
      </c>
      <c r="D130" s="661" t="s">
        <v>4338</v>
      </c>
      <c r="E130" s="661" t="s">
        <v>4339</v>
      </c>
      <c r="F130" s="664"/>
      <c r="G130" s="664"/>
      <c r="H130" s="664"/>
      <c r="I130" s="664"/>
      <c r="J130" s="664"/>
      <c r="K130" s="664"/>
      <c r="L130" s="664"/>
      <c r="M130" s="664"/>
      <c r="N130" s="664">
        <v>1</v>
      </c>
      <c r="O130" s="664">
        <v>11608.31</v>
      </c>
      <c r="P130" s="677"/>
      <c r="Q130" s="665">
        <v>11608.31</v>
      </c>
    </row>
    <row r="131" spans="1:17" ht="14.4" customHeight="1" x14ac:dyDescent="0.3">
      <c r="A131" s="660" t="s">
        <v>4273</v>
      </c>
      <c r="B131" s="661" t="s">
        <v>4274</v>
      </c>
      <c r="C131" s="661" t="s">
        <v>3566</v>
      </c>
      <c r="D131" s="661" t="s">
        <v>4340</v>
      </c>
      <c r="E131" s="661" t="s">
        <v>4341</v>
      </c>
      <c r="F131" s="664"/>
      <c r="G131" s="664"/>
      <c r="H131" s="664"/>
      <c r="I131" s="664"/>
      <c r="J131" s="664"/>
      <c r="K131" s="664"/>
      <c r="L131" s="664"/>
      <c r="M131" s="664"/>
      <c r="N131" s="664">
        <v>2</v>
      </c>
      <c r="O131" s="664">
        <v>443249.62</v>
      </c>
      <c r="P131" s="677"/>
      <c r="Q131" s="665">
        <v>221624.81</v>
      </c>
    </row>
    <row r="132" spans="1:17" ht="14.4" customHeight="1" x14ac:dyDescent="0.3">
      <c r="A132" s="660" t="s">
        <v>4273</v>
      </c>
      <c r="B132" s="661" t="s">
        <v>4274</v>
      </c>
      <c r="C132" s="661" t="s">
        <v>3566</v>
      </c>
      <c r="D132" s="661" t="s">
        <v>4342</v>
      </c>
      <c r="E132" s="661" t="s">
        <v>4290</v>
      </c>
      <c r="F132" s="664"/>
      <c r="G132" s="664"/>
      <c r="H132" s="664"/>
      <c r="I132" s="664"/>
      <c r="J132" s="664"/>
      <c r="K132" s="664"/>
      <c r="L132" s="664"/>
      <c r="M132" s="664"/>
      <c r="N132" s="664">
        <v>1</v>
      </c>
      <c r="O132" s="664">
        <v>3567.58</v>
      </c>
      <c r="P132" s="677"/>
      <c r="Q132" s="665">
        <v>3567.58</v>
      </c>
    </row>
    <row r="133" spans="1:17" ht="14.4" customHeight="1" x14ac:dyDescent="0.3">
      <c r="A133" s="660" t="s">
        <v>4273</v>
      </c>
      <c r="B133" s="661" t="s">
        <v>4274</v>
      </c>
      <c r="C133" s="661" t="s">
        <v>3411</v>
      </c>
      <c r="D133" s="661" t="s">
        <v>4343</v>
      </c>
      <c r="E133" s="661" t="s">
        <v>4344</v>
      </c>
      <c r="F133" s="664">
        <v>2</v>
      </c>
      <c r="G133" s="664">
        <v>410</v>
      </c>
      <c r="H133" s="664">
        <v>1</v>
      </c>
      <c r="I133" s="664">
        <v>205</v>
      </c>
      <c r="J133" s="664">
        <v>2</v>
      </c>
      <c r="K133" s="664">
        <v>410</v>
      </c>
      <c r="L133" s="664">
        <v>1</v>
      </c>
      <c r="M133" s="664">
        <v>205</v>
      </c>
      <c r="N133" s="664">
        <v>3</v>
      </c>
      <c r="O133" s="664">
        <v>621</v>
      </c>
      <c r="P133" s="677">
        <v>1.5146341463414634</v>
      </c>
      <c r="Q133" s="665">
        <v>207</v>
      </c>
    </row>
    <row r="134" spans="1:17" ht="14.4" customHeight="1" x14ac:dyDescent="0.3">
      <c r="A134" s="660" t="s">
        <v>4273</v>
      </c>
      <c r="B134" s="661" t="s">
        <v>4274</v>
      </c>
      <c r="C134" s="661" t="s">
        <v>3411</v>
      </c>
      <c r="D134" s="661" t="s">
        <v>4345</v>
      </c>
      <c r="E134" s="661" t="s">
        <v>4346</v>
      </c>
      <c r="F134" s="664"/>
      <c r="G134" s="664"/>
      <c r="H134" s="664"/>
      <c r="I134" s="664"/>
      <c r="J134" s="664">
        <v>3</v>
      </c>
      <c r="K134" s="664">
        <v>450</v>
      </c>
      <c r="L134" s="664"/>
      <c r="M134" s="664">
        <v>150</v>
      </c>
      <c r="N134" s="664"/>
      <c r="O134" s="664"/>
      <c r="P134" s="677"/>
      <c r="Q134" s="665"/>
    </row>
    <row r="135" spans="1:17" ht="14.4" customHeight="1" x14ac:dyDescent="0.3">
      <c r="A135" s="660" t="s">
        <v>4273</v>
      </c>
      <c r="B135" s="661" t="s">
        <v>4274</v>
      </c>
      <c r="C135" s="661" t="s">
        <v>3411</v>
      </c>
      <c r="D135" s="661" t="s">
        <v>4347</v>
      </c>
      <c r="E135" s="661" t="s">
        <v>4348</v>
      </c>
      <c r="F135" s="664">
        <v>2</v>
      </c>
      <c r="G135" s="664">
        <v>248</v>
      </c>
      <c r="H135" s="664">
        <v>1</v>
      </c>
      <c r="I135" s="664">
        <v>124</v>
      </c>
      <c r="J135" s="664"/>
      <c r="K135" s="664"/>
      <c r="L135" s="664"/>
      <c r="M135" s="664"/>
      <c r="N135" s="664">
        <v>2</v>
      </c>
      <c r="O135" s="664">
        <v>250</v>
      </c>
      <c r="P135" s="677">
        <v>1.0080645161290323</v>
      </c>
      <c r="Q135" s="665">
        <v>125</v>
      </c>
    </row>
    <row r="136" spans="1:17" ht="14.4" customHeight="1" x14ac:dyDescent="0.3">
      <c r="A136" s="660" t="s">
        <v>4273</v>
      </c>
      <c r="B136" s="661" t="s">
        <v>4274</v>
      </c>
      <c r="C136" s="661" t="s">
        <v>3411</v>
      </c>
      <c r="D136" s="661" t="s">
        <v>4349</v>
      </c>
      <c r="E136" s="661" t="s">
        <v>4350</v>
      </c>
      <c r="F136" s="664">
        <v>1</v>
      </c>
      <c r="G136" s="664">
        <v>217</v>
      </c>
      <c r="H136" s="664">
        <v>1</v>
      </c>
      <c r="I136" s="664">
        <v>217</v>
      </c>
      <c r="J136" s="664"/>
      <c r="K136" s="664"/>
      <c r="L136" s="664"/>
      <c r="M136" s="664"/>
      <c r="N136" s="664">
        <v>1</v>
      </c>
      <c r="O136" s="664">
        <v>219</v>
      </c>
      <c r="P136" s="677">
        <v>1.0092165898617511</v>
      </c>
      <c r="Q136" s="665">
        <v>219</v>
      </c>
    </row>
    <row r="137" spans="1:17" ht="14.4" customHeight="1" x14ac:dyDescent="0.3">
      <c r="A137" s="660" t="s">
        <v>4273</v>
      </c>
      <c r="B137" s="661" t="s">
        <v>4274</v>
      </c>
      <c r="C137" s="661" t="s">
        <v>3411</v>
      </c>
      <c r="D137" s="661" t="s">
        <v>4351</v>
      </c>
      <c r="E137" s="661" t="s">
        <v>4352</v>
      </c>
      <c r="F137" s="664">
        <v>2</v>
      </c>
      <c r="G137" s="664">
        <v>438</v>
      </c>
      <c r="H137" s="664">
        <v>1</v>
      </c>
      <c r="I137" s="664">
        <v>219</v>
      </c>
      <c r="J137" s="664">
        <v>1</v>
      </c>
      <c r="K137" s="664">
        <v>219</v>
      </c>
      <c r="L137" s="664">
        <v>0.5</v>
      </c>
      <c r="M137" s="664">
        <v>219</v>
      </c>
      <c r="N137" s="664"/>
      <c r="O137" s="664"/>
      <c r="P137" s="677"/>
      <c r="Q137" s="665"/>
    </row>
    <row r="138" spans="1:17" ht="14.4" customHeight="1" x14ac:dyDescent="0.3">
      <c r="A138" s="660" t="s">
        <v>4273</v>
      </c>
      <c r="B138" s="661" t="s">
        <v>4274</v>
      </c>
      <c r="C138" s="661" t="s">
        <v>3411</v>
      </c>
      <c r="D138" s="661" t="s">
        <v>4353</v>
      </c>
      <c r="E138" s="661" t="s">
        <v>4354</v>
      </c>
      <c r="F138" s="664"/>
      <c r="G138" s="664"/>
      <c r="H138" s="664"/>
      <c r="I138" s="664"/>
      <c r="J138" s="664"/>
      <c r="K138" s="664"/>
      <c r="L138" s="664"/>
      <c r="M138" s="664"/>
      <c r="N138" s="664">
        <v>1</v>
      </c>
      <c r="O138" s="664">
        <v>4139</v>
      </c>
      <c r="P138" s="677"/>
      <c r="Q138" s="665">
        <v>4139</v>
      </c>
    </row>
    <row r="139" spans="1:17" ht="14.4" customHeight="1" x14ac:dyDescent="0.3">
      <c r="A139" s="660" t="s">
        <v>4273</v>
      </c>
      <c r="B139" s="661" t="s">
        <v>4274</v>
      </c>
      <c r="C139" s="661" t="s">
        <v>3411</v>
      </c>
      <c r="D139" s="661" t="s">
        <v>4355</v>
      </c>
      <c r="E139" s="661" t="s">
        <v>4356</v>
      </c>
      <c r="F139" s="664"/>
      <c r="G139" s="664"/>
      <c r="H139" s="664"/>
      <c r="I139" s="664"/>
      <c r="J139" s="664"/>
      <c r="K139" s="664"/>
      <c r="L139" s="664"/>
      <c r="M139" s="664"/>
      <c r="N139" s="664">
        <v>1</v>
      </c>
      <c r="O139" s="664">
        <v>15072</v>
      </c>
      <c r="P139" s="677"/>
      <c r="Q139" s="665">
        <v>15072</v>
      </c>
    </row>
    <row r="140" spans="1:17" ht="14.4" customHeight="1" x14ac:dyDescent="0.3">
      <c r="A140" s="660" t="s">
        <v>4273</v>
      </c>
      <c r="B140" s="661" t="s">
        <v>4274</v>
      </c>
      <c r="C140" s="661" t="s">
        <v>3411</v>
      </c>
      <c r="D140" s="661" t="s">
        <v>4357</v>
      </c>
      <c r="E140" s="661" t="s">
        <v>4358</v>
      </c>
      <c r="F140" s="664">
        <v>2</v>
      </c>
      <c r="G140" s="664">
        <v>7630</v>
      </c>
      <c r="H140" s="664">
        <v>1</v>
      </c>
      <c r="I140" s="664">
        <v>3815</v>
      </c>
      <c r="J140" s="664"/>
      <c r="K140" s="664"/>
      <c r="L140" s="664"/>
      <c r="M140" s="664"/>
      <c r="N140" s="664">
        <v>6</v>
      </c>
      <c r="O140" s="664">
        <v>22944</v>
      </c>
      <c r="P140" s="677">
        <v>3.0070773263433814</v>
      </c>
      <c r="Q140" s="665">
        <v>3824</v>
      </c>
    </row>
    <row r="141" spans="1:17" ht="14.4" customHeight="1" x14ac:dyDescent="0.3">
      <c r="A141" s="660" t="s">
        <v>4273</v>
      </c>
      <c r="B141" s="661" t="s">
        <v>4274</v>
      </c>
      <c r="C141" s="661" t="s">
        <v>3411</v>
      </c>
      <c r="D141" s="661" t="s">
        <v>4359</v>
      </c>
      <c r="E141" s="661" t="s">
        <v>4360</v>
      </c>
      <c r="F141" s="664">
        <v>2</v>
      </c>
      <c r="G141" s="664">
        <v>15670</v>
      </c>
      <c r="H141" s="664">
        <v>1</v>
      </c>
      <c r="I141" s="664">
        <v>7835</v>
      </c>
      <c r="J141" s="664"/>
      <c r="K141" s="664"/>
      <c r="L141" s="664"/>
      <c r="M141" s="664"/>
      <c r="N141" s="664">
        <v>6</v>
      </c>
      <c r="O141" s="664">
        <v>47118</v>
      </c>
      <c r="P141" s="677">
        <v>3.0068921506062538</v>
      </c>
      <c r="Q141" s="665">
        <v>7853</v>
      </c>
    </row>
    <row r="142" spans="1:17" ht="14.4" customHeight="1" x14ac:dyDescent="0.3">
      <c r="A142" s="660" t="s">
        <v>4273</v>
      </c>
      <c r="B142" s="661" t="s">
        <v>4274</v>
      </c>
      <c r="C142" s="661" t="s">
        <v>3411</v>
      </c>
      <c r="D142" s="661" t="s">
        <v>4361</v>
      </c>
      <c r="E142" s="661" t="s">
        <v>4362</v>
      </c>
      <c r="F142" s="664">
        <v>1</v>
      </c>
      <c r="G142" s="664">
        <v>1277</v>
      </c>
      <c r="H142" s="664">
        <v>1</v>
      </c>
      <c r="I142" s="664">
        <v>1277</v>
      </c>
      <c r="J142" s="664"/>
      <c r="K142" s="664"/>
      <c r="L142" s="664"/>
      <c r="M142" s="664"/>
      <c r="N142" s="664"/>
      <c r="O142" s="664"/>
      <c r="P142" s="677"/>
      <c r="Q142" s="665"/>
    </row>
    <row r="143" spans="1:17" ht="14.4" customHeight="1" x14ac:dyDescent="0.3">
      <c r="A143" s="660" t="s">
        <v>4273</v>
      </c>
      <c r="B143" s="661" t="s">
        <v>4274</v>
      </c>
      <c r="C143" s="661" t="s">
        <v>3411</v>
      </c>
      <c r="D143" s="661" t="s">
        <v>4363</v>
      </c>
      <c r="E143" s="661" t="s">
        <v>4364</v>
      </c>
      <c r="F143" s="664">
        <v>1</v>
      </c>
      <c r="G143" s="664">
        <v>1164</v>
      </c>
      <c r="H143" s="664">
        <v>1</v>
      </c>
      <c r="I143" s="664">
        <v>1164</v>
      </c>
      <c r="J143" s="664"/>
      <c r="K143" s="664"/>
      <c r="L143" s="664"/>
      <c r="M143" s="664"/>
      <c r="N143" s="664"/>
      <c r="O143" s="664"/>
      <c r="P143" s="677"/>
      <c r="Q143" s="665"/>
    </row>
    <row r="144" spans="1:17" ht="14.4" customHeight="1" x14ac:dyDescent="0.3">
      <c r="A144" s="660" t="s">
        <v>4273</v>
      </c>
      <c r="B144" s="661" t="s">
        <v>4274</v>
      </c>
      <c r="C144" s="661" t="s">
        <v>3411</v>
      </c>
      <c r="D144" s="661" t="s">
        <v>4365</v>
      </c>
      <c r="E144" s="661" t="s">
        <v>4366</v>
      </c>
      <c r="F144" s="664">
        <v>1</v>
      </c>
      <c r="G144" s="664">
        <v>5068</v>
      </c>
      <c r="H144" s="664">
        <v>1</v>
      </c>
      <c r="I144" s="664">
        <v>5068</v>
      </c>
      <c r="J144" s="664">
        <v>2</v>
      </c>
      <c r="K144" s="664">
        <v>10136</v>
      </c>
      <c r="L144" s="664">
        <v>2</v>
      </c>
      <c r="M144" s="664">
        <v>5068</v>
      </c>
      <c r="N144" s="664">
        <v>1</v>
      </c>
      <c r="O144" s="664">
        <v>5076</v>
      </c>
      <c r="P144" s="677">
        <v>1.0015785319652724</v>
      </c>
      <c r="Q144" s="665">
        <v>5076</v>
      </c>
    </row>
    <row r="145" spans="1:17" ht="14.4" customHeight="1" x14ac:dyDescent="0.3">
      <c r="A145" s="660" t="s">
        <v>4273</v>
      </c>
      <c r="B145" s="661" t="s">
        <v>4274</v>
      </c>
      <c r="C145" s="661" t="s">
        <v>3411</v>
      </c>
      <c r="D145" s="661" t="s">
        <v>4367</v>
      </c>
      <c r="E145" s="661" t="s">
        <v>4368</v>
      </c>
      <c r="F145" s="664">
        <v>3</v>
      </c>
      <c r="G145" s="664">
        <v>23019</v>
      </c>
      <c r="H145" s="664">
        <v>1</v>
      </c>
      <c r="I145" s="664">
        <v>7673</v>
      </c>
      <c r="J145" s="664"/>
      <c r="K145" s="664"/>
      <c r="L145" s="664"/>
      <c r="M145" s="664"/>
      <c r="N145" s="664"/>
      <c r="O145" s="664"/>
      <c r="P145" s="677"/>
      <c r="Q145" s="665"/>
    </row>
    <row r="146" spans="1:17" ht="14.4" customHeight="1" x14ac:dyDescent="0.3">
      <c r="A146" s="660" t="s">
        <v>4273</v>
      </c>
      <c r="B146" s="661" t="s">
        <v>4274</v>
      </c>
      <c r="C146" s="661" t="s">
        <v>3411</v>
      </c>
      <c r="D146" s="661" t="s">
        <v>4369</v>
      </c>
      <c r="E146" s="661" t="s">
        <v>4370</v>
      </c>
      <c r="F146" s="664">
        <v>410</v>
      </c>
      <c r="G146" s="664">
        <v>70930</v>
      </c>
      <c r="H146" s="664">
        <v>1</v>
      </c>
      <c r="I146" s="664">
        <v>173</v>
      </c>
      <c r="J146" s="664">
        <v>489</v>
      </c>
      <c r="K146" s="664">
        <v>84597</v>
      </c>
      <c r="L146" s="664">
        <v>1.1926829268292682</v>
      </c>
      <c r="M146" s="664">
        <v>173</v>
      </c>
      <c r="N146" s="664">
        <v>482</v>
      </c>
      <c r="O146" s="664">
        <v>84350</v>
      </c>
      <c r="P146" s="677">
        <v>1.1892006203299028</v>
      </c>
      <c r="Q146" s="665">
        <v>175</v>
      </c>
    </row>
    <row r="147" spans="1:17" ht="14.4" customHeight="1" x14ac:dyDescent="0.3">
      <c r="A147" s="660" t="s">
        <v>4273</v>
      </c>
      <c r="B147" s="661" t="s">
        <v>4274</v>
      </c>
      <c r="C147" s="661" t="s">
        <v>3411</v>
      </c>
      <c r="D147" s="661" t="s">
        <v>4371</v>
      </c>
      <c r="E147" s="661" t="s">
        <v>4372</v>
      </c>
      <c r="F147" s="664">
        <v>4</v>
      </c>
      <c r="G147" s="664">
        <v>7984</v>
      </c>
      <c r="H147" s="664">
        <v>1</v>
      </c>
      <c r="I147" s="664">
        <v>1996</v>
      </c>
      <c r="J147" s="664">
        <v>11</v>
      </c>
      <c r="K147" s="664">
        <v>21956</v>
      </c>
      <c r="L147" s="664">
        <v>2.75</v>
      </c>
      <c r="M147" s="664">
        <v>1996</v>
      </c>
      <c r="N147" s="664">
        <v>7</v>
      </c>
      <c r="O147" s="664">
        <v>14007</v>
      </c>
      <c r="P147" s="677">
        <v>1.7543837675350702</v>
      </c>
      <c r="Q147" s="665">
        <v>2001</v>
      </c>
    </row>
    <row r="148" spans="1:17" ht="14.4" customHeight="1" x14ac:dyDescent="0.3">
      <c r="A148" s="660" t="s">
        <v>4273</v>
      </c>
      <c r="B148" s="661" t="s">
        <v>4274</v>
      </c>
      <c r="C148" s="661" t="s">
        <v>3411</v>
      </c>
      <c r="D148" s="661" t="s">
        <v>4373</v>
      </c>
      <c r="E148" s="661" t="s">
        <v>4374</v>
      </c>
      <c r="F148" s="664">
        <v>1</v>
      </c>
      <c r="G148" s="664">
        <v>2692</v>
      </c>
      <c r="H148" s="664">
        <v>1</v>
      </c>
      <c r="I148" s="664">
        <v>2692</v>
      </c>
      <c r="J148" s="664">
        <v>2</v>
      </c>
      <c r="K148" s="664">
        <v>5384</v>
      </c>
      <c r="L148" s="664">
        <v>2</v>
      </c>
      <c r="M148" s="664">
        <v>2692</v>
      </c>
      <c r="N148" s="664">
        <v>1</v>
      </c>
      <c r="O148" s="664">
        <v>2696</v>
      </c>
      <c r="P148" s="677">
        <v>1.0014858841010401</v>
      </c>
      <c r="Q148" s="665">
        <v>2696</v>
      </c>
    </row>
    <row r="149" spans="1:17" ht="14.4" customHeight="1" x14ac:dyDescent="0.3">
      <c r="A149" s="660" t="s">
        <v>4273</v>
      </c>
      <c r="B149" s="661" t="s">
        <v>4274</v>
      </c>
      <c r="C149" s="661" t="s">
        <v>3411</v>
      </c>
      <c r="D149" s="661" t="s">
        <v>4375</v>
      </c>
      <c r="E149" s="661" t="s">
        <v>4376</v>
      </c>
      <c r="F149" s="664"/>
      <c r="G149" s="664"/>
      <c r="H149" s="664"/>
      <c r="I149" s="664"/>
      <c r="J149" s="664"/>
      <c r="K149" s="664"/>
      <c r="L149" s="664"/>
      <c r="M149" s="664"/>
      <c r="N149" s="664">
        <v>1</v>
      </c>
      <c r="O149" s="664">
        <v>5188</v>
      </c>
      <c r="P149" s="677"/>
      <c r="Q149" s="665">
        <v>5188</v>
      </c>
    </row>
    <row r="150" spans="1:17" ht="14.4" customHeight="1" x14ac:dyDescent="0.3">
      <c r="A150" s="660" t="s">
        <v>4273</v>
      </c>
      <c r="B150" s="661" t="s">
        <v>4274</v>
      </c>
      <c r="C150" s="661" t="s">
        <v>3411</v>
      </c>
      <c r="D150" s="661" t="s">
        <v>4377</v>
      </c>
      <c r="E150" s="661" t="s">
        <v>4378</v>
      </c>
      <c r="F150" s="664">
        <v>1</v>
      </c>
      <c r="G150" s="664">
        <v>2076</v>
      </c>
      <c r="H150" s="664">
        <v>1</v>
      </c>
      <c r="I150" s="664">
        <v>2076</v>
      </c>
      <c r="J150" s="664"/>
      <c r="K150" s="664"/>
      <c r="L150" s="664"/>
      <c r="M150" s="664"/>
      <c r="N150" s="664">
        <v>3</v>
      </c>
      <c r="O150" s="664">
        <v>6246</v>
      </c>
      <c r="P150" s="677">
        <v>3.0086705202312141</v>
      </c>
      <c r="Q150" s="665">
        <v>2082</v>
      </c>
    </row>
    <row r="151" spans="1:17" ht="14.4" customHeight="1" x14ac:dyDescent="0.3">
      <c r="A151" s="660" t="s">
        <v>4273</v>
      </c>
      <c r="B151" s="661" t="s">
        <v>4274</v>
      </c>
      <c r="C151" s="661" t="s">
        <v>3411</v>
      </c>
      <c r="D151" s="661" t="s">
        <v>4379</v>
      </c>
      <c r="E151" s="661" t="s">
        <v>4380</v>
      </c>
      <c r="F151" s="664"/>
      <c r="G151" s="664"/>
      <c r="H151" s="664"/>
      <c r="I151" s="664"/>
      <c r="J151" s="664">
        <v>8</v>
      </c>
      <c r="K151" s="664">
        <v>1584</v>
      </c>
      <c r="L151" s="664"/>
      <c r="M151" s="664">
        <v>198</v>
      </c>
      <c r="N151" s="664"/>
      <c r="O151" s="664"/>
      <c r="P151" s="677"/>
      <c r="Q151" s="665"/>
    </row>
    <row r="152" spans="1:17" ht="14.4" customHeight="1" x14ac:dyDescent="0.3">
      <c r="A152" s="660" t="s">
        <v>4273</v>
      </c>
      <c r="B152" s="661" t="s">
        <v>4274</v>
      </c>
      <c r="C152" s="661" t="s">
        <v>3411</v>
      </c>
      <c r="D152" s="661" t="s">
        <v>4381</v>
      </c>
      <c r="E152" s="661" t="s">
        <v>4382</v>
      </c>
      <c r="F152" s="664">
        <v>2</v>
      </c>
      <c r="G152" s="664">
        <v>830</v>
      </c>
      <c r="H152" s="664">
        <v>1</v>
      </c>
      <c r="I152" s="664">
        <v>415</v>
      </c>
      <c r="J152" s="664">
        <v>1</v>
      </c>
      <c r="K152" s="664">
        <v>415</v>
      </c>
      <c r="L152" s="664">
        <v>0.5</v>
      </c>
      <c r="M152" s="664">
        <v>415</v>
      </c>
      <c r="N152" s="664"/>
      <c r="O152" s="664"/>
      <c r="P152" s="677"/>
      <c r="Q152" s="665"/>
    </row>
    <row r="153" spans="1:17" ht="14.4" customHeight="1" x14ac:dyDescent="0.3">
      <c r="A153" s="660" t="s">
        <v>4273</v>
      </c>
      <c r="B153" s="661" t="s">
        <v>4274</v>
      </c>
      <c r="C153" s="661" t="s">
        <v>3411</v>
      </c>
      <c r="D153" s="661" t="s">
        <v>4383</v>
      </c>
      <c r="E153" s="661" t="s">
        <v>4384</v>
      </c>
      <c r="F153" s="664"/>
      <c r="G153" s="664"/>
      <c r="H153" s="664"/>
      <c r="I153" s="664"/>
      <c r="J153" s="664">
        <v>9</v>
      </c>
      <c r="K153" s="664">
        <v>19062</v>
      </c>
      <c r="L153" s="664"/>
      <c r="M153" s="664">
        <v>2118</v>
      </c>
      <c r="N153" s="664">
        <v>10</v>
      </c>
      <c r="O153" s="664">
        <v>21230</v>
      </c>
      <c r="P153" s="677"/>
      <c r="Q153" s="665">
        <v>2123</v>
      </c>
    </row>
    <row r="154" spans="1:17" ht="14.4" customHeight="1" x14ac:dyDescent="0.3">
      <c r="A154" s="660" t="s">
        <v>4273</v>
      </c>
      <c r="B154" s="661" t="s">
        <v>4274</v>
      </c>
      <c r="C154" s="661" t="s">
        <v>3411</v>
      </c>
      <c r="D154" s="661" t="s">
        <v>4385</v>
      </c>
      <c r="E154" s="661" t="s">
        <v>4358</v>
      </c>
      <c r="F154" s="664">
        <v>2</v>
      </c>
      <c r="G154" s="664">
        <v>3728</v>
      </c>
      <c r="H154" s="664">
        <v>1</v>
      </c>
      <c r="I154" s="664">
        <v>1864</v>
      </c>
      <c r="J154" s="664"/>
      <c r="K154" s="664"/>
      <c r="L154" s="664"/>
      <c r="M154" s="664"/>
      <c r="N154" s="664">
        <v>6</v>
      </c>
      <c r="O154" s="664">
        <v>11214</v>
      </c>
      <c r="P154" s="677">
        <v>3.008047210300429</v>
      </c>
      <c r="Q154" s="665">
        <v>1869</v>
      </c>
    </row>
    <row r="155" spans="1:17" ht="14.4" customHeight="1" x14ac:dyDescent="0.3">
      <c r="A155" s="660" t="s">
        <v>4273</v>
      </c>
      <c r="B155" s="661" t="s">
        <v>4274</v>
      </c>
      <c r="C155" s="661" t="s">
        <v>3411</v>
      </c>
      <c r="D155" s="661" t="s">
        <v>4386</v>
      </c>
      <c r="E155" s="661" t="s">
        <v>4387</v>
      </c>
      <c r="F155" s="664">
        <v>1</v>
      </c>
      <c r="G155" s="664">
        <v>8384</v>
      </c>
      <c r="H155" s="664">
        <v>1</v>
      </c>
      <c r="I155" s="664">
        <v>8384</v>
      </c>
      <c r="J155" s="664"/>
      <c r="K155" s="664"/>
      <c r="L155" s="664"/>
      <c r="M155" s="664"/>
      <c r="N155" s="664">
        <v>5</v>
      </c>
      <c r="O155" s="664">
        <v>41995</v>
      </c>
      <c r="P155" s="677">
        <v>5.0089456106870225</v>
      </c>
      <c r="Q155" s="665">
        <v>8399</v>
      </c>
    </row>
    <row r="156" spans="1:17" ht="14.4" customHeight="1" x14ac:dyDescent="0.3">
      <c r="A156" s="660" t="s">
        <v>4273</v>
      </c>
      <c r="B156" s="661" t="s">
        <v>4274</v>
      </c>
      <c r="C156" s="661" t="s">
        <v>3411</v>
      </c>
      <c r="D156" s="661" t="s">
        <v>4388</v>
      </c>
      <c r="E156" s="661" t="s">
        <v>4389</v>
      </c>
      <c r="F156" s="664"/>
      <c r="G156" s="664"/>
      <c r="H156" s="664"/>
      <c r="I156" s="664"/>
      <c r="J156" s="664"/>
      <c r="K156" s="664"/>
      <c r="L156" s="664"/>
      <c r="M156" s="664"/>
      <c r="N156" s="664">
        <v>1</v>
      </c>
      <c r="O156" s="664">
        <v>563</v>
      </c>
      <c r="P156" s="677"/>
      <c r="Q156" s="665">
        <v>563</v>
      </c>
    </row>
    <row r="157" spans="1:17" ht="14.4" customHeight="1" x14ac:dyDescent="0.3">
      <c r="A157" s="660" t="s">
        <v>4390</v>
      </c>
      <c r="B157" s="661" t="s">
        <v>4391</v>
      </c>
      <c r="C157" s="661" t="s">
        <v>3411</v>
      </c>
      <c r="D157" s="661" t="s">
        <v>4392</v>
      </c>
      <c r="E157" s="661" t="s">
        <v>4393</v>
      </c>
      <c r="F157" s="664">
        <v>186</v>
      </c>
      <c r="G157" s="664">
        <v>37758</v>
      </c>
      <c r="H157" s="664">
        <v>1</v>
      </c>
      <c r="I157" s="664">
        <v>203</v>
      </c>
      <c r="J157" s="664">
        <v>129</v>
      </c>
      <c r="K157" s="664">
        <v>26187</v>
      </c>
      <c r="L157" s="664">
        <v>0.69354838709677424</v>
      </c>
      <c r="M157" s="664">
        <v>203</v>
      </c>
      <c r="N157" s="664">
        <v>126</v>
      </c>
      <c r="O157" s="664">
        <v>25956</v>
      </c>
      <c r="P157" s="677">
        <v>0.68743047830923243</v>
      </c>
      <c r="Q157" s="665">
        <v>206</v>
      </c>
    </row>
    <row r="158" spans="1:17" ht="14.4" customHeight="1" x14ac:dyDescent="0.3">
      <c r="A158" s="660" t="s">
        <v>4390</v>
      </c>
      <c r="B158" s="661" t="s">
        <v>4391</v>
      </c>
      <c r="C158" s="661" t="s">
        <v>3411</v>
      </c>
      <c r="D158" s="661" t="s">
        <v>4394</v>
      </c>
      <c r="E158" s="661" t="s">
        <v>4395</v>
      </c>
      <c r="F158" s="664">
        <v>75</v>
      </c>
      <c r="G158" s="664">
        <v>21900</v>
      </c>
      <c r="H158" s="664">
        <v>1</v>
      </c>
      <c r="I158" s="664">
        <v>292</v>
      </c>
      <c r="J158" s="664">
        <v>50</v>
      </c>
      <c r="K158" s="664">
        <v>14600</v>
      </c>
      <c r="L158" s="664">
        <v>0.66666666666666663</v>
      </c>
      <c r="M158" s="664">
        <v>292</v>
      </c>
      <c r="N158" s="664">
        <v>104</v>
      </c>
      <c r="O158" s="664">
        <v>30680</v>
      </c>
      <c r="P158" s="677">
        <v>1.4009132420091324</v>
      </c>
      <c r="Q158" s="665">
        <v>295</v>
      </c>
    </row>
    <row r="159" spans="1:17" ht="14.4" customHeight="1" x14ac:dyDescent="0.3">
      <c r="A159" s="660" t="s">
        <v>4390</v>
      </c>
      <c r="B159" s="661" t="s">
        <v>4391</v>
      </c>
      <c r="C159" s="661" t="s">
        <v>3411</v>
      </c>
      <c r="D159" s="661" t="s">
        <v>4396</v>
      </c>
      <c r="E159" s="661" t="s">
        <v>4397</v>
      </c>
      <c r="F159" s="664"/>
      <c r="G159" s="664"/>
      <c r="H159" s="664"/>
      <c r="I159" s="664"/>
      <c r="J159" s="664">
        <v>3</v>
      </c>
      <c r="K159" s="664">
        <v>279</v>
      </c>
      <c r="L159" s="664"/>
      <c r="M159" s="664">
        <v>93</v>
      </c>
      <c r="N159" s="664">
        <v>6</v>
      </c>
      <c r="O159" s="664">
        <v>570</v>
      </c>
      <c r="P159" s="677"/>
      <c r="Q159" s="665">
        <v>95</v>
      </c>
    </row>
    <row r="160" spans="1:17" ht="14.4" customHeight="1" x14ac:dyDescent="0.3">
      <c r="A160" s="660" t="s">
        <v>4390</v>
      </c>
      <c r="B160" s="661" t="s">
        <v>4391</v>
      </c>
      <c r="C160" s="661" t="s">
        <v>3411</v>
      </c>
      <c r="D160" s="661" t="s">
        <v>4398</v>
      </c>
      <c r="E160" s="661" t="s">
        <v>4399</v>
      </c>
      <c r="F160" s="664">
        <v>107</v>
      </c>
      <c r="G160" s="664">
        <v>14338</v>
      </c>
      <c r="H160" s="664">
        <v>1</v>
      </c>
      <c r="I160" s="664">
        <v>134</v>
      </c>
      <c r="J160" s="664">
        <v>126</v>
      </c>
      <c r="K160" s="664">
        <v>16884</v>
      </c>
      <c r="L160" s="664">
        <v>1.1775700934579438</v>
      </c>
      <c r="M160" s="664">
        <v>134</v>
      </c>
      <c r="N160" s="664">
        <v>129</v>
      </c>
      <c r="O160" s="664">
        <v>17415</v>
      </c>
      <c r="P160" s="677">
        <v>1.2146045473566747</v>
      </c>
      <c r="Q160" s="665">
        <v>135</v>
      </c>
    </row>
    <row r="161" spans="1:17" ht="14.4" customHeight="1" x14ac:dyDescent="0.3">
      <c r="A161" s="660" t="s">
        <v>4390</v>
      </c>
      <c r="B161" s="661" t="s">
        <v>4391</v>
      </c>
      <c r="C161" s="661" t="s">
        <v>3411</v>
      </c>
      <c r="D161" s="661" t="s">
        <v>4400</v>
      </c>
      <c r="E161" s="661" t="s">
        <v>4401</v>
      </c>
      <c r="F161" s="664"/>
      <c r="G161" s="664"/>
      <c r="H161" s="664"/>
      <c r="I161" s="664"/>
      <c r="J161" s="664"/>
      <c r="K161" s="664"/>
      <c r="L161" s="664"/>
      <c r="M161" s="664"/>
      <c r="N161" s="664">
        <v>1</v>
      </c>
      <c r="O161" s="664">
        <v>620</v>
      </c>
      <c r="P161" s="677"/>
      <c r="Q161" s="665">
        <v>620</v>
      </c>
    </row>
    <row r="162" spans="1:17" ht="14.4" customHeight="1" x14ac:dyDescent="0.3">
      <c r="A162" s="660" t="s">
        <v>4390</v>
      </c>
      <c r="B162" s="661" t="s">
        <v>4391</v>
      </c>
      <c r="C162" s="661" t="s">
        <v>3411</v>
      </c>
      <c r="D162" s="661" t="s">
        <v>4402</v>
      </c>
      <c r="E162" s="661" t="s">
        <v>4403</v>
      </c>
      <c r="F162" s="664">
        <v>3</v>
      </c>
      <c r="G162" s="664">
        <v>477</v>
      </c>
      <c r="H162" s="664">
        <v>1</v>
      </c>
      <c r="I162" s="664">
        <v>159</v>
      </c>
      <c r="J162" s="664">
        <v>3</v>
      </c>
      <c r="K162" s="664">
        <v>477</v>
      </c>
      <c r="L162" s="664">
        <v>1</v>
      </c>
      <c r="M162" s="664">
        <v>159</v>
      </c>
      <c r="N162" s="664">
        <v>4</v>
      </c>
      <c r="O162" s="664">
        <v>644</v>
      </c>
      <c r="P162" s="677">
        <v>1.350104821802935</v>
      </c>
      <c r="Q162" s="665">
        <v>161</v>
      </c>
    </row>
    <row r="163" spans="1:17" ht="14.4" customHeight="1" x14ac:dyDescent="0.3">
      <c r="A163" s="660" t="s">
        <v>4390</v>
      </c>
      <c r="B163" s="661" t="s">
        <v>4391</v>
      </c>
      <c r="C163" s="661" t="s">
        <v>3411</v>
      </c>
      <c r="D163" s="661" t="s">
        <v>4404</v>
      </c>
      <c r="E163" s="661" t="s">
        <v>4405</v>
      </c>
      <c r="F163" s="664">
        <v>1</v>
      </c>
      <c r="G163" s="664">
        <v>382</v>
      </c>
      <c r="H163" s="664">
        <v>1</v>
      </c>
      <c r="I163" s="664">
        <v>382</v>
      </c>
      <c r="J163" s="664">
        <v>6</v>
      </c>
      <c r="K163" s="664">
        <v>2292</v>
      </c>
      <c r="L163" s="664">
        <v>6</v>
      </c>
      <c r="M163" s="664">
        <v>382</v>
      </c>
      <c r="N163" s="664">
        <v>1</v>
      </c>
      <c r="O163" s="664">
        <v>383</v>
      </c>
      <c r="P163" s="677">
        <v>1.0026178010471205</v>
      </c>
      <c r="Q163" s="665">
        <v>383</v>
      </c>
    </row>
    <row r="164" spans="1:17" ht="14.4" customHeight="1" x14ac:dyDescent="0.3">
      <c r="A164" s="660" t="s">
        <v>4390</v>
      </c>
      <c r="B164" s="661" t="s">
        <v>4391</v>
      </c>
      <c r="C164" s="661" t="s">
        <v>3411</v>
      </c>
      <c r="D164" s="661" t="s">
        <v>4406</v>
      </c>
      <c r="E164" s="661" t="s">
        <v>4407</v>
      </c>
      <c r="F164" s="664">
        <v>16</v>
      </c>
      <c r="G164" s="664">
        <v>4192</v>
      </c>
      <c r="H164" s="664">
        <v>1</v>
      </c>
      <c r="I164" s="664">
        <v>262</v>
      </c>
      <c r="J164" s="664">
        <v>20</v>
      </c>
      <c r="K164" s="664">
        <v>5240</v>
      </c>
      <c r="L164" s="664">
        <v>1.25</v>
      </c>
      <c r="M164" s="664">
        <v>262</v>
      </c>
      <c r="N164" s="664">
        <v>14</v>
      </c>
      <c r="O164" s="664">
        <v>3724</v>
      </c>
      <c r="P164" s="677">
        <v>0.88835877862595425</v>
      </c>
      <c r="Q164" s="665">
        <v>266</v>
      </c>
    </row>
    <row r="165" spans="1:17" ht="14.4" customHeight="1" x14ac:dyDescent="0.3">
      <c r="A165" s="660" t="s">
        <v>4390</v>
      </c>
      <c r="B165" s="661" t="s">
        <v>4391</v>
      </c>
      <c r="C165" s="661" t="s">
        <v>3411</v>
      </c>
      <c r="D165" s="661" t="s">
        <v>4408</v>
      </c>
      <c r="E165" s="661" t="s">
        <v>4409</v>
      </c>
      <c r="F165" s="664">
        <v>23</v>
      </c>
      <c r="G165" s="664">
        <v>3243</v>
      </c>
      <c r="H165" s="664">
        <v>1</v>
      </c>
      <c r="I165" s="664">
        <v>141</v>
      </c>
      <c r="J165" s="664">
        <v>18</v>
      </c>
      <c r="K165" s="664">
        <v>2538</v>
      </c>
      <c r="L165" s="664">
        <v>0.78260869565217395</v>
      </c>
      <c r="M165" s="664">
        <v>141</v>
      </c>
      <c r="N165" s="664">
        <v>32</v>
      </c>
      <c r="O165" s="664">
        <v>4512</v>
      </c>
      <c r="P165" s="677">
        <v>1.3913043478260869</v>
      </c>
      <c r="Q165" s="665">
        <v>141</v>
      </c>
    </row>
    <row r="166" spans="1:17" ht="14.4" customHeight="1" x14ac:dyDescent="0.3">
      <c r="A166" s="660" t="s">
        <v>4390</v>
      </c>
      <c r="B166" s="661" t="s">
        <v>4391</v>
      </c>
      <c r="C166" s="661" t="s">
        <v>3411</v>
      </c>
      <c r="D166" s="661" t="s">
        <v>4410</v>
      </c>
      <c r="E166" s="661" t="s">
        <v>4409</v>
      </c>
      <c r="F166" s="664">
        <v>107</v>
      </c>
      <c r="G166" s="664">
        <v>8346</v>
      </c>
      <c r="H166" s="664">
        <v>1</v>
      </c>
      <c r="I166" s="664">
        <v>78</v>
      </c>
      <c r="J166" s="664">
        <v>126</v>
      </c>
      <c r="K166" s="664">
        <v>9828</v>
      </c>
      <c r="L166" s="664">
        <v>1.1775700934579438</v>
      </c>
      <c r="M166" s="664">
        <v>78</v>
      </c>
      <c r="N166" s="664">
        <v>129</v>
      </c>
      <c r="O166" s="664">
        <v>10062</v>
      </c>
      <c r="P166" s="677">
        <v>1.205607476635514</v>
      </c>
      <c r="Q166" s="665">
        <v>78</v>
      </c>
    </row>
    <row r="167" spans="1:17" ht="14.4" customHeight="1" x14ac:dyDescent="0.3">
      <c r="A167" s="660" t="s">
        <v>4390</v>
      </c>
      <c r="B167" s="661" t="s">
        <v>4391</v>
      </c>
      <c r="C167" s="661" t="s">
        <v>3411</v>
      </c>
      <c r="D167" s="661" t="s">
        <v>4411</v>
      </c>
      <c r="E167" s="661" t="s">
        <v>4412</v>
      </c>
      <c r="F167" s="664">
        <v>23</v>
      </c>
      <c r="G167" s="664">
        <v>6969</v>
      </c>
      <c r="H167" s="664">
        <v>1</v>
      </c>
      <c r="I167" s="664">
        <v>303</v>
      </c>
      <c r="J167" s="664">
        <v>18</v>
      </c>
      <c r="K167" s="664">
        <v>5454</v>
      </c>
      <c r="L167" s="664">
        <v>0.78260869565217395</v>
      </c>
      <c r="M167" s="664">
        <v>303</v>
      </c>
      <c r="N167" s="664">
        <v>32</v>
      </c>
      <c r="O167" s="664">
        <v>9824</v>
      </c>
      <c r="P167" s="677">
        <v>1.4096714019228009</v>
      </c>
      <c r="Q167" s="665">
        <v>307</v>
      </c>
    </row>
    <row r="168" spans="1:17" ht="14.4" customHeight="1" x14ac:dyDescent="0.3">
      <c r="A168" s="660" t="s">
        <v>4390</v>
      </c>
      <c r="B168" s="661" t="s">
        <v>4391</v>
      </c>
      <c r="C168" s="661" t="s">
        <v>3411</v>
      </c>
      <c r="D168" s="661" t="s">
        <v>4413</v>
      </c>
      <c r="E168" s="661" t="s">
        <v>4414</v>
      </c>
      <c r="F168" s="664">
        <v>5</v>
      </c>
      <c r="G168" s="664">
        <v>2430</v>
      </c>
      <c r="H168" s="664">
        <v>1</v>
      </c>
      <c r="I168" s="664">
        <v>486</v>
      </c>
      <c r="J168" s="664">
        <v>8</v>
      </c>
      <c r="K168" s="664">
        <v>3888</v>
      </c>
      <c r="L168" s="664">
        <v>1.6</v>
      </c>
      <c r="M168" s="664">
        <v>486</v>
      </c>
      <c r="N168" s="664">
        <v>9</v>
      </c>
      <c r="O168" s="664">
        <v>4383</v>
      </c>
      <c r="P168" s="677">
        <v>1.8037037037037038</v>
      </c>
      <c r="Q168" s="665">
        <v>487</v>
      </c>
    </row>
    <row r="169" spans="1:17" ht="14.4" customHeight="1" x14ac:dyDescent="0.3">
      <c r="A169" s="660" t="s">
        <v>4390</v>
      </c>
      <c r="B169" s="661" t="s">
        <v>4391</v>
      </c>
      <c r="C169" s="661" t="s">
        <v>3411</v>
      </c>
      <c r="D169" s="661" t="s">
        <v>4415</v>
      </c>
      <c r="E169" s="661" t="s">
        <v>4416</v>
      </c>
      <c r="F169" s="664">
        <v>76</v>
      </c>
      <c r="G169" s="664">
        <v>12160</v>
      </c>
      <c r="H169" s="664">
        <v>1</v>
      </c>
      <c r="I169" s="664">
        <v>160</v>
      </c>
      <c r="J169" s="664">
        <v>78</v>
      </c>
      <c r="K169" s="664">
        <v>12480</v>
      </c>
      <c r="L169" s="664">
        <v>1.0263157894736843</v>
      </c>
      <c r="M169" s="664">
        <v>160</v>
      </c>
      <c r="N169" s="664">
        <v>76</v>
      </c>
      <c r="O169" s="664">
        <v>12236</v>
      </c>
      <c r="P169" s="677">
        <v>1.0062500000000001</v>
      </c>
      <c r="Q169" s="665">
        <v>161</v>
      </c>
    </row>
    <row r="170" spans="1:17" ht="14.4" customHeight="1" x14ac:dyDescent="0.3">
      <c r="A170" s="660" t="s">
        <v>4390</v>
      </c>
      <c r="B170" s="661" t="s">
        <v>4391</v>
      </c>
      <c r="C170" s="661" t="s">
        <v>3411</v>
      </c>
      <c r="D170" s="661" t="s">
        <v>4417</v>
      </c>
      <c r="E170" s="661" t="s">
        <v>4393</v>
      </c>
      <c r="F170" s="664">
        <v>289</v>
      </c>
      <c r="G170" s="664">
        <v>20230</v>
      </c>
      <c r="H170" s="664">
        <v>1</v>
      </c>
      <c r="I170" s="664">
        <v>70</v>
      </c>
      <c r="J170" s="664">
        <v>323</v>
      </c>
      <c r="K170" s="664">
        <v>22610</v>
      </c>
      <c r="L170" s="664">
        <v>1.1176470588235294</v>
      </c>
      <c r="M170" s="664">
        <v>70</v>
      </c>
      <c r="N170" s="664">
        <v>314</v>
      </c>
      <c r="O170" s="664">
        <v>22294</v>
      </c>
      <c r="P170" s="677">
        <v>1.1020266930301532</v>
      </c>
      <c r="Q170" s="665">
        <v>71</v>
      </c>
    </row>
    <row r="171" spans="1:17" ht="14.4" customHeight="1" x14ac:dyDescent="0.3">
      <c r="A171" s="660" t="s">
        <v>4390</v>
      </c>
      <c r="B171" s="661" t="s">
        <v>4391</v>
      </c>
      <c r="C171" s="661" t="s">
        <v>3411</v>
      </c>
      <c r="D171" s="661" t="s">
        <v>4418</v>
      </c>
      <c r="E171" s="661" t="s">
        <v>4419</v>
      </c>
      <c r="F171" s="664">
        <v>2</v>
      </c>
      <c r="G171" s="664">
        <v>2378</v>
      </c>
      <c r="H171" s="664">
        <v>1</v>
      </c>
      <c r="I171" s="664">
        <v>1189</v>
      </c>
      <c r="J171" s="664">
        <v>4</v>
      </c>
      <c r="K171" s="664">
        <v>4756</v>
      </c>
      <c r="L171" s="664">
        <v>2</v>
      </c>
      <c r="M171" s="664">
        <v>1189</v>
      </c>
      <c r="N171" s="664">
        <v>4</v>
      </c>
      <c r="O171" s="664">
        <v>4780</v>
      </c>
      <c r="P171" s="677">
        <v>2.0100925147182505</v>
      </c>
      <c r="Q171" s="665">
        <v>1195</v>
      </c>
    </row>
    <row r="172" spans="1:17" ht="14.4" customHeight="1" x14ac:dyDescent="0.3">
      <c r="A172" s="660" t="s">
        <v>4390</v>
      </c>
      <c r="B172" s="661" t="s">
        <v>4391</v>
      </c>
      <c r="C172" s="661" t="s">
        <v>3411</v>
      </c>
      <c r="D172" s="661" t="s">
        <v>4420</v>
      </c>
      <c r="E172" s="661" t="s">
        <v>4421</v>
      </c>
      <c r="F172" s="664">
        <v>2</v>
      </c>
      <c r="G172" s="664">
        <v>216</v>
      </c>
      <c r="H172" s="664">
        <v>1</v>
      </c>
      <c r="I172" s="664">
        <v>108</v>
      </c>
      <c r="J172" s="664">
        <v>3</v>
      </c>
      <c r="K172" s="664">
        <v>324</v>
      </c>
      <c r="L172" s="664">
        <v>1.5</v>
      </c>
      <c r="M172" s="664">
        <v>108</v>
      </c>
      <c r="N172" s="664">
        <v>3</v>
      </c>
      <c r="O172" s="664">
        <v>330</v>
      </c>
      <c r="P172" s="677">
        <v>1.5277777777777777</v>
      </c>
      <c r="Q172" s="665">
        <v>110</v>
      </c>
    </row>
    <row r="173" spans="1:17" ht="14.4" customHeight="1" x14ac:dyDescent="0.3">
      <c r="A173" s="660" t="s">
        <v>4422</v>
      </c>
      <c r="B173" s="661" t="s">
        <v>4423</v>
      </c>
      <c r="C173" s="661" t="s">
        <v>3411</v>
      </c>
      <c r="D173" s="661" t="s">
        <v>4424</v>
      </c>
      <c r="E173" s="661" t="s">
        <v>4425</v>
      </c>
      <c r="F173" s="664">
        <v>14</v>
      </c>
      <c r="G173" s="664">
        <v>742</v>
      </c>
      <c r="H173" s="664">
        <v>1</v>
      </c>
      <c r="I173" s="664">
        <v>53</v>
      </c>
      <c r="J173" s="664">
        <v>4</v>
      </c>
      <c r="K173" s="664">
        <v>212</v>
      </c>
      <c r="L173" s="664">
        <v>0.2857142857142857</v>
      </c>
      <c r="M173" s="664">
        <v>53</v>
      </c>
      <c r="N173" s="664">
        <v>6</v>
      </c>
      <c r="O173" s="664">
        <v>324</v>
      </c>
      <c r="P173" s="677">
        <v>0.43665768194070081</v>
      </c>
      <c r="Q173" s="665">
        <v>54</v>
      </c>
    </row>
    <row r="174" spans="1:17" ht="14.4" customHeight="1" x14ac:dyDescent="0.3">
      <c r="A174" s="660" t="s">
        <v>4422</v>
      </c>
      <c r="B174" s="661" t="s">
        <v>4423</v>
      </c>
      <c r="C174" s="661" t="s">
        <v>3411</v>
      </c>
      <c r="D174" s="661" t="s">
        <v>4426</v>
      </c>
      <c r="E174" s="661" t="s">
        <v>4427</v>
      </c>
      <c r="F174" s="664">
        <v>2</v>
      </c>
      <c r="G174" s="664">
        <v>242</v>
      </c>
      <c r="H174" s="664">
        <v>1</v>
      </c>
      <c r="I174" s="664">
        <v>121</v>
      </c>
      <c r="J174" s="664">
        <v>8</v>
      </c>
      <c r="K174" s="664">
        <v>968</v>
      </c>
      <c r="L174" s="664">
        <v>4</v>
      </c>
      <c r="M174" s="664">
        <v>121</v>
      </c>
      <c r="N174" s="664"/>
      <c r="O174" s="664"/>
      <c r="P174" s="677"/>
      <c r="Q174" s="665"/>
    </row>
    <row r="175" spans="1:17" ht="14.4" customHeight="1" x14ac:dyDescent="0.3">
      <c r="A175" s="660" t="s">
        <v>4422</v>
      </c>
      <c r="B175" s="661" t="s">
        <v>4423</v>
      </c>
      <c r="C175" s="661" t="s">
        <v>3411</v>
      </c>
      <c r="D175" s="661" t="s">
        <v>4428</v>
      </c>
      <c r="E175" s="661" t="s">
        <v>4429</v>
      </c>
      <c r="F175" s="664">
        <v>5</v>
      </c>
      <c r="G175" s="664">
        <v>840</v>
      </c>
      <c r="H175" s="664">
        <v>1</v>
      </c>
      <c r="I175" s="664">
        <v>168</v>
      </c>
      <c r="J175" s="664">
        <v>2</v>
      </c>
      <c r="K175" s="664">
        <v>336</v>
      </c>
      <c r="L175" s="664">
        <v>0.4</v>
      </c>
      <c r="M175" s="664">
        <v>168</v>
      </c>
      <c r="N175" s="664"/>
      <c r="O175" s="664"/>
      <c r="P175" s="677"/>
      <c r="Q175" s="665"/>
    </row>
    <row r="176" spans="1:17" ht="14.4" customHeight="1" x14ac:dyDescent="0.3">
      <c r="A176" s="660" t="s">
        <v>4422</v>
      </c>
      <c r="B176" s="661" t="s">
        <v>4423</v>
      </c>
      <c r="C176" s="661" t="s">
        <v>3411</v>
      </c>
      <c r="D176" s="661" t="s">
        <v>4430</v>
      </c>
      <c r="E176" s="661" t="s">
        <v>4431</v>
      </c>
      <c r="F176" s="664">
        <v>11</v>
      </c>
      <c r="G176" s="664">
        <v>3476</v>
      </c>
      <c r="H176" s="664">
        <v>1</v>
      </c>
      <c r="I176" s="664">
        <v>316</v>
      </c>
      <c r="J176" s="664">
        <v>2</v>
      </c>
      <c r="K176" s="664">
        <v>632</v>
      </c>
      <c r="L176" s="664">
        <v>0.18181818181818182</v>
      </c>
      <c r="M176" s="664">
        <v>316</v>
      </c>
      <c r="N176" s="664">
        <v>6</v>
      </c>
      <c r="O176" s="664">
        <v>1932</v>
      </c>
      <c r="P176" s="677">
        <v>0.5558112773302647</v>
      </c>
      <c r="Q176" s="665">
        <v>322</v>
      </c>
    </row>
    <row r="177" spans="1:17" ht="14.4" customHeight="1" x14ac:dyDescent="0.3">
      <c r="A177" s="660" t="s">
        <v>4422</v>
      </c>
      <c r="B177" s="661" t="s">
        <v>4423</v>
      </c>
      <c r="C177" s="661" t="s">
        <v>3411</v>
      </c>
      <c r="D177" s="661" t="s">
        <v>4432</v>
      </c>
      <c r="E177" s="661" t="s">
        <v>4433</v>
      </c>
      <c r="F177" s="664"/>
      <c r="G177" s="664"/>
      <c r="H177" s="664"/>
      <c r="I177" s="664"/>
      <c r="J177" s="664"/>
      <c r="K177" s="664"/>
      <c r="L177" s="664"/>
      <c r="M177" s="664"/>
      <c r="N177" s="664">
        <v>2</v>
      </c>
      <c r="O177" s="664">
        <v>682</v>
      </c>
      <c r="P177" s="677"/>
      <c r="Q177" s="665">
        <v>341</v>
      </c>
    </row>
    <row r="178" spans="1:17" ht="14.4" customHeight="1" x14ac:dyDescent="0.3">
      <c r="A178" s="660" t="s">
        <v>4422</v>
      </c>
      <c r="B178" s="661" t="s">
        <v>4423</v>
      </c>
      <c r="C178" s="661" t="s">
        <v>3411</v>
      </c>
      <c r="D178" s="661" t="s">
        <v>4434</v>
      </c>
      <c r="E178" s="661" t="s">
        <v>4435</v>
      </c>
      <c r="F178" s="664">
        <v>1</v>
      </c>
      <c r="G178" s="664">
        <v>365</v>
      </c>
      <c r="H178" s="664">
        <v>1</v>
      </c>
      <c r="I178" s="664">
        <v>365</v>
      </c>
      <c r="J178" s="664"/>
      <c r="K178" s="664"/>
      <c r="L178" s="664"/>
      <c r="M178" s="664"/>
      <c r="N178" s="664"/>
      <c r="O178" s="664"/>
      <c r="P178" s="677"/>
      <c r="Q178" s="665"/>
    </row>
    <row r="179" spans="1:17" ht="14.4" customHeight="1" x14ac:dyDescent="0.3">
      <c r="A179" s="660" t="s">
        <v>4422</v>
      </c>
      <c r="B179" s="661" t="s">
        <v>4423</v>
      </c>
      <c r="C179" s="661" t="s">
        <v>3411</v>
      </c>
      <c r="D179" s="661" t="s">
        <v>4103</v>
      </c>
      <c r="E179" s="661" t="s">
        <v>4104</v>
      </c>
      <c r="F179" s="664">
        <v>1</v>
      </c>
      <c r="G179" s="664">
        <v>664</v>
      </c>
      <c r="H179" s="664">
        <v>1</v>
      </c>
      <c r="I179" s="664">
        <v>664</v>
      </c>
      <c r="J179" s="664"/>
      <c r="K179" s="664"/>
      <c r="L179" s="664"/>
      <c r="M179" s="664"/>
      <c r="N179" s="664"/>
      <c r="O179" s="664"/>
      <c r="P179" s="677"/>
      <c r="Q179" s="665"/>
    </row>
    <row r="180" spans="1:17" ht="14.4" customHeight="1" x14ac:dyDescent="0.3">
      <c r="A180" s="660" t="s">
        <v>4422</v>
      </c>
      <c r="B180" s="661" t="s">
        <v>4423</v>
      </c>
      <c r="C180" s="661" t="s">
        <v>3411</v>
      </c>
      <c r="D180" s="661" t="s">
        <v>4436</v>
      </c>
      <c r="E180" s="661" t="s">
        <v>4437</v>
      </c>
      <c r="F180" s="664">
        <v>2</v>
      </c>
      <c r="G180" s="664">
        <v>562</v>
      </c>
      <c r="H180" s="664">
        <v>1</v>
      </c>
      <c r="I180" s="664">
        <v>281</v>
      </c>
      <c r="J180" s="664">
        <v>5</v>
      </c>
      <c r="K180" s="664">
        <v>1405</v>
      </c>
      <c r="L180" s="664">
        <v>2.5</v>
      </c>
      <c r="M180" s="664">
        <v>281</v>
      </c>
      <c r="N180" s="664">
        <v>2</v>
      </c>
      <c r="O180" s="664">
        <v>570</v>
      </c>
      <c r="P180" s="677">
        <v>1.0142348754448398</v>
      </c>
      <c r="Q180" s="665">
        <v>285</v>
      </c>
    </row>
    <row r="181" spans="1:17" ht="14.4" customHeight="1" x14ac:dyDescent="0.3">
      <c r="A181" s="660" t="s">
        <v>4422</v>
      </c>
      <c r="B181" s="661" t="s">
        <v>4423</v>
      </c>
      <c r="C181" s="661" t="s">
        <v>3411</v>
      </c>
      <c r="D181" s="661" t="s">
        <v>4438</v>
      </c>
      <c r="E181" s="661" t="s">
        <v>4439</v>
      </c>
      <c r="F181" s="664">
        <v>2</v>
      </c>
      <c r="G181" s="664">
        <v>912</v>
      </c>
      <c r="H181" s="664">
        <v>1</v>
      </c>
      <c r="I181" s="664">
        <v>456</v>
      </c>
      <c r="J181" s="664">
        <v>3</v>
      </c>
      <c r="K181" s="664">
        <v>1368</v>
      </c>
      <c r="L181" s="664">
        <v>1.5</v>
      </c>
      <c r="M181" s="664">
        <v>456</v>
      </c>
      <c r="N181" s="664"/>
      <c r="O181" s="664"/>
      <c r="P181" s="677"/>
      <c r="Q181" s="665"/>
    </row>
    <row r="182" spans="1:17" ht="14.4" customHeight="1" x14ac:dyDescent="0.3">
      <c r="A182" s="660" t="s">
        <v>4422</v>
      </c>
      <c r="B182" s="661" t="s">
        <v>4423</v>
      </c>
      <c r="C182" s="661" t="s">
        <v>3411</v>
      </c>
      <c r="D182" s="661" t="s">
        <v>4440</v>
      </c>
      <c r="E182" s="661" t="s">
        <v>4441</v>
      </c>
      <c r="F182" s="664">
        <v>4</v>
      </c>
      <c r="G182" s="664">
        <v>1392</v>
      </c>
      <c r="H182" s="664">
        <v>1</v>
      </c>
      <c r="I182" s="664">
        <v>348</v>
      </c>
      <c r="J182" s="664">
        <v>8</v>
      </c>
      <c r="K182" s="664">
        <v>2784</v>
      </c>
      <c r="L182" s="664">
        <v>2</v>
      </c>
      <c r="M182" s="664">
        <v>348</v>
      </c>
      <c r="N182" s="664">
        <v>3</v>
      </c>
      <c r="O182" s="664">
        <v>1068</v>
      </c>
      <c r="P182" s="677">
        <v>0.76724137931034486</v>
      </c>
      <c r="Q182" s="665">
        <v>356</v>
      </c>
    </row>
    <row r="183" spans="1:17" ht="14.4" customHeight="1" x14ac:dyDescent="0.3">
      <c r="A183" s="660" t="s">
        <v>4422</v>
      </c>
      <c r="B183" s="661" t="s">
        <v>4423</v>
      </c>
      <c r="C183" s="661" t="s">
        <v>3411</v>
      </c>
      <c r="D183" s="661" t="s">
        <v>4442</v>
      </c>
      <c r="E183" s="661" t="s">
        <v>4443</v>
      </c>
      <c r="F183" s="664"/>
      <c r="G183" s="664"/>
      <c r="H183" s="664"/>
      <c r="I183" s="664"/>
      <c r="J183" s="664"/>
      <c r="K183" s="664"/>
      <c r="L183" s="664"/>
      <c r="M183" s="664"/>
      <c r="N183" s="664">
        <v>1</v>
      </c>
      <c r="O183" s="664">
        <v>117</v>
      </c>
      <c r="P183" s="677"/>
      <c r="Q183" s="665">
        <v>117</v>
      </c>
    </row>
    <row r="184" spans="1:17" ht="14.4" customHeight="1" x14ac:dyDescent="0.3">
      <c r="A184" s="660" t="s">
        <v>4422</v>
      </c>
      <c r="B184" s="661" t="s">
        <v>4423</v>
      </c>
      <c r="C184" s="661" t="s">
        <v>3411</v>
      </c>
      <c r="D184" s="661" t="s">
        <v>4444</v>
      </c>
      <c r="E184" s="661" t="s">
        <v>4445</v>
      </c>
      <c r="F184" s="664">
        <v>9</v>
      </c>
      <c r="G184" s="664">
        <v>3861</v>
      </c>
      <c r="H184" s="664">
        <v>1</v>
      </c>
      <c r="I184" s="664">
        <v>429</v>
      </c>
      <c r="J184" s="664"/>
      <c r="K184" s="664"/>
      <c r="L184" s="664"/>
      <c r="M184" s="664"/>
      <c r="N184" s="664">
        <v>2</v>
      </c>
      <c r="O184" s="664">
        <v>874</v>
      </c>
      <c r="P184" s="677">
        <v>0.22636622636622636</v>
      </c>
      <c r="Q184" s="665">
        <v>437</v>
      </c>
    </row>
    <row r="185" spans="1:17" ht="14.4" customHeight="1" x14ac:dyDescent="0.3">
      <c r="A185" s="660" t="s">
        <v>4422</v>
      </c>
      <c r="B185" s="661" t="s">
        <v>4423</v>
      </c>
      <c r="C185" s="661" t="s">
        <v>3411</v>
      </c>
      <c r="D185" s="661" t="s">
        <v>4446</v>
      </c>
      <c r="E185" s="661" t="s">
        <v>4447</v>
      </c>
      <c r="F185" s="664"/>
      <c r="G185" s="664"/>
      <c r="H185" s="664"/>
      <c r="I185" s="664"/>
      <c r="J185" s="664">
        <v>4</v>
      </c>
      <c r="K185" s="664">
        <v>212</v>
      </c>
      <c r="L185" s="664"/>
      <c r="M185" s="664">
        <v>53</v>
      </c>
      <c r="N185" s="664"/>
      <c r="O185" s="664"/>
      <c r="P185" s="677"/>
      <c r="Q185" s="665"/>
    </row>
    <row r="186" spans="1:17" ht="14.4" customHeight="1" x14ac:dyDescent="0.3">
      <c r="A186" s="660" t="s">
        <v>4422</v>
      </c>
      <c r="B186" s="661" t="s">
        <v>4423</v>
      </c>
      <c r="C186" s="661" t="s">
        <v>3411</v>
      </c>
      <c r="D186" s="661" t="s">
        <v>4448</v>
      </c>
      <c r="E186" s="661" t="s">
        <v>4449</v>
      </c>
      <c r="F186" s="664">
        <v>58</v>
      </c>
      <c r="G186" s="664">
        <v>9570</v>
      </c>
      <c r="H186" s="664">
        <v>1</v>
      </c>
      <c r="I186" s="664">
        <v>165</v>
      </c>
      <c r="J186" s="664">
        <v>10</v>
      </c>
      <c r="K186" s="664">
        <v>1650</v>
      </c>
      <c r="L186" s="664">
        <v>0.17241379310344829</v>
      </c>
      <c r="M186" s="664">
        <v>165</v>
      </c>
      <c r="N186" s="664">
        <v>2</v>
      </c>
      <c r="O186" s="664">
        <v>338</v>
      </c>
      <c r="P186" s="677">
        <v>3.5318704284221528E-2</v>
      </c>
      <c r="Q186" s="665">
        <v>169</v>
      </c>
    </row>
    <row r="187" spans="1:17" ht="14.4" customHeight="1" x14ac:dyDescent="0.3">
      <c r="A187" s="660" t="s">
        <v>4422</v>
      </c>
      <c r="B187" s="661" t="s">
        <v>4423</v>
      </c>
      <c r="C187" s="661" t="s">
        <v>3411</v>
      </c>
      <c r="D187" s="661" t="s">
        <v>4109</v>
      </c>
      <c r="E187" s="661" t="s">
        <v>4110</v>
      </c>
      <c r="F187" s="664">
        <v>6</v>
      </c>
      <c r="G187" s="664">
        <v>474</v>
      </c>
      <c r="H187" s="664">
        <v>1</v>
      </c>
      <c r="I187" s="664">
        <v>79</v>
      </c>
      <c r="J187" s="664"/>
      <c r="K187" s="664"/>
      <c r="L187" s="664"/>
      <c r="M187" s="664"/>
      <c r="N187" s="664"/>
      <c r="O187" s="664"/>
      <c r="P187" s="677"/>
      <c r="Q187" s="665"/>
    </row>
    <row r="188" spans="1:17" ht="14.4" customHeight="1" x14ac:dyDescent="0.3">
      <c r="A188" s="660" t="s">
        <v>4422</v>
      </c>
      <c r="B188" s="661" t="s">
        <v>4423</v>
      </c>
      <c r="C188" s="661" t="s">
        <v>3411</v>
      </c>
      <c r="D188" s="661" t="s">
        <v>4450</v>
      </c>
      <c r="E188" s="661" t="s">
        <v>4451</v>
      </c>
      <c r="F188" s="664"/>
      <c r="G188" s="664"/>
      <c r="H188" s="664"/>
      <c r="I188" s="664"/>
      <c r="J188" s="664">
        <v>1</v>
      </c>
      <c r="K188" s="664">
        <v>160</v>
      </c>
      <c r="L188" s="664"/>
      <c r="M188" s="664">
        <v>160</v>
      </c>
      <c r="N188" s="664"/>
      <c r="O188" s="664"/>
      <c r="P188" s="677"/>
      <c r="Q188" s="665"/>
    </row>
    <row r="189" spans="1:17" ht="14.4" customHeight="1" x14ac:dyDescent="0.3">
      <c r="A189" s="660" t="s">
        <v>4422</v>
      </c>
      <c r="B189" s="661" t="s">
        <v>4423</v>
      </c>
      <c r="C189" s="661" t="s">
        <v>3411</v>
      </c>
      <c r="D189" s="661" t="s">
        <v>4452</v>
      </c>
      <c r="E189" s="661" t="s">
        <v>4453</v>
      </c>
      <c r="F189" s="664">
        <v>1</v>
      </c>
      <c r="G189" s="664">
        <v>167</v>
      </c>
      <c r="H189" s="664">
        <v>1</v>
      </c>
      <c r="I189" s="664">
        <v>167</v>
      </c>
      <c r="J189" s="664"/>
      <c r="K189" s="664"/>
      <c r="L189" s="664"/>
      <c r="M189" s="664"/>
      <c r="N189" s="664"/>
      <c r="O189" s="664"/>
      <c r="P189" s="677"/>
      <c r="Q189" s="665"/>
    </row>
    <row r="190" spans="1:17" ht="14.4" customHeight="1" x14ac:dyDescent="0.3">
      <c r="A190" s="660" t="s">
        <v>4422</v>
      </c>
      <c r="B190" s="661" t="s">
        <v>4423</v>
      </c>
      <c r="C190" s="661" t="s">
        <v>3411</v>
      </c>
      <c r="D190" s="661" t="s">
        <v>4454</v>
      </c>
      <c r="E190" s="661" t="s">
        <v>4455</v>
      </c>
      <c r="F190" s="664">
        <v>2</v>
      </c>
      <c r="G190" s="664">
        <v>486</v>
      </c>
      <c r="H190" s="664">
        <v>1</v>
      </c>
      <c r="I190" s="664">
        <v>243</v>
      </c>
      <c r="J190" s="664"/>
      <c r="K190" s="664"/>
      <c r="L190" s="664"/>
      <c r="M190" s="664"/>
      <c r="N190" s="664"/>
      <c r="O190" s="664"/>
      <c r="P190" s="677"/>
      <c r="Q190" s="665"/>
    </row>
    <row r="191" spans="1:17" ht="14.4" customHeight="1" x14ac:dyDescent="0.3">
      <c r="A191" s="660" t="s">
        <v>4422</v>
      </c>
      <c r="B191" s="661" t="s">
        <v>4423</v>
      </c>
      <c r="C191" s="661" t="s">
        <v>3411</v>
      </c>
      <c r="D191" s="661" t="s">
        <v>4456</v>
      </c>
      <c r="E191" s="661" t="s">
        <v>4457</v>
      </c>
      <c r="F191" s="664">
        <v>3</v>
      </c>
      <c r="G191" s="664">
        <v>1212</v>
      </c>
      <c r="H191" s="664">
        <v>1</v>
      </c>
      <c r="I191" s="664">
        <v>404</v>
      </c>
      <c r="J191" s="664"/>
      <c r="K191" s="664"/>
      <c r="L191" s="664"/>
      <c r="M191" s="664"/>
      <c r="N191" s="664"/>
      <c r="O191" s="664"/>
      <c r="P191" s="677"/>
      <c r="Q191" s="665"/>
    </row>
    <row r="192" spans="1:17" ht="14.4" customHeight="1" x14ac:dyDescent="0.3">
      <c r="A192" s="660" t="s">
        <v>4422</v>
      </c>
      <c r="B192" s="661" t="s">
        <v>4458</v>
      </c>
      <c r="C192" s="661" t="s">
        <v>3411</v>
      </c>
      <c r="D192" s="661" t="s">
        <v>4459</v>
      </c>
      <c r="E192" s="661" t="s">
        <v>4460</v>
      </c>
      <c r="F192" s="664">
        <v>5</v>
      </c>
      <c r="G192" s="664">
        <v>6225</v>
      </c>
      <c r="H192" s="664">
        <v>1</v>
      </c>
      <c r="I192" s="664">
        <v>1245</v>
      </c>
      <c r="J192" s="664"/>
      <c r="K192" s="664"/>
      <c r="L192" s="664"/>
      <c r="M192" s="664"/>
      <c r="N192" s="664"/>
      <c r="O192" s="664"/>
      <c r="P192" s="677"/>
      <c r="Q192" s="665"/>
    </row>
    <row r="193" spans="1:17" ht="14.4" customHeight="1" x14ac:dyDescent="0.3">
      <c r="A193" s="660" t="s">
        <v>4422</v>
      </c>
      <c r="B193" s="661" t="s">
        <v>4458</v>
      </c>
      <c r="C193" s="661" t="s">
        <v>3411</v>
      </c>
      <c r="D193" s="661" t="s">
        <v>4461</v>
      </c>
      <c r="E193" s="661" t="s">
        <v>4462</v>
      </c>
      <c r="F193" s="664">
        <v>15</v>
      </c>
      <c r="G193" s="664">
        <v>33495</v>
      </c>
      <c r="H193" s="664">
        <v>1</v>
      </c>
      <c r="I193" s="664">
        <v>2233</v>
      </c>
      <c r="J193" s="664"/>
      <c r="K193" s="664"/>
      <c r="L193" s="664"/>
      <c r="M193" s="664"/>
      <c r="N193" s="664"/>
      <c r="O193" s="664"/>
      <c r="P193" s="677"/>
      <c r="Q193" s="665"/>
    </row>
    <row r="194" spans="1:17" ht="14.4" customHeight="1" x14ac:dyDescent="0.3">
      <c r="A194" s="660" t="s">
        <v>4422</v>
      </c>
      <c r="B194" s="661" t="s">
        <v>4458</v>
      </c>
      <c r="C194" s="661" t="s">
        <v>3411</v>
      </c>
      <c r="D194" s="661" t="s">
        <v>4463</v>
      </c>
      <c r="E194" s="661" t="s">
        <v>4464</v>
      </c>
      <c r="F194" s="664">
        <v>15</v>
      </c>
      <c r="G194" s="664">
        <v>2565</v>
      </c>
      <c r="H194" s="664">
        <v>1</v>
      </c>
      <c r="I194" s="664">
        <v>171</v>
      </c>
      <c r="J194" s="664"/>
      <c r="K194" s="664"/>
      <c r="L194" s="664"/>
      <c r="M194" s="664"/>
      <c r="N194" s="664"/>
      <c r="O194" s="664"/>
      <c r="P194" s="677"/>
      <c r="Q194" s="665"/>
    </row>
    <row r="195" spans="1:17" ht="14.4" customHeight="1" x14ac:dyDescent="0.3">
      <c r="A195" s="660" t="s">
        <v>4465</v>
      </c>
      <c r="B195" s="661" t="s">
        <v>4466</v>
      </c>
      <c r="C195" s="661" t="s">
        <v>3411</v>
      </c>
      <c r="D195" s="661" t="s">
        <v>4467</v>
      </c>
      <c r="E195" s="661" t="s">
        <v>4468</v>
      </c>
      <c r="F195" s="664">
        <v>156</v>
      </c>
      <c r="G195" s="664">
        <v>24804</v>
      </c>
      <c r="H195" s="664">
        <v>1</v>
      </c>
      <c r="I195" s="664">
        <v>159</v>
      </c>
      <c r="J195" s="664">
        <v>152</v>
      </c>
      <c r="K195" s="664">
        <v>24168</v>
      </c>
      <c r="L195" s="664">
        <v>0.97435897435897434</v>
      </c>
      <c r="M195" s="664">
        <v>159</v>
      </c>
      <c r="N195" s="664">
        <v>140</v>
      </c>
      <c r="O195" s="664">
        <v>22540</v>
      </c>
      <c r="P195" s="677">
        <v>0.90872439929043702</v>
      </c>
      <c r="Q195" s="665">
        <v>161</v>
      </c>
    </row>
    <row r="196" spans="1:17" ht="14.4" customHeight="1" x14ac:dyDescent="0.3">
      <c r="A196" s="660" t="s">
        <v>4465</v>
      </c>
      <c r="B196" s="661" t="s">
        <v>4466</v>
      </c>
      <c r="C196" s="661" t="s">
        <v>3411</v>
      </c>
      <c r="D196" s="661" t="s">
        <v>4469</v>
      </c>
      <c r="E196" s="661" t="s">
        <v>4470</v>
      </c>
      <c r="F196" s="664">
        <v>2</v>
      </c>
      <c r="G196" s="664">
        <v>2330</v>
      </c>
      <c r="H196" s="664">
        <v>1</v>
      </c>
      <c r="I196" s="664">
        <v>1165</v>
      </c>
      <c r="J196" s="664"/>
      <c r="K196" s="664"/>
      <c r="L196" s="664"/>
      <c r="M196" s="664"/>
      <c r="N196" s="664">
        <v>2</v>
      </c>
      <c r="O196" s="664">
        <v>2338</v>
      </c>
      <c r="P196" s="677">
        <v>1.0034334763948498</v>
      </c>
      <c r="Q196" s="665">
        <v>1169</v>
      </c>
    </row>
    <row r="197" spans="1:17" ht="14.4" customHeight="1" x14ac:dyDescent="0.3">
      <c r="A197" s="660" t="s">
        <v>4465</v>
      </c>
      <c r="B197" s="661" t="s">
        <v>4466</v>
      </c>
      <c r="C197" s="661" t="s">
        <v>3411</v>
      </c>
      <c r="D197" s="661" t="s">
        <v>4471</v>
      </c>
      <c r="E197" s="661" t="s">
        <v>4472</v>
      </c>
      <c r="F197" s="664">
        <v>24</v>
      </c>
      <c r="G197" s="664">
        <v>936</v>
      </c>
      <c r="H197" s="664">
        <v>1</v>
      </c>
      <c r="I197" s="664">
        <v>39</v>
      </c>
      <c r="J197" s="664">
        <v>15</v>
      </c>
      <c r="K197" s="664">
        <v>585</v>
      </c>
      <c r="L197" s="664">
        <v>0.625</v>
      </c>
      <c r="M197" s="664">
        <v>39</v>
      </c>
      <c r="N197" s="664">
        <v>13</v>
      </c>
      <c r="O197" s="664">
        <v>520</v>
      </c>
      <c r="P197" s="677">
        <v>0.55555555555555558</v>
      </c>
      <c r="Q197" s="665">
        <v>40</v>
      </c>
    </row>
    <row r="198" spans="1:17" ht="14.4" customHeight="1" x14ac:dyDescent="0.3">
      <c r="A198" s="660" t="s">
        <v>4465</v>
      </c>
      <c r="B198" s="661" t="s">
        <v>4466</v>
      </c>
      <c r="C198" s="661" t="s">
        <v>3411</v>
      </c>
      <c r="D198" s="661" t="s">
        <v>4404</v>
      </c>
      <c r="E198" s="661" t="s">
        <v>4405</v>
      </c>
      <c r="F198" s="664"/>
      <c r="G198" s="664"/>
      <c r="H198" s="664"/>
      <c r="I198" s="664"/>
      <c r="J198" s="664">
        <v>3</v>
      </c>
      <c r="K198" s="664">
        <v>1146</v>
      </c>
      <c r="L198" s="664"/>
      <c r="M198" s="664">
        <v>382</v>
      </c>
      <c r="N198" s="664">
        <v>3</v>
      </c>
      <c r="O198" s="664">
        <v>1149</v>
      </c>
      <c r="P198" s="677"/>
      <c r="Q198" s="665">
        <v>383</v>
      </c>
    </row>
    <row r="199" spans="1:17" ht="14.4" customHeight="1" x14ac:dyDescent="0.3">
      <c r="A199" s="660" t="s">
        <v>4465</v>
      </c>
      <c r="B199" s="661" t="s">
        <v>4466</v>
      </c>
      <c r="C199" s="661" t="s">
        <v>3411</v>
      </c>
      <c r="D199" s="661" t="s">
        <v>4473</v>
      </c>
      <c r="E199" s="661" t="s">
        <v>4474</v>
      </c>
      <c r="F199" s="664">
        <v>3</v>
      </c>
      <c r="G199" s="664">
        <v>1332</v>
      </c>
      <c r="H199" s="664">
        <v>1</v>
      </c>
      <c r="I199" s="664">
        <v>444</v>
      </c>
      <c r="J199" s="664"/>
      <c r="K199" s="664"/>
      <c r="L199" s="664"/>
      <c r="M199" s="664"/>
      <c r="N199" s="664">
        <v>3</v>
      </c>
      <c r="O199" s="664">
        <v>1335</v>
      </c>
      <c r="P199" s="677">
        <v>1.0022522522522523</v>
      </c>
      <c r="Q199" s="665">
        <v>445</v>
      </c>
    </row>
    <row r="200" spans="1:17" ht="14.4" customHeight="1" x14ac:dyDescent="0.3">
      <c r="A200" s="660" t="s">
        <v>4465</v>
      </c>
      <c r="B200" s="661" t="s">
        <v>4466</v>
      </c>
      <c r="C200" s="661" t="s">
        <v>3411</v>
      </c>
      <c r="D200" s="661" t="s">
        <v>4475</v>
      </c>
      <c r="E200" s="661" t="s">
        <v>4476</v>
      </c>
      <c r="F200" s="664">
        <v>74</v>
      </c>
      <c r="G200" s="664">
        <v>3034</v>
      </c>
      <c r="H200" s="664">
        <v>1</v>
      </c>
      <c r="I200" s="664">
        <v>41</v>
      </c>
      <c r="J200" s="664">
        <v>76</v>
      </c>
      <c r="K200" s="664">
        <v>3116</v>
      </c>
      <c r="L200" s="664">
        <v>1.027027027027027</v>
      </c>
      <c r="M200" s="664">
        <v>41</v>
      </c>
      <c r="N200" s="664">
        <v>25</v>
      </c>
      <c r="O200" s="664">
        <v>1025</v>
      </c>
      <c r="P200" s="677">
        <v>0.33783783783783783</v>
      </c>
      <c r="Q200" s="665">
        <v>41</v>
      </c>
    </row>
    <row r="201" spans="1:17" ht="14.4" customHeight="1" x14ac:dyDescent="0.3">
      <c r="A201" s="660" t="s">
        <v>4465</v>
      </c>
      <c r="B201" s="661" t="s">
        <v>4466</v>
      </c>
      <c r="C201" s="661" t="s">
        <v>3411</v>
      </c>
      <c r="D201" s="661" t="s">
        <v>4477</v>
      </c>
      <c r="E201" s="661" t="s">
        <v>4478</v>
      </c>
      <c r="F201" s="664">
        <v>2</v>
      </c>
      <c r="G201" s="664">
        <v>980</v>
      </c>
      <c r="H201" s="664">
        <v>1</v>
      </c>
      <c r="I201" s="664">
        <v>490</v>
      </c>
      <c r="J201" s="664">
        <v>8</v>
      </c>
      <c r="K201" s="664">
        <v>3920</v>
      </c>
      <c r="L201" s="664">
        <v>4</v>
      </c>
      <c r="M201" s="664">
        <v>490</v>
      </c>
      <c r="N201" s="664">
        <v>9</v>
      </c>
      <c r="O201" s="664">
        <v>4419</v>
      </c>
      <c r="P201" s="677">
        <v>4.509183673469388</v>
      </c>
      <c r="Q201" s="665">
        <v>491</v>
      </c>
    </row>
    <row r="202" spans="1:17" ht="14.4" customHeight="1" x14ac:dyDescent="0.3">
      <c r="A202" s="660" t="s">
        <v>4465</v>
      </c>
      <c r="B202" s="661" t="s">
        <v>4466</v>
      </c>
      <c r="C202" s="661" t="s">
        <v>3411</v>
      </c>
      <c r="D202" s="661" t="s">
        <v>4479</v>
      </c>
      <c r="E202" s="661" t="s">
        <v>4480</v>
      </c>
      <c r="F202" s="664">
        <v>2</v>
      </c>
      <c r="G202" s="664">
        <v>62</v>
      </c>
      <c r="H202" s="664">
        <v>1</v>
      </c>
      <c r="I202" s="664">
        <v>31</v>
      </c>
      <c r="J202" s="664"/>
      <c r="K202" s="664"/>
      <c r="L202" s="664"/>
      <c r="M202" s="664"/>
      <c r="N202" s="664">
        <v>4</v>
      </c>
      <c r="O202" s="664">
        <v>124</v>
      </c>
      <c r="P202" s="677">
        <v>2</v>
      </c>
      <c r="Q202" s="665">
        <v>31</v>
      </c>
    </row>
    <row r="203" spans="1:17" ht="14.4" customHeight="1" x14ac:dyDescent="0.3">
      <c r="A203" s="660" t="s">
        <v>4465</v>
      </c>
      <c r="B203" s="661" t="s">
        <v>4466</v>
      </c>
      <c r="C203" s="661" t="s">
        <v>3411</v>
      </c>
      <c r="D203" s="661" t="s">
        <v>4481</v>
      </c>
      <c r="E203" s="661" t="s">
        <v>4482</v>
      </c>
      <c r="F203" s="664">
        <v>3</v>
      </c>
      <c r="G203" s="664">
        <v>615</v>
      </c>
      <c r="H203" s="664">
        <v>1</v>
      </c>
      <c r="I203" s="664">
        <v>205</v>
      </c>
      <c r="J203" s="664"/>
      <c r="K203" s="664"/>
      <c r="L203" s="664"/>
      <c r="M203" s="664"/>
      <c r="N203" s="664"/>
      <c r="O203" s="664"/>
      <c r="P203" s="677"/>
      <c r="Q203" s="665"/>
    </row>
    <row r="204" spans="1:17" ht="14.4" customHeight="1" x14ac:dyDescent="0.3">
      <c r="A204" s="660" t="s">
        <v>4465</v>
      </c>
      <c r="B204" s="661" t="s">
        <v>4466</v>
      </c>
      <c r="C204" s="661" t="s">
        <v>3411</v>
      </c>
      <c r="D204" s="661" t="s">
        <v>4483</v>
      </c>
      <c r="E204" s="661" t="s">
        <v>4484</v>
      </c>
      <c r="F204" s="664">
        <v>3</v>
      </c>
      <c r="G204" s="664">
        <v>1131</v>
      </c>
      <c r="H204" s="664">
        <v>1</v>
      </c>
      <c r="I204" s="664">
        <v>377</v>
      </c>
      <c r="J204" s="664"/>
      <c r="K204" s="664"/>
      <c r="L204" s="664"/>
      <c r="M204" s="664"/>
      <c r="N204" s="664"/>
      <c r="O204" s="664"/>
      <c r="P204" s="677"/>
      <c r="Q204" s="665"/>
    </row>
    <row r="205" spans="1:17" ht="14.4" customHeight="1" x14ac:dyDescent="0.3">
      <c r="A205" s="660" t="s">
        <v>4465</v>
      </c>
      <c r="B205" s="661" t="s">
        <v>4466</v>
      </c>
      <c r="C205" s="661" t="s">
        <v>3411</v>
      </c>
      <c r="D205" s="661" t="s">
        <v>4485</v>
      </c>
      <c r="E205" s="661" t="s">
        <v>4486</v>
      </c>
      <c r="F205" s="664">
        <v>114</v>
      </c>
      <c r="G205" s="664">
        <v>12882</v>
      </c>
      <c r="H205" s="664">
        <v>1</v>
      </c>
      <c r="I205" s="664">
        <v>113</v>
      </c>
      <c r="J205" s="664">
        <v>84</v>
      </c>
      <c r="K205" s="664">
        <v>9492</v>
      </c>
      <c r="L205" s="664">
        <v>0.73684210526315785</v>
      </c>
      <c r="M205" s="664">
        <v>113</v>
      </c>
      <c r="N205" s="664">
        <v>123</v>
      </c>
      <c r="O205" s="664">
        <v>14268</v>
      </c>
      <c r="P205" s="677">
        <v>1.1075919888216115</v>
      </c>
      <c r="Q205" s="665">
        <v>116</v>
      </c>
    </row>
    <row r="206" spans="1:17" ht="14.4" customHeight="1" x14ac:dyDescent="0.3">
      <c r="A206" s="660" t="s">
        <v>4465</v>
      </c>
      <c r="B206" s="661" t="s">
        <v>4466</v>
      </c>
      <c r="C206" s="661" t="s">
        <v>3411</v>
      </c>
      <c r="D206" s="661" t="s">
        <v>4487</v>
      </c>
      <c r="E206" s="661" t="s">
        <v>4488</v>
      </c>
      <c r="F206" s="664">
        <v>39</v>
      </c>
      <c r="G206" s="664">
        <v>3276</v>
      </c>
      <c r="H206" s="664">
        <v>1</v>
      </c>
      <c r="I206" s="664">
        <v>84</v>
      </c>
      <c r="J206" s="664">
        <v>29</v>
      </c>
      <c r="K206" s="664">
        <v>2436</v>
      </c>
      <c r="L206" s="664">
        <v>0.74358974358974361</v>
      </c>
      <c r="M206" s="664">
        <v>84</v>
      </c>
      <c r="N206" s="664">
        <v>38</v>
      </c>
      <c r="O206" s="664">
        <v>3230</v>
      </c>
      <c r="P206" s="677">
        <v>0.98595848595848601</v>
      </c>
      <c r="Q206" s="665">
        <v>85</v>
      </c>
    </row>
    <row r="207" spans="1:17" ht="14.4" customHeight="1" x14ac:dyDescent="0.3">
      <c r="A207" s="660" t="s">
        <v>4465</v>
      </c>
      <c r="B207" s="661" t="s">
        <v>4466</v>
      </c>
      <c r="C207" s="661" t="s">
        <v>3411</v>
      </c>
      <c r="D207" s="661" t="s">
        <v>4489</v>
      </c>
      <c r="E207" s="661" t="s">
        <v>4490</v>
      </c>
      <c r="F207" s="664">
        <v>3</v>
      </c>
      <c r="G207" s="664">
        <v>288</v>
      </c>
      <c r="H207" s="664">
        <v>1</v>
      </c>
      <c r="I207" s="664">
        <v>96</v>
      </c>
      <c r="J207" s="664"/>
      <c r="K207" s="664"/>
      <c r="L207" s="664"/>
      <c r="M207" s="664"/>
      <c r="N207" s="664">
        <v>2</v>
      </c>
      <c r="O207" s="664">
        <v>196</v>
      </c>
      <c r="P207" s="677">
        <v>0.68055555555555558</v>
      </c>
      <c r="Q207" s="665">
        <v>98</v>
      </c>
    </row>
    <row r="208" spans="1:17" ht="14.4" customHeight="1" x14ac:dyDescent="0.3">
      <c r="A208" s="660" t="s">
        <v>4465</v>
      </c>
      <c r="B208" s="661" t="s">
        <v>4466</v>
      </c>
      <c r="C208" s="661" t="s">
        <v>3411</v>
      </c>
      <c r="D208" s="661" t="s">
        <v>4491</v>
      </c>
      <c r="E208" s="661" t="s">
        <v>4492</v>
      </c>
      <c r="F208" s="664">
        <v>9</v>
      </c>
      <c r="G208" s="664">
        <v>189</v>
      </c>
      <c r="H208" s="664">
        <v>1</v>
      </c>
      <c r="I208" s="664">
        <v>21</v>
      </c>
      <c r="J208" s="664"/>
      <c r="K208" s="664"/>
      <c r="L208" s="664"/>
      <c r="M208" s="664"/>
      <c r="N208" s="664">
        <v>14</v>
      </c>
      <c r="O208" s="664">
        <v>294</v>
      </c>
      <c r="P208" s="677">
        <v>1.5555555555555556</v>
      </c>
      <c r="Q208" s="665">
        <v>21</v>
      </c>
    </row>
    <row r="209" spans="1:17" ht="14.4" customHeight="1" x14ac:dyDescent="0.3">
      <c r="A209" s="660" t="s">
        <v>4465</v>
      </c>
      <c r="B209" s="661" t="s">
        <v>4466</v>
      </c>
      <c r="C209" s="661" t="s">
        <v>3411</v>
      </c>
      <c r="D209" s="661" t="s">
        <v>4413</v>
      </c>
      <c r="E209" s="661" t="s">
        <v>4414</v>
      </c>
      <c r="F209" s="664">
        <v>18</v>
      </c>
      <c r="G209" s="664">
        <v>8748</v>
      </c>
      <c r="H209" s="664">
        <v>1</v>
      </c>
      <c r="I209" s="664">
        <v>486</v>
      </c>
      <c r="J209" s="664">
        <v>2</v>
      </c>
      <c r="K209" s="664">
        <v>972</v>
      </c>
      <c r="L209" s="664">
        <v>0.1111111111111111</v>
      </c>
      <c r="M209" s="664">
        <v>486</v>
      </c>
      <c r="N209" s="664">
        <v>46</v>
      </c>
      <c r="O209" s="664">
        <v>22402</v>
      </c>
      <c r="P209" s="677">
        <v>2.5608139003200732</v>
      </c>
      <c r="Q209" s="665">
        <v>487</v>
      </c>
    </row>
    <row r="210" spans="1:17" ht="14.4" customHeight="1" x14ac:dyDescent="0.3">
      <c r="A210" s="660" t="s">
        <v>4465</v>
      </c>
      <c r="B210" s="661" t="s">
        <v>4466</v>
      </c>
      <c r="C210" s="661" t="s">
        <v>3411</v>
      </c>
      <c r="D210" s="661" t="s">
        <v>4493</v>
      </c>
      <c r="E210" s="661" t="s">
        <v>4494</v>
      </c>
      <c r="F210" s="664">
        <v>19</v>
      </c>
      <c r="G210" s="664">
        <v>760</v>
      </c>
      <c r="H210" s="664">
        <v>1</v>
      </c>
      <c r="I210" s="664">
        <v>40</v>
      </c>
      <c r="J210" s="664">
        <v>8</v>
      </c>
      <c r="K210" s="664">
        <v>320</v>
      </c>
      <c r="L210" s="664">
        <v>0.42105263157894735</v>
      </c>
      <c r="M210" s="664">
        <v>40</v>
      </c>
      <c r="N210" s="664">
        <v>27</v>
      </c>
      <c r="O210" s="664">
        <v>1107</v>
      </c>
      <c r="P210" s="677">
        <v>1.456578947368421</v>
      </c>
      <c r="Q210" s="665">
        <v>41</v>
      </c>
    </row>
    <row r="211" spans="1:17" ht="14.4" customHeight="1" x14ac:dyDescent="0.3">
      <c r="A211" s="660" t="s">
        <v>4465</v>
      </c>
      <c r="B211" s="661" t="s">
        <v>4466</v>
      </c>
      <c r="C211" s="661" t="s">
        <v>3411</v>
      </c>
      <c r="D211" s="661" t="s">
        <v>4495</v>
      </c>
      <c r="E211" s="661" t="s">
        <v>4496</v>
      </c>
      <c r="F211" s="664"/>
      <c r="G211" s="664"/>
      <c r="H211" s="664"/>
      <c r="I211" s="664"/>
      <c r="J211" s="664">
        <v>1</v>
      </c>
      <c r="K211" s="664">
        <v>604</v>
      </c>
      <c r="L211" s="664"/>
      <c r="M211" s="664">
        <v>604</v>
      </c>
      <c r="N211" s="664">
        <v>4</v>
      </c>
      <c r="O211" s="664">
        <v>2432</v>
      </c>
      <c r="P211" s="677"/>
      <c r="Q211" s="665">
        <v>608</v>
      </c>
    </row>
    <row r="212" spans="1:17" ht="14.4" customHeight="1" x14ac:dyDescent="0.3">
      <c r="A212" s="660" t="s">
        <v>4465</v>
      </c>
      <c r="B212" s="661" t="s">
        <v>4466</v>
      </c>
      <c r="C212" s="661" t="s">
        <v>3411</v>
      </c>
      <c r="D212" s="661" t="s">
        <v>4497</v>
      </c>
      <c r="E212" s="661" t="s">
        <v>4498</v>
      </c>
      <c r="F212" s="664"/>
      <c r="G212" s="664"/>
      <c r="H212" s="664"/>
      <c r="I212" s="664"/>
      <c r="J212" s="664"/>
      <c r="K212" s="664"/>
      <c r="L212" s="664"/>
      <c r="M212" s="664"/>
      <c r="N212" s="664">
        <v>1</v>
      </c>
      <c r="O212" s="664">
        <v>962</v>
      </c>
      <c r="P212" s="677"/>
      <c r="Q212" s="665">
        <v>962</v>
      </c>
    </row>
    <row r="213" spans="1:17" ht="14.4" customHeight="1" x14ac:dyDescent="0.3">
      <c r="A213" s="660" t="s">
        <v>4499</v>
      </c>
      <c r="B213" s="661" t="s">
        <v>4458</v>
      </c>
      <c r="C213" s="661" t="s">
        <v>3411</v>
      </c>
      <c r="D213" s="661" t="s">
        <v>4500</v>
      </c>
      <c r="E213" s="661" t="s">
        <v>4501</v>
      </c>
      <c r="F213" s="664">
        <v>1</v>
      </c>
      <c r="G213" s="664">
        <v>166</v>
      </c>
      <c r="H213" s="664">
        <v>1</v>
      </c>
      <c r="I213" s="664">
        <v>166</v>
      </c>
      <c r="J213" s="664"/>
      <c r="K213" s="664"/>
      <c r="L213" s="664"/>
      <c r="M213" s="664"/>
      <c r="N213" s="664"/>
      <c r="O213" s="664"/>
      <c r="P213" s="677"/>
      <c r="Q213" s="665"/>
    </row>
    <row r="214" spans="1:17" ht="14.4" customHeight="1" x14ac:dyDescent="0.3">
      <c r="A214" s="660" t="s">
        <v>4499</v>
      </c>
      <c r="B214" s="661" t="s">
        <v>4458</v>
      </c>
      <c r="C214" s="661" t="s">
        <v>3411</v>
      </c>
      <c r="D214" s="661" t="s">
        <v>4502</v>
      </c>
      <c r="E214" s="661" t="s">
        <v>4503</v>
      </c>
      <c r="F214" s="664">
        <v>1</v>
      </c>
      <c r="G214" s="664">
        <v>169</v>
      </c>
      <c r="H214" s="664">
        <v>1</v>
      </c>
      <c r="I214" s="664">
        <v>169</v>
      </c>
      <c r="J214" s="664"/>
      <c r="K214" s="664"/>
      <c r="L214" s="664"/>
      <c r="M214" s="664"/>
      <c r="N214" s="664"/>
      <c r="O214" s="664"/>
      <c r="P214" s="677"/>
      <c r="Q214" s="665"/>
    </row>
    <row r="215" spans="1:17" ht="14.4" customHeight="1" x14ac:dyDescent="0.3">
      <c r="A215" s="660" t="s">
        <v>4499</v>
      </c>
      <c r="B215" s="661" t="s">
        <v>4458</v>
      </c>
      <c r="C215" s="661" t="s">
        <v>3411</v>
      </c>
      <c r="D215" s="661" t="s">
        <v>4504</v>
      </c>
      <c r="E215" s="661" t="s">
        <v>4505</v>
      </c>
      <c r="F215" s="664">
        <v>1</v>
      </c>
      <c r="G215" s="664">
        <v>172</v>
      </c>
      <c r="H215" s="664">
        <v>1</v>
      </c>
      <c r="I215" s="664">
        <v>172</v>
      </c>
      <c r="J215" s="664"/>
      <c r="K215" s="664"/>
      <c r="L215" s="664"/>
      <c r="M215" s="664"/>
      <c r="N215" s="664"/>
      <c r="O215" s="664"/>
      <c r="P215" s="677"/>
      <c r="Q215" s="665"/>
    </row>
    <row r="216" spans="1:17" ht="14.4" customHeight="1" x14ac:dyDescent="0.3">
      <c r="A216" s="660" t="s">
        <v>552</v>
      </c>
      <c r="B216" s="661" t="s">
        <v>3526</v>
      </c>
      <c r="C216" s="661" t="s">
        <v>3411</v>
      </c>
      <c r="D216" s="661" t="s">
        <v>3711</v>
      </c>
      <c r="E216" s="661" t="s">
        <v>3712</v>
      </c>
      <c r="F216" s="664">
        <v>56</v>
      </c>
      <c r="G216" s="664">
        <v>3136</v>
      </c>
      <c r="H216" s="664">
        <v>1</v>
      </c>
      <c r="I216" s="664">
        <v>56</v>
      </c>
      <c r="J216" s="664"/>
      <c r="K216" s="664"/>
      <c r="L216" s="664"/>
      <c r="M216" s="664"/>
      <c r="N216" s="664"/>
      <c r="O216" s="664"/>
      <c r="P216" s="677"/>
      <c r="Q216" s="665"/>
    </row>
    <row r="217" spans="1:17" ht="14.4" customHeight="1" x14ac:dyDescent="0.3">
      <c r="A217" s="660" t="s">
        <v>552</v>
      </c>
      <c r="B217" s="661" t="s">
        <v>3526</v>
      </c>
      <c r="C217" s="661" t="s">
        <v>3411</v>
      </c>
      <c r="D217" s="661" t="s">
        <v>3713</v>
      </c>
      <c r="E217" s="661" t="s">
        <v>3714</v>
      </c>
      <c r="F217" s="664">
        <v>56</v>
      </c>
      <c r="G217" s="664">
        <v>3416</v>
      </c>
      <c r="H217" s="664">
        <v>1</v>
      </c>
      <c r="I217" s="664">
        <v>61</v>
      </c>
      <c r="J217" s="664"/>
      <c r="K217" s="664"/>
      <c r="L217" s="664"/>
      <c r="M217" s="664"/>
      <c r="N217" s="664"/>
      <c r="O217" s="664"/>
      <c r="P217" s="677"/>
      <c r="Q217" s="665"/>
    </row>
    <row r="218" spans="1:17" ht="14.4" customHeight="1" x14ac:dyDescent="0.3">
      <c r="A218" s="660" t="s">
        <v>552</v>
      </c>
      <c r="B218" s="661" t="s">
        <v>3526</v>
      </c>
      <c r="C218" s="661" t="s">
        <v>3411</v>
      </c>
      <c r="D218" s="661" t="s">
        <v>3780</v>
      </c>
      <c r="E218" s="661" t="s">
        <v>3781</v>
      </c>
      <c r="F218" s="664">
        <v>56</v>
      </c>
      <c r="G218" s="664">
        <v>1624</v>
      </c>
      <c r="H218" s="664">
        <v>1</v>
      </c>
      <c r="I218" s="664">
        <v>29</v>
      </c>
      <c r="J218" s="664"/>
      <c r="K218" s="664"/>
      <c r="L218" s="664"/>
      <c r="M218" s="664"/>
      <c r="N218" s="664"/>
      <c r="O218" s="664"/>
      <c r="P218" s="677"/>
      <c r="Q218" s="665"/>
    </row>
    <row r="219" spans="1:17" ht="14.4" customHeight="1" x14ac:dyDescent="0.3">
      <c r="A219" s="660" t="s">
        <v>552</v>
      </c>
      <c r="B219" s="661" t="s">
        <v>3526</v>
      </c>
      <c r="C219" s="661" t="s">
        <v>3411</v>
      </c>
      <c r="D219" s="661" t="s">
        <v>3784</v>
      </c>
      <c r="E219" s="661" t="s">
        <v>3785</v>
      </c>
      <c r="F219" s="664">
        <v>56</v>
      </c>
      <c r="G219" s="664">
        <v>3976</v>
      </c>
      <c r="H219" s="664">
        <v>1</v>
      </c>
      <c r="I219" s="664">
        <v>71</v>
      </c>
      <c r="J219" s="664"/>
      <c r="K219" s="664"/>
      <c r="L219" s="664"/>
      <c r="M219" s="664"/>
      <c r="N219" s="664"/>
      <c r="O219" s="664"/>
      <c r="P219" s="677"/>
      <c r="Q219" s="665"/>
    </row>
    <row r="220" spans="1:17" ht="14.4" customHeight="1" x14ac:dyDescent="0.3">
      <c r="A220" s="660" t="s">
        <v>552</v>
      </c>
      <c r="B220" s="661" t="s">
        <v>3526</v>
      </c>
      <c r="C220" s="661" t="s">
        <v>3411</v>
      </c>
      <c r="D220" s="661" t="s">
        <v>3786</v>
      </c>
      <c r="E220" s="661" t="s">
        <v>3787</v>
      </c>
      <c r="F220" s="664">
        <v>56</v>
      </c>
      <c r="G220" s="664">
        <v>1624</v>
      </c>
      <c r="H220" s="664">
        <v>1</v>
      </c>
      <c r="I220" s="664">
        <v>29</v>
      </c>
      <c r="J220" s="664"/>
      <c r="K220" s="664"/>
      <c r="L220" s="664"/>
      <c r="M220" s="664"/>
      <c r="N220" s="664"/>
      <c r="O220" s="664"/>
      <c r="P220" s="677"/>
      <c r="Q220" s="665"/>
    </row>
    <row r="221" spans="1:17" ht="14.4" customHeight="1" x14ac:dyDescent="0.3">
      <c r="A221" s="660" t="s">
        <v>552</v>
      </c>
      <c r="B221" s="661" t="s">
        <v>3526</v>
      </c>
      <c r="C221" s="661" t="s">
        <v>3411</v>
      </c>
      <c r="D221" s="661" t="s">
        <v>3792</v>
      </c>
      <c r="E221" s="661" t="s">
        <v>3793</v>
      </c>
      <c r="F221" s="664">
        <v>56</v>
      </c>
      <c r="G221" s="664">
        <v>1288</v>
      </c>
      <c r="H221" s="664">
        <v>1</v>
      </c>
      <c r="I221" s="664">
        <v>23</v>
      </c>
      <c r="J221" s="664"/>
      <c r="K221" s="664"/>
      <c r="L221" s="664"/>
      <c r="M221" s="664"/>
      <c r="N221" s="664"/>
      <c r="O221" s="664"/>
      <c r="P221" s="677"/>
      <c r="Q221" s="665"/>
    </row>
    <row r="222" spans="1:17" ht="14.4" customHeight="1" x14ac:dyDescent="0.3">
      <c r="A222" s="660" t="s">
        <v>4506</v>
      </c>
      <c r="B222" s="661" t="s">
        <v>4507</v>
      </c>
      <c r="C222" s="661" t="s">
        <v>3411</v>
      </c>
      <c r="D222" s="661" t="s">
        <v>4459</v>
      </c>
      <c r="E222" s="661" t="s">
        <v>4460</v>
      </c>
      <c r="F222" s="664">
        <v>1</v>
      </c>
      <c r="G222" s="664">
        <v>1245</v>
      </c>
      <c r="H222" s="664">
        <v>1</v>
      </c>
      <c r="I222" s="664">
        <v>1245</v>
      </c>
      <c r="J222" s="664"/>
      <c r="K222" s="664"/>
      <c r="L222" s="664"/>
      <c r="M222" s="664"/>
      <c r="N222" s="664"/>
      <c r="O222" s="664"/>
      <c r="P222" s="677"/>
      <c r="Q222" s="665"/>
    </row>
    <row r="223" spans="1:17" ht="14.4" customHeight="1" x14ac:dyDescent="0.3">
      <c r="A223" s="660" t="s">
        <v>4506</v>
      </c>
      <c r="B223" s="661" t="s">
        <v>4507</v>
      </c>
      <c r="C223" s="661" t="s">
        <v>3411</v>
      </c>
      <c r="D223" s="661" t="s">
        <v>4508</v>
      </c>
      <c r="E223" s="661" t="s">
        <v>4509</v>
      </c>
      <c r="F223" s="664">
        <v>4</v>
      </c>
      <c r="G223" s="664">
        <v>37348</v>
      </c>
      <c r="H223" s="664">
        <v>1</v>
      </c>
      <c r="I223" s="664">
        <v>9337</v>
      </c>
      <c r="J223" s="664"/>
      <c r="K223" s="664"/>
      <c r="L223" s="664"/>
      <c r="M223" s="664"/>
      <c r="N223" s="664"/>
      <c r="O223" s="664"/>
      <c r="P223" s="677"/>
      <c r="Q223" s="665"/>
    </row>
    <row r="224" spans="1:17" ht="14.4" customHeight="1" thickBot="1" x14ac:dyDescent="0.35">
      <c r="A224" s="666" t="s">
        <v>4506</v>
      </c>
      <c r="B224" s="667" t="s">
        <v>4507</v>
      </c>
      <c r="C224" s="667" t="s">
        <v>3411</v>
      </c>
      <c r="D224" s="667" t="s">
        <v>4461</v>
      </c>
      <c r="E224" s="667" t="s">
        <v>4462</v>
      </c>
      <c r="F224" s="670">
        <v>6</v>
      </c>
      <c r="G224" s="670">
        <v>13398</v>
      </c>
      <c r="H224" s="670">
        <v>1</v>
      </c>
      <c r="I224" s="670">
        <v>2233</v>
      </c>
      <c r="J224" s="670"/>
      <c r="K224" s="670"/>
      <c r="L224" s="670"/>
      <c r="M224" s="670"/>
      <c r="N224" s="670"/>
      <c r="O224" s="670"/>
      <c r="P224" s="678"/>
      <c r="Q224" s="671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0" customWidth="1"/>
    <col min="6" max="6" width="6.109375" style="201" customWidth="1"/>
    <col min="7" max="9" width="8.33203125" style="200" customWidth="1"/>
    <col min="10" max="10" width="6.109375" style="201" customWidth="1"/>
    <col min="11" max="14" width="8.33203125" style="200" customWidth="1"/>
    <col min="15" max="16384" width="8.88671875" style="192"/>
  </cols>
  <sheetData>
    <row r="1" spans="1:14" ht="18.600000000000001" customHeight="1" thickBot="1" x14ac:dyDescent="0.4">
      <c r="A1" s="607" t="s">
        <v>182</v>
      </c>
      <c r="B1" s="608"/>
      <c r="C1" s="608"/>
      <c r="D1" s="608"/>
      <c r="E1" s="608"/>
      <c r="F1" s="608"/>
      <c r="G1" s="608"/>
      <c r="H1" s="608"/>
      <c r="I1" s="608"/>
      <c r="J1" s="608"/>
      <c r="K1" s="608"/>
      <c r="L1" s="608"/>
      <c r="M1" s="608"/>
      <c r="N1" s="608"/>
    </row>
    <row r="2" spans="1:14" ht="14.4" customHeight="1" thickBot="1" x14ac:dyDescent="0.35">
      <c r="A2" s="383" t="s">
        <v>334</v>
      </c>
      <c r="B2" s="193"/>
      <c r="C2" s="193"/>
      <c r="D2" s="193"/>
      <c r="E2" s="193"/>
      <c r="F2" s="193"/>
      <c r="G2" s="451"/>
      <c r="H2" s="451"/>
      <c r="I2" s="451"/>
      <c r="J2" s="193"/>
      <c r="K2" s="451"/>
      <c r="L2" s="451"/>
      <c r="M2" s="451"/>
      <c r="N2" s="193"/>
    </row>
    <row r="3" spans="1:14" ht="14.4" customHeight="1" thickBot="1" x14ac:dyDescent="0.35">
      <c r="A3" s="194"/>
      <c r="B3" s="195" t="s">
        <v>160</v>
      </c>
      <c r="C3" s="196">
        <f>SUBTOTAL(9,C6:C1048576)</f>
        <v>943</v>
      </c>
      <c r="D3" s="197">
        <f>SUBTOTAL(9,D6:D1048576)</f>
        <v>997</v>
      </c>
      <c r="E3" s="197">
        <f>SUBTOTAL(9,E6:E1048576)</f>
        <v>939</v>
      </c>
      <c r="F3" s="198">
        <f>IF(OR(E3=0,C3=0),"",E3/C3)</f>
        <v>0.99575821845174972</v>
      </c>
      <c r="G3" s="452">
        <f>SUBTOTAL(9,G6:G1048576)</f>
        <v>8086.4162999999999</v>
      </c>
      <c r="H3" s="453">
        <f>SUBTOTAL(9,H6:H1048576)</f>
        <v>8292.9239999999991</v>
      </c>
      <c r="I3" s="453">
        <f>SUBTOTAL(9,I6:I1048576)</f>
        <v>7376.9777999999997</v>
      </c>
      <c r="J3" s="198">
        <f>IF(OR(I3=0,G3=0),"",I3/G3)</f>
        <v>0.91226787322339564</v>
      </c>
      <c r="K3" s="452">
        <f>SUBTOTAL(9,K6:K1048576)</f>
        <v>2826.1</v>
      </c>
      <c r="L3" s="453">
        <f>SUBTOTAL(9,L6:L1048576)</f>
        <v>2926.44</v>
      </c>
      <c r="M3" s="453">
        <f>SUBTOTAL(9,M6:M1048576)</f>
        <v>2609.2799999999997</v>
      </c>
      <c r="N3" s="199">
        <f>IF(OR(M3=0,E3=0),"",M3/E3)</f>
        <v>2.7787859424920125</v>
      </c>
    </row>
    <row r="4" spans="1:14" ht="14.4" customHeight="1" x14ac:dyDescent="0.3">
      <c r="A4" s="609" t="s">
        <v>90</v>
      </c>
      <c r="B4" s="610" t="s">
        <v>11</v>
      </c>
      <c r="C4" s="611" t="s">
        <v>91</v>
      </c>
      <c r="D4" s="611"/>
      <c r="E4" s="611"/>
      <c r="F4" s="612"/>
      <c r="G4" s="613" t="s">
        <v>14</v>
      </c>
      <c r="H4" s="611"/>
      <c r="I4" s="611"/>
      <c r="J4" s="612"/>
      <c r="K4" s="613" t="s">
        <v>92</v>
      </c>
      <c r="L4" s="611"/>
      <c r="M4" s="611"/>
      <c r="N4" s="614"/>
    </row>
    <row r="5" spans="1:14" ht="14.4" customHeight="1" thickBot="1" x14ac:dyDescent="0.35">
      <c r="A5" s="902"/>
      <c r="B5" s="903"/>
      <c r="C5" s="910">
        <v>2013</v>
      </c>
      <c r="D5" s="910">
        <v>2014</v>
      </c>
      <c r="E5" s="910">
        <v>2015</v>
      </c>
      <c r="F5" s="911" t="s">
        <v>2</v>
      </c>
      <c r="G5" s="921">
        <v>2013</v>
      </c>
      <c r="H5" s="910">
        <v>2014</v>
      </c>
      <c r="I5" s="910">
        <v>2015</v>
      </c>
      <c r="J5" s="911" t="s">
        <v>2</v>
      </c>
      <c r="K5" s="921">
        <v>2013</v>
      </c>
      <c r="L5" s="910">
        <v>2014</v>
      </c>
      <c r="M5" s="910">
        <v>2015</v>
      </c>
      <c r="N5" s="922" t="s">
        <v>93</v>
      </c>
    </row>
    <row r="6" spans="1:14" ht="14.4" customHeight="1" x14ac:dyDescent="0.3">
      <c r="A6" s="904" t="s">
        <v>3798</v>
      </c>
      <c r="B6" s="907" t="s">
        <v>4511</v>
      </c>
      <c r="C6" s="912">
        <v>655</v>
      </c>
      <c r="D6" s="913">
        <v>712</v>
      </c>
      <c r="E6" s="913">
        <v>694</v>
      </c>
      <c r="F6" s="918">
        <v>1.0595419847328245</v>
      </c>
      <c r="G6" s="912">
        <v>585.72090000000003</v>
      </c>
      <c r="H6" s="913">
        <v>630.29339999999991</v>
      </c>
      <c r="I6" s="913">
        <v>634.53690000000006</v>
      </c>
      <c r="J6" s="918">
        <v>1.083343449072758</v>
      </c>
      <c r="K6" s="912">
        <v>78.599999999999994</v>
      </c>
      <c r="L6" s="913">
        <v>85.44</v>
      </c>
      <c r="M6" s="913">
        <v>83.28</v>
      </c>
      <c r="N6" s="923">
        <v>120</v>
      </c>
    </row>
    <row r="7" spans="1:14" ht="14.4" customHeight="1" x14ac:dyDescent="0.3">
      <c r="A7" s="905" t="s">
        <v>3974</v>
      </c>
      <c r="B7" s="908" t="s">
        <v>4512</v>
      </c>
      <c r="C7" s="914">
        <v>150</v>
      </c>
      <c r="D7" s="915">
        <v>179</v>
      </c>
      <c r="E7" s="915">
        <v>178</v>
      </c>
      <c r="F7" s="919">
        <v>1.1866666666666668</v>
      </c>
      <c r="G7" s="914">
        <v>4315.2767999999996</v>
      </c>
      <c r="H7" s="915">
        <v>5149.7226000000001</v>
      </c>
      <c r="I7" s="915">
        <v>5120.9531999999999</v>
      </c>
      <c r="J7" s="919">
        <v>1.1867032956031929</v>
      </c>
      <c r="K7" s="914">
        <v>1650</v>
      </c>
      <c r="L7" s="915">
        <v>1969</v>
      </c>
      <c r="M7" s="915">
        <v>1958</v>
      </c>
      <c r="N7" s="924">
        <v>11000</v>
      </c>
    </row>
    <row r="8" spans="1:14" ht="14.4" customHeight="1" x14ac:dyDescent="0.3">
      <c r="A8" s="905" t="s">
        <v>3992</v>
      </c>
      <c r="B8" s="908" t="s">
        <v>4512</v>
      </c>
      <c r="C8" s="914">
        <v>86</v>
      </c>
      <c r="D8" s="915">
        <v>75</v>
      </c>
      <c r="E8" s="915">
        <v>52</v>
      </c>
      <c r="F8" s="919">
        <v>0.60465116279069764</v>
      </c>
      <c r="G8" s="914">
        <v>2164.4748</v>
      </c>
      <c r="H8" s="915">
        <v>1887.7049999999997</v>
      </c>
      <c r="I8" s="915">
        <v>1308.8088</v>
      </c>
      <c r="J8" s="919">
        <v>0.6046773101724261</v>
      </c>
      <c r="K8" s="914">
        <v>774</v>
      </c>
      <c r="L8" s="915">
        <v>675</v>
      </c>
      <c r="M8" s="915">
        <v>468</v>
      </c>
      <c r="N8" s="924">
        <v>9000</v>
      </c>
    </row>
    <row r="9" spans="1:14" ht="14.4" customHeight="1" x14ac:dyDescent="0.3">
      <c r="A9" s="905" t="s">
        <v>3987</v>
      </c>
      <c r="B9" s="908" t="s">
        <v>4512</v>
      </c>
      <c r="C9" s="914">
        <v>45</v>
      </c>
      <c r="D9" s="915">
        <v>27</v>
      </c>
      <c r="E9" s="915">
        <v>14</v>
      </c>
      <c r="F9" s="919">
        <v>0.31111111111111112</v>
      </c>
      <c r="G9" s="914">
        <v>970.57620000000009</v>
      </c>
      <c r="H9" s="915">
        <v>582.37380000000019</v>
      </c>
      <c r="I9" s="915">
        <v>301.97159999999997</v>
      </c>
      <c r="J9" s="919">
        <v>0.3111261125092496</v>
      </c>
      <c r="K9" s="914">
        <v>315</v>
      </c>
      <c r="L9" s="915">
        <v>189</v>
      </c>
      <c r="M9" s="915">
        <v>98</v>
      </c>
      <c r="N9" s="924">
        <v>7000</v>
      </c>
    </row>
    <row r="10" spans="1:14" ht="14.4" customHeight="1" x14ac:dyDescent="0.3">
      <c r="A10" s="905" t="s">
        <v>3976</v>
      </c>
      <c r="B10" s="908" t="s">
        <v>4512</v>
      </c>
      <c r="C10" s="914">
        <v>2</v>
      </c>
      <c r="D10" s="915">
        <v>4</v>
      </c>
      <c r="E10" s="915">
        <v>1</v>
      </c>
      <c r="F10" s="919">
        <v>0.5</v>
      </c>
      <c r="G10" s="914">
        <v>21.412800000000001</v>
      </c>
      <c r="H10" s="915">
        <v>42.8292</v>
      </c>
      <c r="I10" s="915">
        <v>10.7073</v>
      </c>
      <c r="J10" s="919">
        <v>0.50004203093476796</v>
      </c>
      <c r="K10" s="914">
        <v>4</v>
      </c>
      <c r="L10" s="915">
        <v>8</v>
      </c>
      <c r="M10" s="915">
        <v>2</v>
      </c>
      <c r="N10" s="924">
        <v>2000</v>
      </c>
    </row>
    <row r="11" spans="1:14" ht="14.4" customHeight="1" x14ac:dyDescent="0.3">
      <c r="A11" s="905" t="s">
        <v>3989</v>
      </c>
      <c r="B11" s="908" t="s">
        <v>4512</v>
      </c>
      <c r="C11" s="914">
        <v>4</v>
      </c>
      <c r="D11" s="915"/>
      <c r="E11" s="915"/>
      <c r="F11" s="919"/>
      <c r="G11" s="914">
        <v>24.026400000000002</v>
      </c>
      <c r="H11" s="915"/>
      <c r="I11" s="915"/>
      <c r="J11" s="919"/>
      <c r="K11" s="914">
        <v>4</v>
      </c>
      <c r="L11" s="915"/>
      <c r="M11" s="915"/>
      <c r="N11" s="924"/>
    </row>
    <row r="12" spans="1:14" ht="14.4" customHeight="1" thickBot="1" x14ac:dyDescent="0.35">
      <c r="A12" s="906" t="s">
        <v>3985</v>
      </c>
      <c r="B12" s="909" t="s">
        <v>4512</v>
      </c>
      <c r="C12" s="916">
        <v>1</v>
      </c>
      <c r="D12" s="917"/>
      <c r="E12" s="917"/>
      <c r="F12" s="920"/>
      <c r="G12" s="916">
        <v>4.9283999999999999</v>
      </c>
      <c r="H12" s="917"/>
      <c r="I12" s="917"/>
      <c r="J12" s="920"/>
      <c r="K12" s="916">
        <v>0.5</v>
      </c>
      <c r="L12" s="917"/>
      <c r="M12" s="917"/>
      <c r="N12" s="925"/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54"/>
    <col min="2" max="13" width="8.88671875" style="254" customWidth="1"/>
    <col min="14" max="16384" width="8.88671875" style="254"/>
  </cols>
  <sheetData>
    <row r="1" spans="1:13" ht="18.600000000000001" customHeight="1" thickBot="1" x14ac:dyDescent="0.4">
      <c r="A1" s="478" t="s">
        <v>129</v>
      </c>
      <c r="B1" s="478"/>
      <c r="C1" s="478"/>
      <c r="D1" s="478"/>
      <c r="E1" s="478"/>
      <c r="F1" s="478"/>
      <c r="G1" s="478"/>
      <c r="H1" s="478"/>
      <c r="I1" s="478"/>
      <c r="J1" s="478"/>
      <c r="K1" s="478"/>
      <c r="L1" s="478"/>
      <c r="M1" s="478"/>
    </row>
    <row r="2" spans="1:13" ht="14.4" customHeight="1" x14ac:dyDescent="0.3">
      <c r="A2" s="383" t="s">
        <v>334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</row>
    <row r="3" spans="1:13" ht="14.4" customHeight="1" x14ac:dyDescent="0.3">
      <c r="A3" s="328"/>
      <c r="B3" s="329" t="s">
        <v>103</v>
      </c>
      <c r="C3" s="330" t="s">
        <v>104</v>
      </c>
      <c r="D3" s="330" t="s">
        <v>105</v>
      </c>
      <c r="E3" s="329" t="s">
        <v>106</v>
      </c>
      <c r="F3" s="330" t="s">
        <v>107</v>
      </c>
      <c r="G3" s="330" t="s">
        <v>108</v>
      </c>
      <c r="H3" s="330" t="s">
        <v>109</v>
      </c>
      <c r="I3" s="330" t="s">
        <v>110</v>
      </c>
      <c r="J3" s="330" t="s">
        <v>111</v>
      </c>
      <c r="K3" s="330" t="s">
        <v>112</v>
      </c>
      <c r="L3" s="330" t="s">
        <v>113</v>
      </c>
      <c r="M3" s="330" t="s">
        <v>114</v>
      </c>
    </row>
    <row r="4" spans="1:13" ht="14.4" customHeight="1" x14ac:dyDescent="0.3">
      <c r="A4" s="328" t="s">
        <v>102</v>
      </c>
      <c r="B4" s="331">
        <f>(B10+B8)/B6</f>
        <v>0.71954730627991192</v>
      </c>
      <c r="C4" s="331">
        <f t="shared" ref="C4:M4" si="0">(C10+C8)/C6</f>
        <v>1.1308597247911409</v>
      </c>
      <c r="D4" s="331">
        <f t="shared" si="0"/>
        <v>1.0246326584132562E-2</v>
      </c>
      <c r="E4" s="331">
        <f t="shared" si="0"/>
        <v>1.0246326584132562E-2</v>
      </c>
      <c r="F4" s="331">
        <f t="shared" si="0"/>
        <v>1.0246326584132562E-2</v>
      </c>
      <c r="G4" s="331">
        <f t="shared" si="0"/>
        <v>1.0246326584132562E-2</v>
      </c>
      <c r="H4" s="331">
        <f t="shared" si="0"/>
        <v>1.0246326584132562E-2</v>
      </c>
      <c r="I4" s="331">
        <f t="shared" si="0"/>
        <v>1.0246326584132562E-2</v>
      </c>
      <c r="J4" s="331">
        <f t="shared" si="0"/>
        <v>1.0246326584132562E-2</v>
      </c>
      <c r="K4" s="331">
        <f t="shared" si="0"/>
        <v>1.0246326584132562E-2</v>
      </c>
      <c r="L4" s="331">
        <f t="shared" si="0"/>
        <v>1.0246326584132562E-2</v>
      </c>
      <c r="M4" s="331">
        <f t="shared" si="0"/>
        <v>1.0246326584132562E-2</v>
      </c>
    </row>
    <row r="5" spans="1:13" ht="14.4" customHeight="1" x14ac:dyDescent="0.3">
      <c r="A5" s="332" t="s">
        <v>53</v>
      </c>
      <c r="B5" s="331">
        <f>IF(ISERROR(VLOOKUP($A5,'Man Tab'!$A:$Q,COLUMN()+2,0)),0,VLOOKUP($A5,'Man Tab'!$A:$Q,COLUMN()+2,0))</f>
        <v>12066.183730000001</v>
      </c>
      <c r="C5" s="331">
        <f>IF(ISERROR(VLOOKUP($A5,'Man Tab'!$A:$Q,COLUMN()+2,0)),0,VLOOKUP($A5,'Man Tab'!$A:$Q,COLUMN()+2,0))</f>
        <v>10802.987779999999</v>
      </c>
      <c r="D5" s="331">
        <f>IF(ISERROR(VLOOKUP($A5,'Man Tab'!$A:$Q,COLUMN()+2,0)),0,VLOOKUP($A5,'Man Tab'!$A:$Q,COLUMN()+2,0))</f>
        <v>0</v>
      </c>
      <c r="E5" s="331">
        <f>IF(ISERROR(VLOOKUP($A5,'Man Tab'!$A:$Q,COLUMN()+2,0)),0,VLOOKUP($A5,'Man Tab'!$A:$Q,COLUMN()+2,0))</f>
        <v>0</v>
      </c>
      <c r="F5" s="331">
        <f>IF(ISERROR(VLOOKUP($A5,'Man Tab'!$A:$Q,COLUMN()+2,0)),0,VLOOKUP($A5,'Man Tab'!$A:$Q,COLUMN()+2,0))</f>
        <v>0</v>
      </c>
      <c r="G5" s="331">
        <f>IF(ISERROR(VLOOKUP($A5,'Man Tab'!$A:$Q,COLUMN()+2,0)),0,VLOOKUP($A5,'Man Tab'!$A:$Q,COLUMN()+2,0))</f>
        <v>0</v>
      </c>
      <c r="H5" s="331">
        <f>IF(ISERROR(VLOOKUP($A5,'Man Tab'!$A:$Q,COLUMN()+2,0)),0,VLOOKUP($A5,'Man Tab'!$A:$Q,COLUMN()+2,0))</f>
        <v>0</v>
      </c>
      <c r="I5" s="331">
        <f>IF(ISERROR(VLOOKUP($A5,'Man Tab'!$A:$Q,COLUMN()+2,0)),0,VLOOKUP($A5,'Man Tab'!$A:$Q,COLUMN()+2,0))</f>
        <v>0</v>
      </c>
      <c r="J5" s="331">
        <f>IF(ISERROR(VLOOKUP($A5,'Man Tab'!$A:$Q,COLUMN()+2,0)),0,VLOOKUP($A5,'Man Tab'!$A:$Q,COLUMN()+2,0))</f>
        <v>0</v>
      </c>
      <c r="K5" s="331">
        <f>IF(ISERROR(VLOOKUP($A5,'Man Tab'!$A:$Q,COLUMN()+2,0)),0,VLOOKUP($A5,'Man Tab'!$A:$Q,COLUMN()+2,0))</f>
        <v>0</v>
      </c>
      <c r="L5" s="331">
        <f>IF(ISERROR(VLOOKUP($A5,'Man Tab'!$A:$Q,COLUMN()+2,0)),0,VLOOKUP($A5,'Man Tab'!$A:$Q,COLUMN()+2,0))</f>
        <v>0</v>
      </c>
      <c r="M5" s="331">
        <f>IF(ISERROR(VLOOKUP($A5,'Man Tab'!$A:$Q,COLUMN()+2,0)),0,VLOOKUP($A5,'Man Tab'!$A:$Q,COLUMN()+2,0))</f>
        <v>0</v>
      </c>
    </row>
    <row r="6" spans="1:13" ht="14.4" customHeight="1" x14ac:dyDescent="0.3">
      <c r="A6" s="332" t="s">
        <v>98</v>
      </c>
      <c r="B6" s="333">
        <f>B5</f>
        <v>12066.183730000001</v>
      </c>
      <c r="C6" s="333">
        <f t="shared" ref="C6:M6" si="1">C5+B6</f>
        <v>22869.17151</v>
      </c>
      <c r="D6" s="333">
        <f t="shared" si="1"/>
        <v>22869.17151</v>
      </c>
      <c r="E6" s="333">
        <f t="shared" si="1"/>
        <v>22869.17151</v>
      </c>
      <c r="F6" s="333">
        <f t="shared" si="1"/>
        <v>22869.17151</v>
      </c>
      <c r="G6" s="333">
        <f t="shared" si="1"/>
        <v>22869.17151</v>
      </c>
      <c r="H6" s="333">
        <f t="shared" si="1"/>
        <v>22869.17151</v>
      </c>
      <c r="I6" s="333">
        <f t="shared" si="1"/>
        <v>22869.17151</v>
      </c>
      <c r="J6" s="333">
        <f t="shared" si="1"/>
        <v>22869.17151</v>
      </c>
      <c r="K6" s="333">
        <f t="shared" si="1"/>
        <v>22869.17151</v>
      </c>
      <c r="L6" s="333">
        <f t="shared" si="1"/>
        <v>22869.17151</v>
      </c>
      <c r="M6" s="333">
        <f t="shared" si="1"/>
        <v>22869.17151</v>
      </c>
    </row>
    <row r="7" spans="1:13" ht="14.4" customHeight="1" x14ac:dyDescent="0.3">
      <c r="A7" s="332" t="s">
        <v>127</v>
      </c>
      <c r="B7" s="332">
        <v>284.74799999999999</v>
      </c>
      <c r="C7" s="332">
        <v>854.25</v>
      </c>
      <c r="D7" s="332"/>
      <c r="E7" s="332"/>
      <c r="F7" s="332"/>
      <c r="G7" s="332"/>
      <c r="H7" s="332"/>
      <c r="I7" s="332"/>
      <c r="J7" s="332"/>
      <c r="K7" s="332"/>
      <c r="L7" s="332"/>
      <c r="M7" s="332"/>
    </row>
    <row r="8" spans="1:13" ht="14.4" customHeight="1" x14ac:dyDescent="0.3">
      <c r="A8" s="332" t="s">
        <v>99</v>
      </c>
      <c r="B8" s="333">
        <f>B7*30</f>
        <v>8542.44</v>
      </c>
      <c r="C8" s="333">
        <f t="shared" ref="C8:M8" si="2">C7*30</f>
        <v>25627.5</v>
      </c>
      <c r="D8" s="333">
        <f t="shared" si="2"/>
        <v>0</v>
      </c>
      <c r="E8" s="333">
        <f t="shared" si="2"/>
        <v>0</v>
      </c>
      <c r="F8" s="333">
        <f t="shared" si="2"/>
        <v>0</v>
      </c>
      <c r="G8" s="333">
        <f t="shared" si="2"/>
        <v>0</v>
      </c>
      <c r="H8" s="333">
        <f t="shared" si="2"/>
        <v>0</v>
      </c>
      <c r="I8" s="333">
        <f t="shared" si="2"/>
        <v>0</v>
      </c>
      <c r="J8" s="333">
        <f t="shared" si="2"/>
        <v>0</v>
      </c>
      <c r="K8" s="333">
        <f t="shared" si="2"/>
        <v>0</v>
      </c>
      <c r="L8" s="333">
        <f t="shared" si="2"/>
        <v>0</v>
      </c>
      <c r="M8" s="333">
        <f t="shared" si="2"/>
        <v>0</v>
      </c>
    </row>
    <row r="9" spans="1:13" ht="14.4" customHeight="1" x14ac:dyDescent="0.3">
      <c r="A9" s="332" t="s">
        <v>128</v>
      </c>
      <c r="B9" s="332">
        <v>139750</v>
      </c>
      <c r="C9" s="332">
        <v>94575</v>
      </c>
      <c r="D9" s="332">
        <v>0</v>
      </c>
      <c r="E9" s="332">
        <v>0</v>
      </c>
      <c r="F9" s="332">
        <v>0</v>
      </c>
      <c r="G9" s="332">
        <v>0</v>
      </c>
      <c r="H9" s="332">
        <v>0</v>
      </c>
      <c r="I9" s="332">
        <v>0</v>
      </c>
      <c r="J9" s="332">
        <v>0</v>
      </c>
      <c r="K9" s="332">
        <v>0</v>
      </c>
      <c r="L9" s="332">
        <v>0</v>
      </c>
      <c r="M9" s="332">
        <v>0</v>
      </c>
    </row>
    <row r="10" spans="1:13" ht="14.4" customHeight="1" x14ac:dyDescent="0.3">
      <c r="A10" s="332" t="s">
        <v>100</v>
      </c>
      <c r="B10" s="333">
        <f>B9/1000</f>
        <v>139.75</v>
      </c>
      <c r="C10" s="333">
        <f t="shared" ref="C10:M10" si="3">C9/1000+B10</f>
        <v>234.32499999999999</v>
      </c>
      <c r="D10" s="333">
        <f t="shared" si="3"/>
        <v>234.32499999999999</v>
      </c>
      <c r="E10" s="333">
        <f t="shared" si="3"/>
        <v>234.32499999999999</v>
      </c>
      <c r="F10" s="333">
        <f t="shared" si="3"/>
        <v>234.32499999999999</v>
      </c>
      <c r="G10" s="333">
        <f t="shared" si="3"/>
        <v>234.32499999999999</v>
      </c>
      <c r="H10" s="333">
        <f t="shared" si="3"/>
        <v>234.32499999999999</v>
      </c>
      <c r="I10" s="333">
        <f t="shared" si="3"/>
        <v>234.32499999999999</v>
      </c>
      <c r="J10" s="333">
        <f t="shared" si="3"/>
        <v>234.32499999999999</v>
      </c>
      <c r="K10" s="333">
        <f t="shared" si="3"/>
        <v>234.32499999999999</v>
      </c>
      <c r="L10" s="333">
        <f t="shared" si="3"/>
        <v>234.32499999999999</v>
      </c>
      <c r="M10" s="333">
        <f t="shared" si="3"/>
        <v>234.32499999999999</v>
      </c>
    </row>
    <row r="11" spans="1:13" ht="14.4" customHeight="1" x14ac:dyDescent="0.3">
      <c r="A11" s="328"/>
      <c r="B11" s="328" t="s">
        <v>116</v>
      </c>
      <c r="C11" s="328">
        <f ca="1">IF(MONTH(TODAY())=1,12,MONTH(TODAY())-1)</f>
        <v>2</v>
      </c>
      <c r="D11" s="328"/>
      <c r="E11" s="328"/>
      <c r="F11" s="328"/>
      <c r="G11" s="328"/>
      <c r="H11" s="328"/>
      <c r="I11" s="328"/>
      <c r="J11" s="328"/>
      <c r="K11" s="328"/>
      <c r="L11" s="328"/>
      <c r="M11" s="328"/>
    </row>
    <row r="12" spans="1:13" ht="14.4" customHeight="1" x14ac:dyDescent="0.3">
      <c r="A12" s="328">
        <v>0</v>
      </c>
      <c r="B12" s="331">
        <f>IF(ISERROR(HI!F15),#REF!,HI!F15)</f>
        <v>1.0825030119262646</v>
      </c>
      <c r="C12" s="328"/>
      <c r="D12" s="328"/>
      <c r="E12" s="328"/>
      <c r="F12" s="328"/>
      <c r="G12" s="328"/>
      <c r="H12" s="328"/>
      <c r="I12" s="328"/>
      <c r="J12" s="328"/>
      <c r="K12" s="328"/>
      <c r="L12" s="328"/>
      <c r="M12" s="328"/>
    </row>
    <row r="13" spans="1:13" ht="14.4" customHeight="1" x14ac:dyDescent="0.3">
      <c r="A13" s="328">
        <v>1</v>
      </c>
      <c r="B13" s="331">
        <f>IF(ISERROR(HI!F15),#REF!,HI!F15)</f>
        <v>1.0825030119262646</v>
      </c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54" bestFit="1" customWidth="1"/>
    <col min="2" max="2" width="12.77734375" style="254" bestFit="1" customWidth="1"/>
    <col min="3" max="3" width="13.6640625" style="254" bestFit="1" customWidth="1"/>
    <col min="4" max="15" width="7.77734375" style="254" bestFit="1" customWidth="1"/>
    <col min="16" max="16" width="8.88671875" style="254" customWidth="1"/>
    <col min="17" max="17" width="6.6640625" style="254" bestFit="1" customWidth="1"/>
    <col min="18" max="16384" width="8.88671875" style="254"/>
  </cols>
  <sheetData>
    <row r="1" spans="1:17" s="334" customFormat="1" ht="18.600000000000001" customHeight="1" thickBot="1" x14ac:dyDescent="0.4">
      <c r="A1" s="487" t="s">
        <v>336</v>
      </c>
      <c r="B1" s="487"/>
      <c r="C1" s="487"/>
      <c r="D1" s="487"/>
      <c r="E1" s="487"/>
      <c r="F1" s="487"/>
      <c r="G1" s="487"/>
      <c r="H1" s="478"/>
      <c r="I1" s="478"/>
      <c r="J1" s="478"/>
      <c r="K1" s="478"/>
      <c r="L1" s="478"/>
      <c r="M1" s="478"/>
      <c r="N1" s="478"/>
      <c r="O1" s="478"/>
      <c r="P1" s="478"/>
      <c r="Q1" s="478"/>
    </row>
    <row r="2" spans="1:17" s="334" customFormat="1" ht="14.4" customHeight="1" thickBot="1" x14ac:dyDescent="0.3">
      <c r="A2" s="383" t="s">
        <v>334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335"/>
    </row>
    <row r="3" spans="1:17" ht="14.4" customHeight="1" x14ac:dyDescent="0.3">
      <c r="A3" s="101"/>
      <c r="B3" s="488" t="s">
        <v>29</v>
      </c>
      <c r="C3" s="489"/>
      <c r="D3" s="489"/>
      <c r="E3" s="489"/>
      <c r="F3" s="489"/>
      <c r="G3" s="489"/>
      <c r="H3" s="489"/>
      <c r="I3" s="489"/>
      <c r="J3" s="489"/>
      <c r="K3" s="489"/>
      <c r="L3" s="489"/>
      <c r="M3" s="489"/>
      <c r="N3" s="489"/>
      <c r="O3" s="489"/>
      <c r="P3" s="263"/>
      <c r="Q3" s="265"/>
    </row>
    <row r="4" spans="1:17" ht="14.4" customHeight="1" x14ac:dyDescent="0.3">
      <c r="A4" s="102"/>
      <c r="B4" s="24">
        <v>2015</v>
      </c>
      <c r="C4" s="264" t="s">
        <v>30</v>
      </c>
      <c r="D4" s="242" t="s">
        <v>313</v>
      </c>
      <c r="E4" s="242" t="s">
        <v>314</v>
      </c>
      <c r="F4" s="242" t="s">
        <v>315</v>
      </c>
      <c r="G4" s="242" t="s">
        <v>316</v>
      </c>
      <c r="H4" s="242" t="s">
        <v>317</v>
      </c>
      <c r="I4" s="242" t="s">
        <v>318</v>
      </c>
      <c r="J4" s="242" t="s">
        <v>319</v>
      </c>
      <c r="K4" s="242" t="s">
        <v>320</v>
      </c>
      <c r="L4" s="242" t="s">
        <v>321</v>
      </c>
      <c r="M4" s="242" t="s">
        <v>322</v>
      </c>
      <c r="N4" s="242" t="s">
        <v>323</v>
      </c>
      <c r="O4" s="242" t="s">
        <v>324</v>
      </c>
      <c r="P4" s="490" t="s">
        <v>3</v>
      </c>
      <c r="Q4" s="491"/>
    </row>
    <row r="5" spans="1:17" ht="14.4" customHeight="1" thickBot="1" x14ac:dyDescent="0.35">
      <c r="A5" s="103"/>
      <c r="B5" s="25" t="s">
        <v>31</v>
      </c>
      <c r="C5" s="26" t="s">
        <v>31</v>
      </c>
      <c r="D5" s="26" t="s">
        <v>32</v>
      </c>
      <c r="E5" s="26" t="s">
        <v>32</v>
      </c>
      <c r="F5" s="26" t="s">
        <v>32</v>
      </c>
      <c r="G5" s="26" t="s">
        <v>32</v>
      </c>
      <c r="H5" s="26" t="s">
        <v>32</v>
      </c>
      <c r="I5" s="26" t="s">
        <v>32</v>
      </c>
      <c r="J5" s="26" t="s">
        <v>32</v>
      </c>
      <c r="K5" s="26" t="s">
        <v>32</v>
      </c>
      <c r="L5" s="26" t="s">
        <v>32</v>
      </c>
      <c r="M5" s="26" t="s">
        <v>32</v>
      </c>
      <c r="N5" s="26" t="s">
        <v>32</v>
      </c>
      <c r="O5" s="26" t="s">
        <v>32</v>
      </c>
      <c r="P5" s="26" t="s">
        <v>32</v>
      </c>
      <c r="Q5" s="27" t="s">
        <v>33</v>
      </c>
    </row>
    <row r="6" spans="1:17" ht="14.4" customHeight="1" x14ac:dyDescent="0.3">
      <c r="A6" s="18" t="s">
        <v>34</v>
      </c>
      <c r="B6" s="52">
        <v>7359.6081514218604</v>
      </c>
      <c r="C6" s="53">
        <v>613.30067928515496</v>
      </c>
      <c r="D6" s="53">
        <v>430.22649999999999</v>
      </c>
      <c r="E6" s="53">
        <v>277.23000000000098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3">
        <v>0</v>
      </c>
      <c r="M6" s="53">
        <v>0</v>
      </c>
      <c r="N6" s="53">
        <v>0</v>
      </c>
      <c r="O6" s="53">
        <v>0</v>
      </c>
      <c r="P6" s="54">
        <v>707.45650000000001</v>
      </c>
      <c r="Q6" s="188">
        <v>0.57676154934599999</v>
      </c>
    </row>
    <row r="7" spans="1:17" ht="14.4" customHeight="1" x14ac:dyDescent="0.3">
      <c r="A7" s="19" t="s">
        <v>35</v>
      </c>
      <c r="B7" s="55">
        <v>7584.5420776246601</v>
      </c>
      <c r="C7" s="56">
        <v>632.04517313538895</v>
      </c>
      <c r="D7" s="56">
        <v>684.81656999999996</v>
      </c>
      <c r="E7" s="56">
        <v>642.70587000000205</v>
      </c>
      <c r="F7" s="56">
        <v>0</v>
      </c>
      <c r="G7" s="56">
        <v>0</v>
      </c>
      <c r="H7" s="56">
        <v>0</v>
      </c>
      <c r="I7" s="56">
        <v>0</v>
      </c>
      <c r="J7" s="56">
        <v>0</v>
      </c>
      <c r="K7" s="56">
        <v>0</v>
      </c>
      <c r="L7" s="56">
        <v>0</v>
      </c>
      <c r="M7" s="56">
        <v>0</v>
      </c>
      <c r="N7" s="56">
        <v>0</v>
      </c>
      <c r="O7" s="56">
        <v>0</v>
      </c>
      <c r="P7" s="57">
        <v>1327.52244</v>
      </c>
      <c r="Q7" s="189">
        <v>1.050180031764</v>
      </c>
    </row>
    <row r="8" spans="1:17" ht="14.4" customHeight="1" x14ac:dyDescent="0.3">
      <c r="A8" s="19" t="s">
        <v>36</v>
      </c>
      <c r="B8" s="55">
        <v>3365.5794619579901</v>
      </c>
      <c r="C8" s="56">
        <v>280.464955163166</v>
      </c>
      <c r="D8" s="56">
        <v>275.59800000000001</v>
      </c>
      <c r="E8" s="56">
        <v>263.203000000001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>
        <v>0</v>
      </c>
      <c r="N8" s="56">
        <v>0</v>
      </c>
      <c r="O8" s="56">
        <v>0</v>
      </c>
      <c r="P8" s="57">
        <v>538.80100000000095</v>
      </c>
      <c r="Q8" s="189">
        <v>0.96054959823099995</v>
      </c>
    </row>
    <row r="9" spans="1:17" ht="14.4" customHeight="1" x14ac:dyDescent="0.3">
      <c r="A9" s="19" t="s">
        <v>37</v>
      </c>
      <c r="B9" s="55">
        <v>35985.997325677097</v>
      </c>
      <c r="C9" s="56">
        <v>2998.8331104730901</v>
      </c>
      <c r="D9" s="56">
        <v>3730.7057199999999</v>
      </c>
      <c r="E9" s="56">
        <v>2624.03548000001</v>
      </c>
      <c r="F9" s="56">
        <v>0</v>
      </c>
      <c r="G9" s="56">
        <v>0</v>
      </c>
      <c r="H9" s="56">
        <v>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7">
        <v>6354.7412000000104</v>
      </c>
      <c r="Q9" s="189">
        <v>1.059535653685</v>
      </c>
    </row>
    <row r="10" spans="1:17" ht="14.4" customHeight="1" x14ac:dyDescent="0.3">
      <c r="A10" s="19" t="s">
        <v>38</v>
      </c>
      <c r="B10" s="55">
        <v>520.99998358976302</v>
      </c>
      <c r="C10" s="56">
        <v>43.416665299145997</v>
      </c>
      <c r="D10" s="56">
        <v>47.358020000000003</v>
      </c>
      <c r="E10" s="56">
        <v>49.969580000000001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>
        <v>0</v>
      </c>
      <c r="N10" s="56">
        <v>0</v>
      </c>
      <c r="O10" s="56">
        <v>0</v>
      </c>
      <c r="P10" s="57">
        <v>97.327600000000004</v>
      </c>
      <c r="Q10" s="189">
        <v>1.1208553136149999</v>
      </c>
    </row>
    <row r="11" spans="1:17" ht="14.4" customHeight="1" x14ac:dyDescent="0.3">
      <c r="A11" s="19" t="s">
        <v>39</v>
      </c>
      <c r="B11" s="55">
        <v>833.19777103041099</v>
      </c>
      <c r="C11" s="56">
        <v>69.433147585867005</v>
      </c>
      <c r="D11" s="56">
        <v>78.320070000000001</v>
      </c>
      <c r="E11" s="56">
        <v>67.793319999999994</v>
      </c>
      <c r="F11" s="56">
        <v>0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0</v>
      </c>
      <c r="N11" s="56">
        <v>0</v>
      </c>
      <c r="O11" s="56">
        <v>0</v>
      </c>
      <c r="P11" s="57">
        <v>146.11339000000001</v>
      </c>
      <c r="Q11" s="189">
        <v>1.052187572364</v>
      </c>
    </row>
    <row r="12" spans="1:17" ht="14.4" customHeight="1" x14ac:dyDescent="0.3">
      <c r="A12" s="19" t="s">
        <v>40</v>
      </c>
      <c r="B12" s="55">
        <v>1014.8909975559</v>
      </c>
      <c r="C12" s="56">
        <v>84.574249796325006</v>
      </c>
      <c r="D12" s="56">
        <v>9.5836900000000007</v>
      </c>
      <c r="E12" s="56">
        <v>16.737829999999999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7">
        <v>26.32152</v>
      </c>
      <c r="Q12" s="189">
        <v>0.15561190352400001</v>
      </c>
    </row>
    <row r="13" spans="1:17" ht="14.4" customHeight="1" x14ac:dyDescent="0.3">
      <c r="A13" s="19" t="s">
        <v>41</v>
      </c>
      <c r="B13" s="55">
        <v>617.99998053449701</v>
      </c>
      <c r="C13" s="56">
        <v>51.499998377874</v>
      </c>
      <c r="D13" s="56">
        <v>42.964550000000003</v>
      </c>
      <c r="E13" s="56">
        <v>56.811259999999997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7">
        <v>99.775810000000007</v>
      </c>
      <c r="Q13" s="189">
        <v>0.96869721497700001</v>
      </c>
    </row>
    <row r="14" spans="1:17" ht="14.4" customHeight="1" x14ac:dyDescent="0.3">
      <c r="A14" s="19" t="s">
        <v>42</v>
      </c>
      <c r="B14" s="55">
        <v>2102.9376785159502</v>
      </c>
      <c r="C14" s="56">
        <v>175.244806542996</v>
      </c>
      <c r="D14" s="56">
        <v>241.27600000000001</v>
      </c>
      <c r="E14" s="56">
        <v>206.17500000000101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7">
        <v>447.45100000000002</v>
      </c>
      <c r="Q14" s="189">
        <v>1.2766455361119999</v>
      </c>
    </row>
    <row r="15" spans="1:17" ht="14.4" customHeight="1" x14ac:dyDescent="0.3">
      <c r="A15" s="19" t="s">
        <v>43</v>
      </c>
      <c r="B15" s="55">
        <v>0</v>
      </c>
      <c r="C15" s="56">
        <v>0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7">
        <v>0</v>
      </c>
      <c r="Q15" s="189" t="s">
        <v>335</v>
      </c>
    </row>
    <row r="16" spans="1:17" ht="14.4" customHeight="1" x14ac:dyDescent="0.3">
      <c r="A16" s="19" t="s">
        <v>44</v>
      </c>
      <c r="B16" s="55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7">
        <v>0</v>
      </c>
      <c r="Q16" s="189" t="s">
        <v>335</v>
      </c>
    </row>
    <row r="17" spans="1:17" ht="14.4" customHeight="1" x14ac:dyDescent="0.3">
      <c r="A17" s="19" t="s">
        <v>45</v>
      </c>
      <c r="B17" s="55">
        <v>1066.7065795507499</v>
      </c>
      <c r="C17" s="56">
        <v>88.892214962561994</v>
      </c>
      <c r="D17" s="56">
        <v>30.273019999999999</v>
      </c>
      <c r="E17" s="56">
        <v>110.88897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7">
        <v>141.16199</v>
      </c>
      <c r="Q17" s="189">
        <v>0.79400648335400004</v>
      </c>
    </row>
    <row r="18" spans="1:17" ht="14.4" customHeight="1" x14ac:dyDescent="0.3">
      <c r="A18" s="19" t="s">
        <v>46</v>
      </c>
      <c r="B18" s="55">
        <v>0</v>
      </c>
      <c r="C18" s="56">
        <v>0</v>
      </c>
      <c r="D18" s="56">
        <v>3.125</v>
      </c>
      <c r="E18" s="56">
        <v>2.6709999999999998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7">
        <v>5.7960000000000003</v>
      </c>
      <c r="Q18" s="189" t="s">
        <v>335</v>
      </c>
    </row>
    <row r="19" spans="1:17" ht="14.4" customHeight="1" x14ac:dyDescent="0.3">
      <c r="A19" s="19" t="s">
        <v>47</v>
      </c>
      <c r="B19" s="55">
        <v>3927.6199690763001</v>
      </c>
      <c r="C19" s="56">
        <v>327.30166408969097</v>
      </c>
      <c r="D19" s="56">
        <v>332.36471</v>
      </c>
      <c r="E19" s="56">
        <v>246.28464000000099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7">
        <v>578.64935000000003</v>
      </c>
      <c r="Q19" s="189">
        <v>0.88396945919799996</v>
      </c>
    </row>
    <row r="20" spans="1:17" ht="14.4" customHeight="1" x14ac:dyDescent="0.3">
      <c r="A20" s="19" t="s">
        <v>48</v>
      </c>
      <c r="B20" s="55">
        <v>71038.997762443702</v>
      </c>
      <c r="C20" s="56">
        <v>5919.9164802036403</v>
      </c>
      <c r="D20" s="56">
        <v>5545.2279200000003</v>
      </c>
      <c r="E20" s="56">
        <v>5572.4997700000104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7">
        <v>11117.72769</v>
      </c>
      <c r="Q20" s="189">
        <v>0.93901051874399999</v>
      </c>
    </row>
    <row r="21" spans="1:17" ht="14.4" customHeight="1" x14ac:dyDescent="0.3">
      <c r="A21" s="20" t="s">
        <v>49</v>
      </c>
      <c r="B21" s="55">
        <v>7114.1090513686604</v>
      </c>
      <c r="C21" s="56">
        <v>592.84242094738795</v>
      </c>
      <c r="D21" s="56">
        <v>605.59900000000005</v>
      </c>
      <c r="E21" s="56">
        <v>605.621000000001</v>
      </c>
      <c r="F21" s="56">
        <v>0</v>
      </c>
      <c r="G21" s="56">
        <v>0</v>
      </c>
      <c r="H21" s="56">
        <v>0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7">
        <v>1211.22</v>
      </c>
      <c r="Q21" s="189">
        <v>1.0215362103000001</v>
      </c>
    </row>
    <row r="22" spans="1:17" ht="14.4" customHeight="1" x14ac:dyDescent="0.3">
      <c r="A22" s="19" t="s">
        <v>50</v>
      </c>
      <c r="B22" s="55">
        <v>0</v>
      </c>
      <c r="C22" s="56">
        <v>0</v>
      </c>
      <c r="D22" s="56">
        <v>0</v>
      </c>
      <c r="E22" s="56">
        <v>21.025739999999999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7">
        <v>21.025739999999999</v>
      </c>
      <c r="Q22" s="189" t="s">
        <v>335</v>
      </c>
    </row>
    <row r="23" spans="1:17" ht="14.4" customHeight="1" x14ac:dyDescent="0.3">
      <c r="A23" s="20" t="s">
        <v>51</v>
      </c>
      <c r="B23" s="55">
        <v>0</v>
      </c>
      <c r="C23" s="56">
        <v>0</v>
      </c>
      <c r="D23" s="56">
        <v>0</v>
      </c>
      <c r="E23" s="56">
        <v>0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7">
        <v>0</v>
      </c>
      <c r="Q23" s="189" t="s">
        <v>335</v>
      </c>
    </row>
    <row r="24" spans="1:17" ht="14.4" customHeight="1" x14ac:dyDescent="0.3">
      <c r="A24" s="20" t="s">
        <v>52</v>
      </c>
      <c r="B24" s="55">
        <v>2.91038304567337E-11</v>
      </c>
      <c r="C24" s="56">
        <v>1.8189894035458601E-12</v>
      </c>
      <c r="D24" s="56">
        <v>8.7449600000010008</v>
      </c>
      <c r="E24" s="56">
        <v>39.335320000002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7">
        <v>48.080280000003</v>
      </c>
      <c r="Q24" s="189"/>
    </row>
    <row r="25" spans="1:17" ht="14.4" customHeight="1" x14ac:dyDescent="0.3">
      <c r="A25" s="21" t="s">
        <v>53</v>
      </c>
      <c r="B25" s="58">
        <v>142533.186790348</v>
      </c>
      <c r="C25" s="59">
        <v>11877.765565862301</v>
      </c>
      <c r="D25" s="59">
        <v>12066.183730000001</v>
      </c>
      <c r="E25" s="59">
        <v>10802.987779999999</v>
      </c>
      <c r="F25" s="59">
        <v>0</v>
      </c>
      <c r="G25" s="59">
        <v>0</v>
      </c>
      <c r="H25" s="59">
        <v>0</v>
      </c>
      <c r="I25" s="59">
        <v>0</v>
      </c>
      <c r="J25" s="59">
        <v>0</v>
      </c>
      <c r="K25" s="59">
        <v>0</v>
      </c>
      <c r="L25" s="59">
        <v>0</v>
      </c>
      <c r="M25" s="59">
        <v>0</v>
      </c>
      <c r="N25" s="59">
        <v>0</v>
      </c>
      <c r="O25" s="59">
        <v>0</v>
      </c>
      <c r="P25" s="60">
        <v>22869.17151</v>
      </c>
      <c r="Q25" s="190">
        <v>0.96268828439099996</v>
      </c>
    </row>
    <row r="26" spans="1:17" ht="14.4" customHeight="1" x14ac:dyDescent="0.3">
      <c r="A26" s="19" t="s">
        <v>54</v>
      </c>
      <c r="B26" s="55">
        <v>0</v>
      </c>
      <c r="C26" s="56">
        <v>0</v>
      </c>
      <c r="D26" s="56">
        <v>924.33510999999999</v>
      </c>
      <c r="E26" s="56">
        <v>841.10029999999995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7">
        <v>1765.43541</v>
      </c>
      <c r="Q26" s="189" t="s">
        <v>335</v>
      </c>
    </row>
    <row r="27" spans="1:17" ht="14.4" customHeight="1" x14ac:dyDescent="0.3">
      <c r="A27" s="22" t="s">
        <v>55</v>
      </c>
      <c r="B27" s="58">
        <v>142533.186790348</v>
      </c>
      <c r="C27" s="59">
        <v>11877.765565862301</v>
      </c>
      <c r="D27" s="59">
        <v>12990.518840000001</v>
      </c>
      <c r="E27" s="59">
        <v>11644.08808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60">
        <v>24634.606919999998</v>
      </c>
      <c r="Q27" s="190">
        <v>1.0370050992919999</v>
      </c>
    </row>
    <row r="28" spans="1:17" ht="14.4" customHeight="1" x14ac:dyDescent="0.3">
      <c r="A28" s="20" t="s">
        <v>56</v>
      </c>
      <c r="B28" s="55">
        <v>0.23038190970299999</v>
      </c>
      <c r="C28" s="56">
        <v>1.9198492474999999E-2</v>
      </c>
      <c r="D28" s="56">
        <v>4.9590000000000002E-2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7">
        <v>4.9590000000000002E-2</v>
      </c>
      <c r="Q28" s="189">
        <v>0</v>
      </c>
    </row>
    <row r="29" spans="1:17" ht="14.4" customHeight="1" x14ac:dyDescent="0.3">
      <c r="A29" s="20" t="s">
        <v>57</v>
      </c>
      <c r="B29" s="55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7">
        <v>0</v>
      </c>
      <c r="Q29" s="189" t="s">
        <v>335</v>
      </c>
    </row>
    <row r="30" spans="1:17" ht="14.4" customHeight="1" x14ac:dyDescent="0.3">
      <c r="A30" s="20" t="s">
        <v>58</v>
      </c>
      <c r="B30" s="55">
        <v>0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7">
        <v>0</v>
      </c>
      <c r="Q30" s="189">
        <v>0</v>
      </c>
    </row>
    <row r="31" spans="1:17" ht="14.4" customHeight="1" thickBot="1" x14ac:dyDescent="0.35">
      <c r="A31" s="23" t="s">
        <v>59</v>
      </c>
      <c r="B31" s="61">
        <v>0</v>
      </c>
      <c r="C31" s="62">
        <v>0</v>
      </c>
      <c r="D31" s="62">
        <v>5.3432000000000004</v>
      </c>
      <c r="E31" s="62">
        <v>0</v>
      </c>
      <c r="F31" s="62">
        <v>0</v>
      </c>
      <c r="G31" s="62">
        <v>0</v>
      </c>
      <c r="H31" s="62">
        <v>0</v>
      </c>
      <c r="I31" s="62">
        <v>0</v>
      </c>
      <c r="J31" s="62">
        <v>0</v>
      </c>
      <c r="K31" s="62">
        <v>0</v>
      </c>
      <c r="L31" s="62">
        <v>0</v>
      </c>
      <c r="M31" s="62">
        <v>0</v>
      </c>
      <c r="N31" s="62">
        <v>0</v>
      </c>
      <c r="O31" s="62">
        <v>0</v>
      </c>
      <c r="P31" s="63">
        <v>5.3432000000000004</v>
      </c>
      <c r="Q31" s="191" t="s">
        <v>335</v>
      </c>
    </row>
    <row r="32" spans="1:17" ht="14.4" customHeight="1" x14ac:dyDescent="0.3">
      <c r="B32" s="255"/>
      <c r="C32" s="255"/>
      <c r="D32" s="255"/>
      <c r="E32" s="255"/>
      <c r="F32" s="255"/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</row>
    <row r="33" spans="1:17" ht="14.4" customHeight="1" x14ac:dyDescent="0.3">
      <c r="A33" s="226" t="s">
        <v>203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</row>
    <row r="34" spans="1:17" ht="14.4" customHeight="1" x14ac:dyDescent="0.3">
      <c r="A34" s="260" t="s">
        <v>333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</row>
    <row r="35" spans="1:17" ht="14.4" customHeight="1" x14ac:dyDescent="0.3">
      <c r="A35" s="261" t="s">
        <v>60</v>
      </c>
      <c r="B35" s="256"/>
      <c r="C35" s="256"/>
      <c r="D35" s="256"/>
      <c r="E35" s="25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27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54" customWidth="1"/>
    <col min="2" max="11" width="10" style="254" customWidth="1"/>
    <col min="12" max="16384" width="8.88671875" style="254"/>
  </cols>
  <sheetData>
    <row r="1" spans="1:11" s="64" customFormat="1" ht="18.600000000000001" customHeight="1" thickBot="1" x14ac:dyDescent="0.4">
      <c r="A1" s="487" t="s">
        <v>61</v>
      </c>
      <c r="B1" s="487"/>
      <c r="C1" s="487"/>
      <c r="D1" s="487"/>
      <c r="E1" s="487"/>
      <c r="F1" s="487"/>
      <c r="G1" s="487"/>
      <c r="H1" s="492"/>
      <c r="I1" s="492"/>
      <c r="J1" s="492"/>
      <c r="K1" s="492"/>
    </row>
    <row r="2" spans="1:11" s="64" customFormat="1" ht="14.4" customHeight="1" thickBot="1" x14ac:dyDescent="0.35">
      <c r="A2" s="383" t="s">
        <v>334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88" t="s">
        <v>62</v>
      </c>
      <c r="C3" s="489"/>
      <c r="D3" s="489"/>
      <c r="E3" s="489"/>
      <c r="F3" s="495" t="s">
        <v>63</v>
      </c>
      <c r="G3" s="489"/>
      <c r="H3" s="489"/>
      <c r="I3" s="489"/>
      <c r="J3" s="489"/>
      <c r="K3" s="496"/>
    </row>
    <row r="4" spans="1:11" ht="14.4" customHeight="1" x14ac:dyDescent="0.3">
      <c r="A4" s="102"/>
      <c r="B4" s="493"/>
      <c r="C4" s="494"/>
      <c r="D4" s="494"/>
      <c r="E4" s="494"/>
      <c r="F4" s="497" t="s">
        <v>329</v>
      </c>
      <c r="G4" s="499" t="s">
        <v>64</v>
      </c>
      <c r="H4" s="266" t="s">
        <v>184</v>
      </c>
      <c r="I4" s="497" t="s">
        <v>65</v>
      </c>
      <c r="J4" s="499" t="s">
        <v>331</v>
      </c>
      <c r="K4" s="500" t="s">
        <v>332</v>
      </c>
    </row>
    <row r="5" spans="1:11" ht="42" thickBot="1" x14ac:dyDescent="0.35">
      <c r="A5" s="103"/>
      <c r="B5" s="28" t="s">
        <v>325</v>
      </c>
      <c r="C5" s="29" t="s">
        <v>326</v>
      </c>
      <c r="D5" s="30" t="s">
        <v>327</v>
      </c>
      <c r="E5" s="30" t="s">
        <v>328</v>
      </c>
      <c r="F5" s="498"/>
      <c r="G5" s="498"/>
      <c r="H5" s="29" t="s">
        <v>330</v>
      </c>
      <c r="I5" s="498"/>
      <c r="J5" s="498"/>
      <c r="K5" s="501"/>
    </row>
    <row r="6" spans="1:11" ht="14.4" customHeight="1" thickBot="1" x14ac:dyDescent="0.35">
      <c r="A6" s="633" t="s">
        <v>337</v>
      </c>
      <c r="B6" s="615">
        <v>136786.899560697</v>
      </c>
      <c r="C6" s="615">
        <v>140407.95134</v>
      </c>
      <c r="D6" s="616">
        <v>3621.0517793034101</v>
      </c>
      <c r="E6" s="617">
        <v>1.0264722118189999</v>
      </c>
      <c r="F6" s="615">
        <v>142533.186790348</v>
      </c>
      <c r="G6" s="616">
        <v>23755.531131724601</v>
      </c>
      <c r="H6" s="618">
        <v>10802.987779999999</v>
      </c>
      <c r="I6" s="615">
        <v>22869.17151</v>
      </c>
      <c r="J6" s="616">
        <v>-886.359621724558</v>
      </c>
      <c r="K6" s="619">
        <v>0.160448047398</v>
      </c>
    </row>
    <row r="7" spans="1:11" ht="14.4" customHeight="1" thickBot="1" x14ac:dyDescent="0.35">
      <c r="A7" s="634" t="s">
        <v>338</v>
      </c>
      <c r="B7" s="615">
        <v>57316.6046712803</v>
      </c>
      <c r="C7" s="615">
        <v>59322.186459999997</v>
      </c>
      <c r="D7" s="616">
        <v>2005.5817887196999</v>
      </c>
      <c r="E7" s="617">
        <v>1.034991287432</v>
      </c>
      <c r="F7" s="615">
        <v>59385.753427908101</v>
      </c>
      <c r="G7" s="616">
        <v>9897.6255713180199</v>
      </c>
      <c r="H7" s="618">
        <v>4204.6611600000097</v>
      </c>
      <c r="I7" s="615">
        <v>9750.8552400000099</v>
      </c>
      <c r="J7" s="616">
        <v>-146.770331318008</v>
      </c>
      <c r="K7" s="619">
        <v>0.16419519290599999</v>
      </c>
    </row>
    <row r="8" spans="1:11" ht="14.4" customHeight="1" thickBot="1" x14ac:dyDescent="0.35">
      <c r="A8" s="635" t="s">
        <v>339</v>
      </c>
      <c r="B8" s="615">
        <v>55167.319792538699</v>
      </c>
      <c r="C8" s="615">
        <v>57377.669459999997</v>
      </c>
      <c r="D8" s="616">
        <v>2210.3496674613698</v>
      </c>
      <c r="E8" s="617">
        <v>1.040066286993</v>
      </c>
      <c r="F8" s="615">
        <v>57282.815749392103</v>
      </c>
      <c r="G8" s="616">
        <v>9547.1359582320201</v>
      </c>
      <c r="H8" s="618">
        <v>3998.4861600000099</v>
      </c>
      <c r="I8" s="615">
        <v>9303.4042400000108</v>
      </c>
      <c r="J8" s="616">
        <v>-243.731718232015</v>
      </c>
      <c r="K8" s="619">
        <v>0.16241178298</v>
      </c>
    </row>
    <row r="9" spans="1:11" ht="14.4" customHeight="1" thickBot="1" x14ac:dyDescent="0.35">
      <c r="A9" s="636" t="s">
        <v>340</v>
      </c>
      <c r="B9" s="620">
        <v>0</v>
      </c>
      <c r="C9" s="620">
        <v>8.6700000000000006E-3</v>
      </c>
      <c r="D9" s="621">
        <v>8.6700000000000006E-3</v>
      </c>
      <c r="E9" s="622" t="s">
        <v>335</v>
      </c>
      <c r="F9" s="620">
        <v>0</v>
      </c>
      <c r="G9" s="621">
        <v>0</v>
      </c>
      <c r="H9" s="623">
        <v>-1.8000000000000001E-4</v>
      </c>
      <c r="I9" s="620">
        <v>1.58E-3</v>
      </c>
      <c r="J9" s="621">
        <v>1.58E-3</v>
      </c>
      <c r="K9" s="624" t="s">
        <v>335</v>
      </c>
    </row>
    <row r="10" spans="1:11" ht="14.4" customHeight="1" thickBot="1" x14ac:dyDescent="0.35">
      <c r="A10" s="637" t="s">
        <v>341</v>
      </c>
      <c r="B10" s="615">
        <v>0</v>
      </c>
      <c r="C10" s="615">
        <v>8.6700000000000006E-3</v>
      </c>
      <c r="D10" s="616">
        <v>8.6700000000000006E-3</v>
      </c>
      <c r="E10" s="625" t="s">
        <v>335</v>
      </c>
      <c r="F10" s="615">
        <v>0</v>
      </c>
      <c r="G10" s="616">
        <v>0</v>
      </c>
      <c r="H10" s="618">
        <v>-1.8000000000000001E-4</v>
      </c>
      <c r="I10" s="615">
        <v>1.58E-3</v>
      </c>
      <c r="J10" s="616">
        <v>1.58E-3</v>
      </c>
      <c r="K10" s="626" t="s">
        <v>335</v>
      </c>
    </row>
    <row r="11" spans="1:11" ht="14.4" customHeight="1" thickBot="1" x14ac:dyDescent="0.35">
      <c r="A11" s="636" t="s">
        <v>342</v>
      </c>
      <c r="B11" s="620">
        <v>5695.9999999999</v>
      </c>
      <c r="C11" s="620">
        <v>7163.509</v>
      </c>
      <c r="D11" s="621">
        <v>1467.5090000001101</v>
      </c>
      <c r="E11" s="627">
        <v>1.2576385182580001</v>
      </c>
      <c r="F11" s="620">
        <v>7359.6081514218604</v>
      </c>
      <c r="G11" s="621">
        <v>1226.6013585703099</v>
      </c>
      <c r="H11" s="623">
        <v>277.23000000000098</v>
      </c>
      <c r="I11" s="620">
        <v>707.45650000000001</v>
      </c>
      <c r="J11" s="621">
        <v>-519.14485857031002</v>
      </c>
      <c r="K11" s="628">
        <v>9.6126924890999998E-2</v>
      </c>
    </row>
    <row r="12" spans="1:11" ht="14.4" customHeight="1" thickBot="1" x14ac:dyDescent="0.35">
      <c r="A12" s="637" t="s">
        <v>343</v>
      </c>
      <c r="B12" s="615">
        <v>5695.9999999999</v>
      </c>
      <c r="C12" s="615">
        <v>7163.509</v>
      </c>
      <c r="D12" s="616">
        <v>1467.5090000001101</v>
      </c>
      <c r="E12" s="617">
        <v>1.2576385182580001</v>
      </c>
      <c r="F12" s="615">
        <v>7359.6081514218604</v>
      </c>
      <c r="G12" s="616">
        <v>1226.6013585703099</v>
      </c>
      <c r="H12" s="618">
        <v>277.23000000000098</v>
      </c>
      <c r="I12" s="615">
        <v>707.45650000000001</v>
      </c>
      <c r="J12" s="616">
        <v>-519.14485857031002</v>
      </c>
      <c r="K12" s="619">
        <v>9.6126924890999998E-2</v>
      </c>
    </row>
    <row r="13" spans="1:11" ht="14.4" customHeight="1" thickBot="1" x14ac:dyDescent="0.35">
      <c r="A13" s="636" t="s">
        <v>344</v>
      </c>
      <c r="B13" s="620">
        <v>7914.8353796832898</v>
      </c>
      <c r="C13" s="620">
        <v>8006.6597000000002</v>
      </c>
      <c r="D13" s="621">
        <v>91.824320316713994</v>
      </c>
      <c r="E13" s="627">
        <v>1.0116015451880001</v>
      </c>
      <c r="F13" s="620">
        <v>7584.5420776246601</v>
      </c>
      <c r="G13" s="621">
        <v>1264.0903462707799</v>
      </c>
      <c r="H13" s="623">
        <v>642.70587000000205</v>
      </c>
      <c r="I13" s="620">
        <v>1327.52244</v>
      </c>
      <c r="J13" s="621">
        <v>63.432093729224</v>
      </c>
      <c r="K13" s="628">
        <v>0.17503000529400001</v>
      </c>
    </row>
    <row r="14" spans="1:11" ht="14.4" customHeight="1" thickBot="1" x14ac:dyDescent="0.35">
      <c r="A14" s="637" t="s">
        <v>345</v>
      </c>
      <c r="B14" s="615">
        <v>5729.87576989643</v>
      </c>
      <c r="C14" s="615">
        <v>5875.4904699999997</v>
      </c>
      <c r="D14" s="616">
        <v>145.61470010357201</v>
      </c>
      <c r="E14" s="617">
        <v>1.0254132386020001</v>
      </c>
      <c r="F14" s="615">
        <v>5515.9541251987503</v>
      </c>
      <c r="G14" s="616">
        <v>919.32568753312501</v>
      </c>
      <c r="H14" s="618">
        <v>465.092250000001</v>
      </c>
      <c r="I14" s="615">
        <v>1001.0114600000001</v>
      </c>
      <c r="J14" s="616">
        <v>81.685772466874994</v>
      </c>
      <c r="K14" s="619">
        <v>0.18147566808500001</v>
      </c>
    </row>
    <row r="15" spans="1:11" ht="14.4" customHeight="1" thickBot="1" x14ac:dyDescent="0.35">
      <c r="A15" s="637" t="s">
        <v>346</v>
      </c>
      <c r="B15" s="615">
        <v>643.25787146454002</v>
      </c>
      <c r="C15" s="615">
        <v>482.41125</v>
      </c>
      <c r="D15" s="616">
        <v>-160.846621464539</v>
      </c>
      <c r="E15" s="617">
        <v>0.74995001444999998</v>
      </c>
      <c r="F15" s="615">
        <v>557.63969661364899</v>
      </c>
      <c r="G15" s="616">
        <v>92.939949435608</v>
      </c>
      <c r="H15" s="618">
        <v>54.219569999999997</v>
      </c>
      <c r="I15" s="615">
        <v>91.185760000000002</v>
      </c>
      <c r="J15" s="616">
        <v>-1.754189435607</v>
      </c>
      <c r="K15" s="619">
        <v>0.16352092677999999</v>
      </c>
    </row>
    <row r="16" spans="1:11" ht="14.4" customHeight="1" thickBot="1" x14ac:dyDescent="0.35">
      <c r="A16" s="637" t="s">
        <v>347</v>
      </c>
      <c r="B16" s="615">
        <v>560.00491717430305</v>
      </c>
      <c r="C16" s="615">
        <v>692.47546</v>
      </c>
      <c r="D16" s="616">
        <v>132.47054282569701</v>
      </c>
      <c r="E16" s="617">
        <v>1.2365524636709999</v>
      </c>
      <c r="F16" s="615">
        <v>632.25792305893003</v>
      </c>
      <c r="G16" s="616">
        <v>105.37632050982199</v>
      </c>
      <c r="H16" s="618">
        <v>35.966500000000003</v>
      </c>
      <c r="I16" s="615">
        <v>83.266850000000005</v>
      </c>
      <c r="J16" s="616">
        <v>-22.109470509821001</v>
      </c>
      <c r="K16" s="619">
        <v>0.13169759834200001</v>
      </c>
    </row>
    <row r="17" spans="1:11" ht="14.4" customHeight="1" thickBot="1" x14ac:dyDescent="0.35">
      <c r="A17" s="637" t="s">
        <v>348</v>
      </c>
      <c r="B17" s="615">
        <v>0</v>
      </c>
      <c r="C17" s="615">
        <v>0</v>
      </c>
      <c r="D17" s="616">
        <v>0</v>
      </c>
      <c r="E17" s="617">
        <v>1</v>
      </c>
      <c r="F17" s="615">
        <v>21.999999307052999</v>
      </c>
      <c r="G17" s="616">
        <v>3.6666665511750001</v>
      </c>
      <c r="H17" s="618">
        <v>0</v>
      </c>
      <c r="I17" s="615">
        <v>0</v>
      </c>
      <c r="J17" s="616">
        <v>-3.6666665511750001</v>
      </c>
      <c r="K17" s="619">
        <v>0</v>
      </c>
    </row>
    <row r="18" spans="1:11" ht="14.4" customHeight="1" thickBot="1" x14ac:dyDescent="0.35">
      <c r="A18" s="637" t="s">
        <v>349</v>
      </c>
      <c r="B18" s="615">
        <v>510.67756220487303</v>
      </c>
      <c r="C18" s="615">
        <v>669.19658000000004</v>
      </c>
      <c r="D18" s="616">
        <v>158.51901779512701</v>
      </c>
      <c r="E18" s="617">
        <v>1.3104092083279999</v>
      </c>
      <c r="F18" s="615">
        <v>549.02742880913001</v>
      </c>
      <c r="G18" s="616">
        <v>91.504571468188004</v>
      </c>
      <c r="H18" s="618">
        <v>56.036140000000003</v>
      </c>
      <c r="I18" s="615">
        <v>92.487340000000003</v>
      </c>
      <c r="J18" s="616">
        <v>0.98276853181099999</v>
      </c>
      <c r="K18" s="619">
        <v>0.16845668385000001</v>
      </c>
    </row>
    <row r="19" spans="1:11" ht="14.4" customHeight="1" thickBot="1" x14ac:dyDescent="0.35">
      <c r="A19" s="637" t="s">
        <v>350</v>
      </c>
      <c r="B19" s="615">
        <v>192.01417084361799</v>
      </c>
      <c r="C19" s="615">
        <v>15.55378</v>
      </c>
      <c r="D19" s="616">
        <v>-176.460390843618</v>
      </c>
      <c r="E19" s="617">
        <v>8.1003292264999999E-2</v>
      </c>
      <c r="F19" s="615">
        <v>30.608747726594</v>
      </c>
      <c r="G19" s="616">
        <v>5.101457954432</v>
      </c>
      <c r="H19" s="618">
        <v>0.58257999999999999</v>
      </c>
      <c r="I19" s="615">
        <v>2.7367900000000001</v>
      </c>
      <c r="J19" s="616">
        <v>-2.364667954432</v>
      </c>
      <c r="K19" s="619">
        <v>8.9412021179000004E-2</v>
      </c>
    </row>
    <row r="20" spans="1:11" ht="14.4" customHeight="1" thickBot="1" x14ac:dyDescent="0.35">
      <c r="A20" s="637" t="s">
        <v>351</v>
      </c>
      <c r="B20" s="615">
        <v>279.00508809952299</v>
      </c>
      <c r="C20" s="615">
        <v>271.53215999999998</v>
      </c>
      <c r="D20" s="616">
        <v>-7.472928099522</v>
      </c>
      <c r="E20" s="617">
        <v>0.97321579993200003</v>
      </c>
      <c r="F20" s="615">
        <v>277.054156910556</v>
      </c>
      <c r="G20" s="616">
        <v>46.175692818426</v>
      </c>
      <c r="H20" s="618">
        <v>30.80883</v>
      </c>
      <c r="I20" s="615">
        <v>56.834240000000001</v>
      </c>
      <c r="J20" s="616">
        <v>10.658547181574001</v>
      </c>
      <c r="K20" s="619">
        <v>0.20513765479500001</v>
      </c>
    </row>
    <row r="21" spans="1:11" ht="14.4" customHeight="1" thickBot="1" x14ac:dyDescent="0.35">
      <c r="A21" s="636" t="s">
        <v>352</v>
      </c>
      <c r="B21" s="620">
        <v>3425.1412216394401</v>
      </c>
      <c r="C21" s="620">
        <v>3493.194</v>
      </c>
      <c r="D21" s="621">
        <v>68.052778360559998</v>
      </c>
      <c r="E21" s="627">
        <v>1.019868605104</v>
      </c>
      <c r="F21" s="620">
        <v>3365.5794619579901</v>
      </c>
      <c r="G21" s="621">
        <v>560.92991032633199</v>
      </c>
      <c r="H21" s="623">
        <v>263.203000000001</v>
      </c>
      <c r="I21" s="620">
        <v>538.80100000000095</v>
      </c>
      <c r="J21" s="621">
        <v>-22.128910326330999</v>
      </c>
      <c r="K21" s="628">
        <v>0.160091599705</v>
      </c>
    </row>
    <row r="22" spans="1:11" ht="14.4" customHeight="1" thickBot="1" x14ac:dyDescent="0.35">
      <c r="A22" s="637" t="s">
        <v>353</v>
      </c>
      <c r="B22" s="615">
        <v>3004.98219503776</v>
      </c>
      <c r="C22" s="615">
        <v>3066.2820000000002</v>
      </c>
      <c r="D22" s="616">
        <v>61.299804962244004</v>
      </c>
      <c r="E22" s="617">
        <v>1.020399390406</v>
      </c>
      <c r="F22" s="615">
        <v>2938.2211252181801</v>
      </c>
      <c r="G22" s="616">
        <v>489.70352086969598</v>
      </c>
      <c r="H22" s="618">
        <v>243.96700000000101</v>
      </c>
      <c r="I22" s="615">
        <v>486.30500000000097</v>
      </c>
      <c r="J22" s="616">
        <v>-3.398520869695</v>
      </c>
      <c r="K22" s="619">
        <v>0.16551000733900001</v>
      </c>
    </row>
    <row r="23" spans="1:11" ht="14.4" customHeight="1" thickBot="1" x14ac:dyDescent="0.35">
      <c r="A23" s="637" t="s">
        <v>354</v>
      </c>
      <c r="B23" s="615">
        <v>420.15902660168399</v>
      </c>
      <c r="C23" s="615">
        <v>426.91199999999998</v>
      </c>
      <c r="D23" s="616">
        <v>6.7529733983159996</v>
      </c>
      <c r="E23" s="617">
        <v>1.016072422513</v>
      </c>
      <c r="F23" s="615">
        <v>427.35833673981199</v>
      </c>
      <c r="G23" s="616">
        <v>71.226389456635005</v>
      </c>
      <c r="H23" s="618">
        <v>19.236000000000001</v>
      </c>
      <c r="I23" s="615">
        <v>52.496000000000002</v>
      </c>
      <c r="J23" s="616">
        <v>-18.730389456634999</v>
      </c>
      <c r="K23" s="619">
        <v>0.122838366511</v>
      </c>
    </row>
    <row r="24" spans="1:11" ht="14.4" customHeight="1" thickBot="1" x14ac:dyDescent="0.35">
      <c r="A24" s="636" t="s">
        <v>355</v>
      </c>
      <c r="B24" s="620">
        <v>35999.866001777402</v>
      </c>
      <c r="C24" s="620">
        <v>35986.293729999998</v>
      </c>
      <c r="D24" s="621">
        <v>-13.572271777411</v>
      </c>
      <c r="E24" s="627">
        <v>0.99962299104700003</v>
      </c>
      <c r="F24" s="620">
        <v>35985.997325677097</v>
      </c>
      <c r="G24" s="621">
        <v>5997.6662209461801</v>
      </c>
      <c r="H24" s="623">
        <v>2624.03548000001</v>
      </c>
      <c r="I24" s="620">
        <v>6354.7412000000104</v>
      </c>
      <c r="J24" s="621">
        <v>357.074979053829</v>
      </c>
      <c r="K24" s="628">
        <v>0.17658927561400001</v>
      </c>
    </row>
    <row r="25" spans="1:11" ht="14.4" customHeight="1" thickBot="1" x14ac:dyDescent="0.35">
      <c r="A25" s="637" t="s">
        <v>356</v>
      </c>
      <c r="B25" s="615">
        <v>4581.0690525844902</v>
      </c>
      <c r="C25" s="615">
        <v>3625.3044799999998</v>
      </c>
      <c r="D25" s="616">
        <v>-955.76457258449204</v>
      </c>
      <c r="E25" s="617">
        <v>0.79136647764599999</v>
      </c>
      <c r="F25" s="615">
        <v>3628.9998856952998</v>
      </c>
      <c r="G25" s="616">
        <v>604.83331428254905</v>
      </c>
      <c r="H25" s="618">
        <v>190.32650000000001</v>
      </c>
      <c r="I25" s="615">
        <v>680.99811999999997</v>
      </c>
      <c r="J25" s="616">
        <v>76.164805717451003</v>
      </c>
      <c r="K25" s="619">
        <v>0.18765448923899999</v>
      </c>
    </row>
    <row r="26" spans="1:11" ht="14.4" customHeight="1" thickBot="1" x14ac:dyDescent="0.35">
      <c r="A26" s="637" t="s">
        <v>357</v>
      </c>
      <c r="B26" s="615">
        <v>246.99991492653001</v>
      </c>
      <c r="C26" s="615">
        <v>539.73163999999997</v>
      </c>
      <c r="D26" s="616">
        <v>292.73172507346999</v>
      </c>
      <c r="E26" s="617">
        <v>2.1851490927050001</v>
      </c>
      <c r="F26" s="615">
        <v>654.99997936908699</v>
      </c>
      <c r="G26" s="616">
        <v>109.16666322818099</v>
      </c>
      <c r="H26" s="618">
        <v>177.00662</v>
      </c>
      <c r="I26" s="615">
        <v>211.76187999999999</v>
      </c>
      <c r="J26" s="616">
        <v>102.595216771819</v>
      </c>
      <c r="K26" s="619">
        <v>0.32330059033500003</v>
      </c>
    </row>
    <row r="27" spans="1:11" ht="14.4" customHeight="1" thickBot="1" x14ac:dyDescent="0.35">
      <c r="A27" s="637" t="s">
        <v>358</v>
      </c>
      <c r="B27" s="615">
        <v>1183.0203441229501</v>
      </c>
      <c r="C27" s="615">
        <v>1188.20526</v>
      </c>
      <c r="D27" s="616">
        <v>5.1849158770489998</v>
      </c>
      <c r="E27" s="617">
        <v>1.004382778286</v>
      </c>
      <c r="F27" s="615">
        <v>1117.9999647857101</v>
      </c>
      <c r="G27" s="616">
        <v>186.33332746428499</v>
      </c>
      <c r="H27" s="618">
        <v>22.2852</v>
      </c>
      <c r="I27" s="615">
        <v>133.83347000000001</v>
      </c>
      <c r="J27" s="616">
        <v>-52.499857464283998</v>
      </c>
      <c r="K27" s="619">
        <v>0.11970793758000001</v>
      </c>
    </row>
    <row r="28" spans="1:11" ht="14.4" customHeight="1" thickBot="1" x14ac:dyDescent="0.35">
      <c r="A28" s="637" t="s">
        <v>359</v>
      </c>
      <c r="B28" s="615">
        <v>2.5458277183020002</v>
      </c>
      <c r="C28" s="615">
        <v>1.02559</v>
      </c>
      <c r="D28" s="616">
        <v>-1.5202377183019999</v>
      </c>
      <c r="E28" s="617">
        <v>0.40285129768400002</v>
      </c>
      <c r="F28" s="615">
        <v>1.999999937004</v>
      </c>
      <c r="G28" s="616">
        <v>0.33333332283400002</v>
      </c>
      <c r="H28" s="618">
        <v>0</v>
      </c>
      <c r="I28" s="615">
        <v>0</v>
      </c>
      <c r="J28" s="616">
        <v>-0.33333332283400002</v>
      </c>
      <c r="K28" s="619">
        <v>0</v>
      </c>
    </row>
    <row r="29" spans="1:11" ht="14.4" customHeight="1" thickBot="1" x14ac:dyDescent="0.35">
      <c r="A29" s="637" t="s">
        <v>360</v>
      </c>
      <c r="B29" s="615">
        <v>1008.51368898952</v>
      </c>
      <c r="C29" s="615">
        <v>938.61280999999997</v>
      </c>
      <c r="D29" s="616">
        <v>-69.900878989521004</v>
      </c>
      <c r="E29" s="617">
        <v>0.93068921150700001</v>
      </c>
      <c r="F29" s="615">
        <v>1021.99996780948</v>
      </c>
      <c r="G29" s="616">
        <v>170.33332796824601</v>
      </c>
      <c r="H29" s="618">
        <v>101.01143999999999</v>
      </c>
      <c r="I29" s="615">
        <v>181.33664999999999</v>
      </c>
      <c r="J29" s="616">
        <v>11.003322031753999</v>
      </c>
      <c r="K29" s="619">
        <v>0.17743312691900001</v>
      </c>
    </row>
    <row r="30" spans="1:11" ht="14.4" customHeight="1" thickBot="1" x14ac:dyDescent="0.35">
      <c r="A30" s="637" t="s">
        <v>361</v>
      </c>
      <c r="B30" s="615">
        <v>21897.135975308502</v>
      </c>
      <c r="C30" s="615">
        <v>22917.105759999999</v>
      </c>
      <c r="D30" s="616">
        <v>1019.96978469152</v>
      </c>
      <c r="E30" s="617">
        <v>1.0465800543879999</v>
      </c>
      <c r="F30" s="615">
        <v>22899.999278705502</v>
      </c>
      <c r="G30" s="616">
        <v>3816.6665464509201</v>
      </c>
      <c r="H30" s="618">
        <v>1375.54709</v>
      </c>
      <c r="I30" s="615">
        <v>3839.3364499999998</v>
      </c>
      <c r="J30" s="616">
        <v>22.669903549087</v>
      </c>
      <c r="K30" s="619">
        <v>0.167656618817</v>
      </c>
    </row>
    <row r="31" spans="1:11" ht="14.4" customHeight="1" thickBot="1" x14ac:dyDescent="0.35">
      <c r="A31" s="637" t="s">
        <v>362</v>
      </c>
      <c r="B31" s="615">
        <v>1068.70285755339</v>
      </c>
      <c r="C31" s="615">
        <v>1029.88922</v>
      </c>
      <c r="D31" s="616">
        <v>-38.813637553386002</v>
      </c>
      <c r="E31" s="617">
        <v>0.96368154414499996</v>
      </c>
      <c r="F31" s="615">
        <v>1116.99996481721</v>
      </c>
      <c r="G31" s="616">
        <v>186.16666080286799</v>
      </c>
      <c r="H31" s="618">
        <v>68.555120000000002</v>
      </c>
      <c r="I31" s="615">
        <v>162.36469</v>
      </c>
      <c r="J31" s="616">
        <v>-23.801970802867</v>
      </c>
      <c r="K31" s="619">
        <v>0.14535782910799999</v>
      </c>
    </row>
    <row r="32" spans="1:11" ht="14.4" customHeight="1" thickBot="1" x14ac:dyDescent="0.35">
      <c r="A32" s="637" t="s">
        <v>363</v>
      </c>
      <c r="B32" s="615">
        <v>2078.0607085173101</v>
      </c>
      <c r="C32" s="615">
        <v>1951.97702</v>
      </c>
      <c r="D32" s="616">
        <v>-126.083688517311</v>
      </c>
      <c r="E32" s="617">
        <v>0.93932627280699998</v>
      </c>
      <c r="F32" s="615">
        <v>1929.99993920968</v>
      </c>
      <c r="G32" s="616">
        <v>321.66665653494601</v>
      </c>
      <c r="H32" s="618">
        <v>159.01971</v>
      </c>
      <c r="I32" s="615">
        <v>309.04784999999998</v>
      </c>
      <c r="J32" s="616">
        <v>-12.618806534945</v>
      </c>
      <c r="K32" s="619">
        <v>0.16012842473200001</v>
      </c>
    </row>
    <row r="33" spans="1:11" ht="14.4" customHeight="1" thickBot="1" x14ac:dyDescent="0.35">
      <c r="A33" s="637" t="s">
        <v>364</v>
      </c>
      <c r="B33" s="615">
        <v>166.56143235329</v>
      </c>
      <c r="C33" s="615">
        <v>198.91683</v>
      </c>
      <c r="D33" s="616">
        <v>32.355397646709001</v>
      </c>
      <c r="E33" s="617">
        <v>1.1942550396539999</v>
      </c>
      <c r="F33" s="615">
        <v>250.99999209410799</v>
      </c>
      <c r="G33" s="616">
        <v>41.833332015684</v>
      </c>
      <c r="H33" s="618">
        <v>8.4082000000000008</v>
      </c>
      <c r="I33" s="615">
        <v>14.6304</v>
      </c>
      <c r="J33" s="616">
        <v>-27.202932015683999</v>
      </c>
      <c r="K33" s="619">
        <v>5.8288448051000002E-2</v>
      </c>
    </row>
    <row r="34" spans="1:11" ht="14.4" customHeight="1" thickBot="1" x14ac:dyDescent="0.35">
      <c r="A34" s="637" t="s">
        <v>365</v>
      </c>
      <c r="B34" s="615">
        <v>271.69097481343402</v>
      </c>
      <c r="C34" s="615">
        <v>286.62047000000001</v>
      </c>
      <c r="D34" s="616">
        <v>14.929495186564999</v>
      </c>
      <c r="E34" s="617">
        <v>1.054950280173</v>
      </c>
      <c r="F34" s="615">
        <v>267.99999155864998</v>
      </c>
      <c r="G34" s="616">
        <v>44.666665259774</v>
      </c>
      <c r="H34" s="618">
        <v>23.133749999999999</v>
      </c>
      <c r="I34" s="615">
        <v>43.95635</v>
      </c>
      <c r="J34" s="616">
        <v>-0.71031525977400001</v>
      </c>
      <c r="K34" s="619">
        <v>0.16401623650899999</v>
      </c>
    </row>
    <row r="35" spans="1:11" ht="14.4" customHeight="1" thickBot="1" x14ac:dyDescent="0.35">
      <c r="A35" s="637" t="s">
        <v>366</v>
      </c>
      <c r="B35" s="615">
        <v>3271.56535564357</v>
      </c>
      <c r="C35" s="615">
        <v>3257.23036</v>
      </c>
      <c r="D35" s="616">
        <v>-14.334995643574</v>
      </c>
      <c r="E35" s="617">
        <v>0.99561830680800001</v>
      </c>
      <c r="F35" s="615">
        <v>3031.9999044993501</v>
      </c>
      <c r="G35" s="616">
        <v>505.33331741655797</v>
      </c>
      <c r="H35" s="618">
        <v>399.99620000000101</v>
      </c>
      <c r="I35" s="615">
        <v>624.52295000000095</v>
      </c>
      <c r="J35" s="616">
        <v>119.189632583443</v>
      </c>
      <c r="K35" s="619">
        <v>0.20597723274099999</v>
      </c>
    </row>
    <row r="36" spans="1:11" ht="14.4" customHeight="1" thickBot="1" x14ac:dyDescent="0.35">
      <c r="A36" s="637" t="s">
        <v>367</v>
      </c>
      <c r="B36" s="615">
        <v>0</v>
      </c>
      <c r="C36" s="615">
        <v>0</v>
      </c>
      <c r="D36" s="616">
        <v>0</v>
      </c>
      <c r="E36" s="617">
        <v>1</v>
      </c>
      <c r="F36" s="615">
        <v>0</v>
      </c>
      <c r="G36" s="616">
        <v>0</v>
      </c>
      <c r="H36" s="618">
        <v>65.443849999999998</v>
      </c>
      <c r="I36" s="615">
        <v>119.65058999999999</v>
      </c>
      <c r="J36" s="616">
        <v>119.65058999999999</v>
      </c>
      <c r="K36" s="626" t="s">
        <v>368</v>
      </c>
    </row>
    <row r="37" spans="1:11" ht="14.4" customHeight="1" thickBot="1" x14ac:dyDescent="0.35">
      <c r="A37" s="637" t="s">
        <v>369</v>
      </c>
      <c r="B37" s="615">
        <v>223.99986924614399</v>
      </c>
      <c r="C37" s="615">
        <v>51.674289999999999</v>
      </c>
      <c r="D37" s="616">
        <v>-172.325579246144</v>
      </c>
      <c r="E37" s="617">
        <v>0.23068892930099999</v>
      </c>
      <c r="F37" s="615">
        <v>61.998457196002001</v>
      </c>
      <c r="G37" s="616">
        <v>10.333076199333</v>
      </c>
      <c r="H37" s="618">
        <v>33.3018</v>
      </c>
      <c r="I37" s="615">
        <v>33.3018</v>
      </c>
      <c r="J37" s="616">
        <v>22.968723800666002</v>
      </c>
      <c r="K37" s="619">
        <v>0.53713917258800004</v>
      </c>
    </row>
    <row r="38" spans="1:11" ht="14.4" customHeight="1" thickBot="1" x14ac:dyDescent="0.35">
      <c r="A38" s="636" t="s">
        <v>370</v>
      </c>
      <c r="B38" s="620">
        <v>543.89825247492604</v>
      </c>
      <c r="C38" s="620">
        <v>650.37017000000003</v>
      </c>
      <c r="D38" s="621">
        <v>106.471917525075</v>
      </c>
      <c r="E38" s="627">
        <v>1.195757050221</v>
      </c>
      <c r="F38" s="620">
        <v>520.99998358976302</v>
      </c>
      <c r="G38" s="621">
        <v>86.833330598293003</v>
      </c>
      <c r="H38" s="623">
        <v>49.969580000000001</v>
      </c>
      <c r="I38" s="620">
        <v>97.327600000000004</v>
      </c>
      <c r="J38" s="621">
        <v>10.494269401705999</v>
      </c>
      <c r="K38" s="628">
        <v>0.18680921893499999</v>
      </c>
    </row>
    <row r="39" spans="1:11" ht="14.4" customHeight="1" thickBot="1" x14ac:dyDescent="0.35">
      <c r="A39" s="637" t="s">
        <v>371</v>
      </c>
      <c r="B39" s="615">
        <v>480.85679036215299</v>
      </c>
      <c r="C39" s="615">
        <v>563.05017999999995</v>
      </c>
      <c r="D39" s="616">
        <v>82.193389637847005</v>
      </c>
      <c r="E39" s="617">
        <v>1.1709311197950001</v>
      </c>
      <c r="F39" s="615">
        <v>446.99998592058301</v>
      </c>
      <c r="G39" s="616">
        <v>74.49999765343</v>
      </c>
      <c r="H39" s="618">
        <v>40.106119999999997</v>
      </c>
      <c r="I39" s="615">
        <v>78.521140000000003</v>
      </c>
      <c r="J39" s="616">
        <v>4.0211423465690004</v>
      </c>
      <c r="K39" s="619">
        <v>0.175662511125</v>
      </c>
    </row>
    <row r="40" spans="1:11" ht="14.4" customHeight="1" thickBot="1" x14ac:dyDescent="0.35">
      <c r="A40" s="637" t="s">
        <v>372</v>
      </c>
      <c r="B40" s="615">
        <v>63.041462112772997</v>
      </c>
      <c r="C40" s="615">
        <v>87.319990000000004</v>
      </c>
      <c r="D40" s="616">
        <v>24.278527887227</v>
      </c>
      <c r="E40" s="617">
        <v>1.3851199999729999</v>
      </c>
      <c r="F40" s="615">
        <v>73.999997669178995</v>
      </c>
      <c r="G40" s="616">
        <v>12.333332944863001</v>
      </c>
      <c r="H40" s="618">
        <v>9.8634599999999999</v>
      </c>
      <c r="I40" s="615">
        <v>18.806460000000001</v>
      </c>
      <c r="J40" s="616">
        <v>6.4731270551359996</v>
      </c>
      <c r="K40" s="619">
        <v>0.25414135935600002</v>
      </c>
    </row>
    <row r="41" spans="1:11" ht="14.4" customHeight="1" thickBot="1" x14ac:dyDescent="0.35">
      <c r="A41" s="636" t="s">
        <v>373</v>
      </c>
      <c r="B41" s="620">
        <v>808.94629088091006</v>
      </c>
      <c r="C41" s="620">
        <v>858.46009000000004</v>
      </c>
      <c r="D41" s="621">
        <v>49.513799119090002</v>
      </c>
      <c r="E41" s="627">
        <v>1.061207770747</v>
      </c>
      <c r="F41" s="620">
        <v>833.19777103041099</v>
      </c>
      <c r="G41" s="621">
        <v>138.866295171735</v>
      </c>
      <c r="H41" s="623">
        <v>67.793319999999994</v>
      </c>
      <c r="I41" s="620">
        <v>146.11339000000001</v>
      </c>
      <c r="J41" s="621">
        <v>7.2470948282650003</v>
      </c>
      <c r="K41" s="628">
        <v>0.17536459539400001</v>
      </c>
    </row>
    <row r="42" spans="1:11" ht="14.4" customHeight="1" thickBot="1" x14ac:dyDescent="0.35">
      <c r="A42" s="637" t="s">
        <v>374</v>
      </c>
      <c r="B42" s="615">
        <v>0.251594930301</v>
      </c>
      <c r="C42" s="615">
        <v>9.0571999999999999</v>
      </c>
      <c r="D42" s="616">
        <v>8.8056050696980002</v>
      </c>
      <c r="E42" s="617">
        <v>35.999135551469998</v>
      </c>
      <c r="F42" s="615">
        <v>8.6016335494940002</v>
      </c>
      <c r="G42" s="616">
        <v>1.4336055915820001</v>
      </c>
      <c r="H42" s="618">
        <v>-3.5527136788005001E-15</v>
      </c>
      <c r="I42" s="615">
        <v>-3.5527136788005001E-15</v>
      </c>
      <c r="J42" s="616">
        <v>-1.4336055915820001</v>
      </c>
      <c r="K42" s="619">
        <v>-4.1302778807743601E-16</v>
      </c>
    </row>
    <row r="43" spans="1:11" ht="14.4" customHeight="1" thickBot="1" x14ac:dyDescent="0.35">
      <c r="A43" s="637" t="s">
        <v>375</v>
      </c>
      <c r="B43" s="615">
        <v>14.274965209039999</v>
      </c>
      <c r="C43" s="615">
        <v>22.927420000000001</v>
      </c>
      <c r="D43" s="616">
        <v>8.6524547909590002</v>
      </c>
      <c r="E43" s="617">
        <v>1.606127907441</v>
      </c>
      <c r="F43" s="615">
        <v>14.999999527536</v>
      </c>
      <c r="G43" s="616">
        <v>2.4999999212559998</v>
      </c>
      <c r="H43" s="618">
        <v>1.5915900000000001</v>
      </c>
      <c r="I43" s="615">
        <v>2.5910199999999999</v>
      </c>
      <c r="J43" s="616">
        <v>9.1020078742999999E-2</v>
      </c>
      <c r="K43" s="619">
        <v>0.172734672107</v>
      </c>
    </row>
    <row r="44" spans="1:11" ht="14.4" customHeight="1" thickBot="1" x14ac:dyDescent="0.35">
      <c r="A44" s="637" t="s">
        <v>376</v>
      </c>
      <c r="B44" s="615">
        <v>511.08054203925599</v>
      </c>
      <c r="C44" s="615">
        <v>503.49551000000002</v>
      </c>
      <c r="D44" s="616">
        <v>-7.5850320392560002</v>
      </c>
      <c r="E44" s="617">
        <v>0.98515883228599999</v>
      </c>
      <c r="F44" s="615">
        <v>526.23560011891595</v>
      </c>
      <c r="G44" s="616">
        <v>87.705933353152005</v>
      </c>
      <c r="H44" s="618">
        <v>44.002429999999997</v>
      </c>
      <c r="I44" s="615">
        <v>92.474959999999996</v>
      </c>
      <c r="J44" s="616">
        <v>4.7690266468470002</v>
      </c>
      <c r="K44" s="619">
        <v>0.17572919806000001</v>
      </c>
    </row>
    <row r="45" spans="1:11" ht="14.4" customHeight="1" thickBot="1" x14ac:dyDescent="0.35">
      <c r="A45" s="637" t="s">
        <v>377</v>
      </c>
      <c r="B45" s="615">
        <v>68.965736499315</v>
      </c>
      <c r="C45" s="615">
        <v>55.828519999999997</v>
      </c>
      <c r="D45" s="616">
        <v>-13.137216499315</v>
      </c>
      <c r="E45" s="617">
        <v>0.80951096636999997</v>
      </c>
      <c r="F45" s="615">
        <v>57.99999817314</v>
      </c>
      <c r="G45" s="616">
        <v>9.66666636219</v>
      </c>
      <c r="H45" s="618">
        <v>4.5301999999999998</v>
      </c>
      <c r="I45" s="615">
        <v>8.1809799999999999</v>
      </c>
      <c r="J45" s="616">
        <v>-1.4856863621900001</v>
      </c>
      <c r="K45" s="619">
        <v>0.141051383753</v>
      </c>
    </row>
    <row r="46" spans="1:11" ht="14.4" customHeight="1" thickBot="1" x14ac:dyDescent="0.35">
      <c r="A46" s="637" t="s">
        <v>378</v>
      </c>
      <c r="B46" s="615">
        <v>12.351783235338001</v>
      </c>
      <c r="C46" s="615">
        <v>7.0706499999999997</v>
      </c>
      <c r="D46" s="616">
        <v>-5.2811332353380003</v>
      </c>
      <c r="E46" s="617">
        <v>0.57243961177699998</v>
      </c>
      <c r="F46" s="615">
        <v>11.999999622029</v>
      </c>
      <c r="G46" s="616">
        <v>1.999999937004</v>
      </c>
      <c r="H46" s="618">
        <v>1.4524999999999999</v>
      </c>
      <c r="I46" s="615">
        <v>1.6495</v>
      </c>
      <c r="J46" s="616">
        <v>-0.35049993700400001</v>
      </c>
      <c r="K46" s="619">
        <v>0.137458337662</v>
      </c>
    </row>
    <row r="47" spans="1:11" ht="14.4" customHeight="1" thickBot="1" x14ac:dyDescent="0.35">
      <c r="A47" s="637" t="s">
        <v>379</v>
      </c>
      <c r="B47" s="615">
        <v>12.932042572383001</v>
      </c>
      <c r="C47" s="615">
        <v>8.82315</v>
      </c>
      <c r="D47" s="616">
        <v>-4.1088925723829997</v>
      </c>
      <c r="E47" s="617">
        <v>0.682270410928</v>
      </c>
      <c r="F47" s="615">
        <v>10.558989987722001</v>
      </c>
      <c r="G47" s="616">
        <v>1.7598316646200001</v>
      </c>
      <c r="H47" s="618">
        <v>0.62710999999999995</v>
      </c>
      <c r="I47" s="615">
        <v>1.24682</v>
      </c>
      <c r="J47" s="616">
        <v>-0.51301166462000003</v>
      </c>
      <c r="K47" s="619">
        <v>0.118081369662</v>
      </c>
    </row>
    <row r="48" spans="1:11" ht="14.4" customHeight="1" thickBot="1" x14ac:dyDescent="0.35">
      <c r="A48" s="637" t="s">
        <v>380</v>
      </c>
      <c r="B48" s="615">
        <v>28.135032798169998</v>
      </c>
      <c r="C48" s="615">
        <v>62.734310000000001</v>
      </c>
      <c r="D48" s="616">
        <v>34.599277201828997</v>
      </c>
      <c r="E48" s="617">
        <v>2.2297578414079999</v>
      </c>
      <c r="F48" s="615">
        <v>52.638907255578999</v>
      </c>
      <c r="G48" s="616">
        <v>8.7731512092630002</v>
      </c>
      <c r="H48" s="618">
        <v>5.9342699999999997</v>
      </c>
      <c r="I48" s="615">
        <v>11.35337</v>
      </c>
      <c r="J48" s="616">
        <v>2.5802187907360001</v>
      </c>
      <c r="K48" s="619">
        <v>0.21568399862199999</v>
      </c>
    </row>
    <row r="49" spans="1:11" ht="14.4" customHeight="1" thickBot="1" x14ac:dyDescent="0.35">
      <c r="A49" s="637" t="s">
        <v>381</v>
      </c>
      <c r="B49" s="615">
        <v>13.003228942910001</v>
      </c>
      <c r="C49" s="615">
        <v>15.687760000000001</v>
      </c>
      <c r="D49" s="616">
        <v>2.6845310570900001</v>
      </c>
      <c r="E49" s="617">
        <v>1.206451110633</v>
      </c>
      <c r="F49" s="615">
        <v>11.999999622029</v>
      </c>
      <c r="G49" s="616">
        <v>1.999999937004</v>
      </c>
      <c r="H49" s="618">
        <v>0.45911999999999997</v>
      </c>
      <c r="I49" s="615">
        <v>0.91823999999999995</v>
      </c>
      <c r="J49" s="616">
        <v>-1.0817599370040001</v>
      </c>
      <c r="K49" s="619">
        <v>7.6520002409999996E-2</v>
      </c>
    </row>
    <row r="50" spans="1:11" ht="14.4" customHeight="1" thickBot="1" x14ac:dyDescent="0.35">
      <c r="A50" s="637" t="s">
        <v>382</v>
      </c>
      <c r="B50" s="615">
        <v>53.959344807247</v>
      </c>
      <c r="C50" s="615">
        <v>57.220469999999999</v>
      </c>
      <c r="D50" s="616">
        <v>3.261125192752</v>
      </c>
      <c r="E50" s="617">
        <v>1.060436708496</v>
      </c>
      <c r="F50" s="615">
        <v>59.162645662270002</v>
      </c>
      <c r="G50" s="616">
        <v>9.8604409437109997</v>
      </c>
      <c r="H50" s="618">
        <v>1.5073000000000001</v>
      </c>
      <c r="I50" s="615">
        <v>8.3074600000000007</v>
      </c>
      <c r="J50" s="616">
        <v>-1.552980943711</v>
      </c>
      <c r="K50" s="619">
        <v>0.14041731749799999</v>
      </c>
    </row>
    <row r="51" spans="1:11" ht="14.4" customHeight="1" thickBot="1" x14ac:dyDescent="0.35">
      <c r="A51" s="637" t="s">
        <v>383</v>
      </c>
      <c r="B51" s="615">
        <v>93.992019846944999</v>
      </c>
      <c r="C51" s="615">
        <v>114.6123</v>
      </c>
      <c r="D51" s="616">
        <v>20.620280153054001</v>
      </c>
      <c r="E51" s="617">
        <v>1.219383307078</v>
      </c>
      <c r="F51" s="615">
        <v>78.999997511691006</v>
      </c>
      <c r="G51" s="616">
        <v>13.166666251948</v>
      </c>
      <c r="H51" s="618">
        <v>7.6887999999999996</v>
      </c>
      <c r="I51" s="615">
        <v>19.39104</v>
      </c>
      <c r="J51" s="616">
        <v>6.2243737480509997</v>
      </c>
      <c r="K51" s="619">
        <v>0.24545621026200001</v>
      </c>
    </row>
    <row r="52" spans="1:11" ht="14.4" customHeight="1" thickBot="1" x14ac:dyDescent="0.35">
      <c r="A52" s="637" t="s">
        <v>384</v>
      </c>
      <c r="B52" s="615">
        <v>0</v>
      </c>
      <c r="C52" s="615">
        <v>1.0027999999999999</v>
      </c>
      <c r="D52" s="616">
        <v>1.0027999999999999</v>
      </c>
      <c r="E52" s="625" t="s">
        <v>368</v>
      </c>
      <c r="F52" s="615">
        <v>0</v>
      </c>
      <c r="G52" s="616">
        <v>0</v>
      </c>
      <c r="H52" s="618">
        <v>0</v>
      </c>
      <c r="I52" s="615">
        <v>0</v>
      </c>
      <c r="J52" s="616">
        <v>0</v>
      </c>
      <c r="K52" s="626" t="s">
        <v>335</v>
      </c>
    </row>
    <row r="53" spans="1:11" ht="14.4" customHeight="1" thickBot="1" x14ac:dyDescent="0.35">
      <c r="A53" s="636" t="s">
        <v>385</v>
      </c>
      <c r="B53" s="620">
        <v>241.07580320140301</v>
      </c>
      <c r="C53" s="620">
        <v>711.70237999999995</v>
      </c>
      <c r="D53" s="621">
        <v>470.62657679859802</v>
      </c>
      <c r="E53" s="627">
        <v>2.952193337318</v>
      </c>
      <c r="F53" s="620">
        <v>1014.8909975559</v>
      </c>
      <c r="G53" s="621">
        <v>169.14849959265001</v>
      </c>
      <c r="H53" s="623">
        <v>16.737829999999999</v>
      </c>
      <c r="I53" s="620">
        <v>26.32152</v>
      </c>
      <c r="J53" s="621">
        <v>-142.82697959264999</v>
      </c>
      <c r="K53" s="628">
        <v>2.5935317254000001E-2</v>
      </c>
    </row>
    <row r="54" spans="1:11" ht="14.4" customHeight="1" thickBot="1" x14ac:dyDescent="0.35">
      <c r="A54" s="637" t="s">
        <v>386</v>
      </c>
      <c r="B54" s="615">
        <v>0</v>
      </c>
      <c r="C54" s="615">
        <v>0.155</v>
      </c>
      <c r="D54" s="616">
        <v>0.155</v>
      </c>
      <c r="E54" s="625" t="s">
        <v>335</v>
      </c>
      <c r="F54" s="615">
        <v>0</v>
      </c>
      <c r="G54" s="616">
        <v>0</v>
      </c>
      <c r="H54" s="618">
        <v>0</v>
      </c>
      <c r="I54" s="615">
        <v>0</v>
      </c>
      <c r="J54" s="616">
        <v>0</v>
      </c>
      <c r="K54" s="619">
        <v>0</v>
      </c>
    </row>
    <row r="55" spans="1:11" ht="14.4" customHeight="1" thickBot="1" x14ac:dyDescent="0.35">
      <c r="A55" s="637" t="s">
        <v>387</v>
      </c>
      <c r="B55" s="615">
        <v>0</v>
      </c>
      <c r="C55" s="615">
        <v>4.6844799999999998</v>
      </c>
      <c r="D55" s="616">
        <v>4.6844799999999998</v>
      </c>
      <c r="E55" s="625" t="s">
        <v>335</v>
      </c>
      <c r="F55" s="615">
        <v>0</v>
      </c>
      <c r="G55" s="616">
        <v>0</v>
      </c>
      <c r="H55" s="618">
        <v>0</v>
      </c>
      <c r="I55" s="615">
        <v>2.5250000000000002E-2</v>
      </c>
      <c r="J55" s="616">
        <v>2.5250000000000002E-2</v>
      </c>
      <c r="K55" s="626" t="s">
        <v>335</v>
      </c>
    </row>
    <row r="56" spans="1:11" ht="14.4" customHeight="1" thickBot="1" x14ac:dyDescent="0.35">
      <c r="A56" s="637" t="s">
        <v>388</v>
      </c>
      <c r="B56" s="615">
        <v>213.13816823315199</v>
      </c>
      <c r="C56" s="615">
        <v>674.67813999999998</v>
      </c>
      <c r="D56" s="616">
        <v>461.53997176684902</v>
      </c>
      <c r="E56" s="617">
        <v>3.1654496498340001</v>
      </c>
      <c r="F56" s="615">
        <v>1008.89099774489</v>
      </c>
      <c r="G56" s="616">
        <v>168.148499624148</v>
      </c>
      <c r="H56" s="618">
        <v>15.84632</v>
      </c>
      <c r="I56" s="615">
        <v>24.597259999999999</v>
      </c>
      <c r="J56" s="616">
        <v>-143.551239624148</v>
      </c>
      <c r="K56" s="619">
        <v>2.438049309E-2</v>
      </c>
    </row>
    <row r="57" spans="1:11" ht="14.4" customHeight="1" thickBot="1" x14ac:dyDescent="0.35">
      <c r="A57" s="637" t="s">
        <v>389</v>
      </c>
      <c r="B57" s="615">
        <v>0</v>
      </c>
      <c r="C57" s="615">
        <v>1.45685</v>
      </c>
      <c r="D57" s="616">
        <v>1.45685</v>
      </c>
      <c r="E57" s="625" t="s">
        <v>335</v>
      </c>
      <c r="F57" s="615">
        <v>0</v>
      </c>
      <c r="G57" s="616">
        <v>0</v>
      </c>
      <c r="H57" s="618">
        <v>0</v>
      </c>
      <c r="I57" s="615">
        <v>0</v>
      </c>
      <c r="J57" s="616">
        <v>0</v>
      </c>
      <c r="K57" s="626" t="s">
        <v>335</v>
      </c>
    </row>
    <row r="58" spans="1:11" ht="14.4" customHeight="1" thickBot="1" x14ac:dyDescent="0.35">
      <c r="A58" s="637" t="s">
        <v>390</v>
      </c>
      <c r="B58" s="615">
        <v>6.1648142946869999</v>
      </c>
      <c r="C58" s="615">
        <v>30.727910000000001</v>
      </c>
      <c r="D58" s="616">
        <v>24.563095705312001</v>
      </c>
      <c r="E58" s="617">
        <v>4.9844015620190003</v>
      </c>
      <c r="F58" s="615">
        <v>5.9999998110139998</v>
      </c>
      <c r="G58" s="616">
        <v>0.99999996850200001</v>
      </c>
      <c r="H58" s="618">
        <v>0.89151000000000002</v>
      </c>
      <c r="I58" s="615">
        <v>1.6990099999999999</v>
      </c>
      <c r="J58" s="616">
        <v>0.69901003149700003</v>
      </c>
      <c r="K58" s="619">
        <v>0.28316834225199999</v>
      </c>
    </row>
    <row r="59" spans="1:11" ht="14.4" customHeight="1" thickBot="1" x14ac:dyDescent="0.35">
      <c r="A59" s="636" t="s">
        <v>391</v>
      </c>
      <c r="B59" s="620">
        <v>537.55684288136297</v>
      </c>
      <c r="C59" s="620">
        <v>501.53471999999999</v>
      </c>
      <c r="D59" s="621">
        <v>-36.022122881362002</v>
      </c>
      <c r="E59" s="627">
        <v>0.93298918364000005</v>
      </c>
      <c r="F59" s="620">
        <v>617.99998053449701</v>
      </c>
      <c r="G59" s="621">
        <v>102.99999675575</v>
      </c>
      <c r="H59" s="623">
        <v>56.811259999999997</v>
      </c>
      <c r="I59" s="620">
        <v>99.775810000000007</v>
      </c>
      <c r="J59" s="621">
        <v>-3.2241867557489998</v>
      </c>
      <c r="K59" s="628">
        <v>0.16144953582900001</v>
      </c>
    </row>
    <row r="60" spans="1:11" ht="14.4" customHeight="1" thickBot="1" x14ac:dyDescent="0.35">
      <c r="A60" s="637" t="s">
        <v>392</v>
      </c>
      <c r="B60" s="615">
        <v>32.569270197377001</v>
      </c>
      <c r="C60" s="615">
        <v>23.064779999999999</v>
      </c>
      <c r="D60" s="616">
        <v>-9.5044901973770006</v>
      </c>
      <c r="E60" s="617">
        <v>0.70817613843399996</v>
      </c>
      <c r="F60" s="615">
        <v>30.999999023573999</v>
      </c>
      <c r="G60" s="616">
        <v>5.1666665039290001</v>
      </c>
      <c r="H60" s="618">
        <v>2.27589</v>
      </c>
      <c r="I60" s="615">
        <v>3.52461</v>
      </c>
      <c r="J60" s="616">
        <v>-1.642056503929</v>
      </c>
      <c r="K60" s="619">
        <v>0.113697100355</v>
      </c>
    </row>
    <row r="61" spans="1:11" ht="14.4" customHeight="1" thickBot="1" x14ac:dyDescent="0.35">
      <c r="A61" s="637" t="s">
        <v>393</v>
      </c>
      <c r="B61" s="615">
        <v>0</v>
      </c>
      <c r="C61" s="615">
        <v>1.4150499999999999</v>
      </c>
      <c r="D61" s="616">
        <v>1.4150499999999999</v>
      </c>
      <c r="E61" s="625" t="s">
        <v>368</v>
      </c>
      <c r="F61" s="615">
        <v>2.9999999055069999</v>
      </c>
      <c r="G61" s="616">
        <v>0.49999998425100001</v>
      </c>
      <c r="H61" s="618">
        <v>0</v>
      </c>
      <c r="I61" s="615">
        <v>0</v>
      </c>
      <c r="J61" s="616">
        <v>-0.49999998425100001</v>
      </c>
      <c r="K61" s="619">
        <v>0</v>
      </c>
    </row>
    <row r="62" spans="1:11" ht="14.4" customHeight="1" thickBot="1" x14ac:dyDescent="0.35">
      <c r="A62" s="637" t="s">
        <v>394</v>
      </c>
      <c r="B62" s="615">
        <v>0</v>
      </c>
      <c r="C62" s="615">
        <v>3.6658499999999998</v>
      </c>
      <c r="D62" s="616">
        <v>3.6658499999999998</v>
      </c>
      <c r="E62" s="625" t="s">
        <v>335</v>
      </c>
      <c r="F62" s="615">
        <v>2.9999999055069999</v>
      </c>
      <c r="G62" s="616">
        <v>0.49999998425100001</v>
      </c>
      <c r="H62" s="618">
        <v>0</v>
      </c>
      <c r="I62" s="615">
        <v>0</v>
      </c>
      <c r="J62" s="616">
        <v>-0.49999998425100001</v>
      </c>
      <c r="K62" s="619">
        <v>0</v>
      </c>
    </row>
    <row r="63" spans="1:11" ht="14.4" customHeight="1" thickBot="1" x14ac:dyDescent="0.35">
      <c r="A63" s="637" t="s">
        <v>395</v>
      </c>
      <c r="B63" s="615">
        <v>249.00221246331799</v>
      </c>
      <c r="C63" s="615">
        <v>191.42674</v>
      </c>
      <c r="D63" s="616">
        <v>-57.575472463318</v>
      </c>
      <c r="E63" s="617">
        <v>0.76877525748099995</v>
      </c>
      <c r="F63" s="615">
        <v>233.999992629567</v>
      </c>
      <c r="G63" s="616">
        <v>38.999998771594001</v>
      </c>
      <c r="H63" s="618">
        <v>21.843309999999999</v>
      </c>
      <c r="I63" s="615">
        <v>42.814639999999997</v>
      </c>
      <c r="J63" s="616">
        <v>3.8146412284050002</v>
      </c>
      <c r="K63" s="619">
        <v>0.18296855277099999</v>
      </c>
    </row>
    <row r="64" spans="1:11" ht="14.4" customHeight="1" thickBot="1" x14ac:dyDescent="0.35">
      <c r="A64" s="637" t="s">
        <v>396</v>
      </c>
      <c r="B64" s="615">
        <v>172.996640778841</v>
      </c>
      <c r="C64" s="615">
        <v>198.49875</v>
      </c>
      <c r="D64" s="616">
        <v>25.502109221158999</v>
      </c>
      <c r="E64" s="617">
        <v>1.1474138983640001</v>
      </c>
      <c r="F64" s="615">
        <v>236.99999253507499</v>
      </c>
      <c r="G64" s="616">
        <v>39.499998755844999</v>
      </c>
      <c r="H64" s="618">
        <v>13.92991</v>
      </c>
      <c r="I64" s="615">
        <v>24.800280000000001</v>
      </c>
      <c r="J64" s="616">
        <v>-14.699718755845</v>
      </c>
      <c r="K64" s="619">
        <v>0.104642534941</v>
      </c>
    </row>
    <row r="65" spans="1:11" ht="14.4" customHeight="1" thickBot="1" x14ac:dyDescent="0.35">
      <c r="A65" s="637" t="s">
        <v>397</v>
      </c>
      <c r="B65" s="615">
        <v>82.988719441826007</v>
      </c>
      <c r="C65" s="615">
        <v>83.463549999999998</v>
      </c>
      <c r="D65" s="616">
        <v>0.47483055817399999</v>
      </c>
      <c r="E65" s="617">
        <v>1.0057216277259999</v>
      </c>
      <c r="F65" s="615">
        <v>109.999996535267</v>
      </c>
      <c r="G65" s="616">
        <v>18.333332755876999</v>
      </c>
      <c r="H65" s="618">
        <v>18.762149999999998</v>
      </c>
      <c r="I65" s="615">
        <v>28.636279999999999</v>
      </c>
      <c r="J65" s="616">
        <v>10.302947244122</v>
      </c>
      <c r="K65" s="619">
        <v>0.260329826381</v>
      </c>
    </row>
    <row r="66" spans="1:11" ht="14.4" customHeight="1" thickBot="1" x14ac:dyDescent="0.35">
      <c r="A66" s="636" t="s">
        <v>398</v>
      </c>
      <c r="B66" s="620">
        <v>0</v>
      </c>
      <c r="C66" s="620">
        <v>5.9370000000000003</v>
      </c>
      <c r="D66" s="621">
        <v>5.9370000000000003</v>
      </c>
      <c r="E66" s="622" t="s">
        <v>335</v>
      </c>
      <c r="F66" s="620">
        <v>0</v>
      </c>
      <c r="G66" s="621">
        <v>0</v>
      </c>
      <c r="H66" s="623">
        <v>0</v>
      </c>
      <c r="I66" s="620">
        <v>5.3432000000000004</v>
      </c>
      <c r="J66" s="621">
        <v>5.3432000000000004</v>
      </c>
      <c r="K66" s="624" t="s">
        <v>335</v>
      </c>
    </row>
    <row r="67" spans="1:11" ht="14.4" customHeight="1" thickBot="1" x14ac:dyDescent="0.35">
      <c r="A67" s="637" t="s">
        <v>399</v>
      </c>
      <c r="B67" s="615">
        <v>0</v>
      </c>
      <c r="C67" s="615">
        <v>5.9370000000000003</v>
      </c>
      <c r="D67" s="616">
        <v>5.9370000000000003</v>
      </c>
      <c r="E67" s="625" t="s">
        <v>335</v>
      </c>
      <c r="F67" s="615">
        <v>0</v>
      </c>
      <c r="G67" s="616">
        <v>0</v>
      </c>
      <c r="H67" s="618">
        <v>0</v>
      </c>
      <c r="I67" s="615">
        <v>5.3432000000000004</v>
      </c>
      <c r="J67" s="616">
        <v>5.3432000000000004</v>
      </c>
      <c r="K67" s="626" t="s">
        <v>335</v>
      </c>
    </row>
    <row r="68" spans="1:11" ht="14.4" customHeight="1" thickBot="1" x14ac:dyDescent="0.35">
      <c r="A68" s="635" t="s">
        <v>42</v>
      </c>
      <c r="B68" s="615">
        <v>2149.2848787416701</v>
      </c>
      <c r="C68" s="615">
        <v>1944.5170000000001</v>
      </c>
      <c r="D68" s="616">
        <v>-204.76787874166399</v>
      </c>
      <c r="E68" s="617">
        <v>0.90472743712699999</v>
      </c>
      <c r="F68" s="615">
        <v>2102.9376785159502</v>
      </c>
      <c r="G68" s="616">
        <v>350.489613085992</v>
      </c>
      <c r="H68" s="618">
        <v>206.17500000000101</v>
      </c>
      <c r="I68" s="615">
        <v>447.45100000000002</v>
      </c>
      <c r="J68" s="616">
        <v>96.961386914008003</v>
      </c>
      <c r="K68" s="619">
        <v>0.21277425601800001</v>
      </c>
    </row>
    <row r="69" spans="1:11" ht="14.4" customHeight="1" thickBot="1" x14ac:dyDescent="0.35">
      <c r="A69" s="636" t="s">
        <v>400</v>
      </c>
      <c r="B69" s="620">
        <v>2149.2848787416701</v>
      </c>
      <c r="C69" s="620">
        <v>1944.5170000000001</v>
      </c>
      <c r="D69" s="621">
        <v>-204.76787874166399</v>
      </c>
      <c r="E69" s="627">
        <v>0.90472743712699999</v>
      </c>
      <c r="F69" s="620">
        <v>2102.9376785159502</v>
      </c>
      <c r="G69" s="621">
        <v>350.489613085992</v>
      </c>
      <c r="H69" s="623">
        <v>206.17500000000101</v>
      </c>
      <c r="I69" s="620">
        <v>447.45100000000002</v>
      </c>
      <c r="J69" s="621">
        <v>96.961386914008003</v>
      </c>
      <c r="K69" s="628">
        <v>0.21277425601800001</v>
      </c>
    </row>
    <row r="70" spans="1:11" ht="14.4" customHeight="1" thickBot="1" x14ac:dyDescent="0.35">
      <c r="A70" s="637" t="s">
        <v>401</v>
      </c>
      <c r="B70" s="615">
        <v>806.87418360582296</v>
      </c>
      <c r="C70" s="615">
        <v>702.86300000000006</v>
      </c>
      <c r="D70" s="616">
        <v>-104.01118360582301</v>
      </c>
      <c r="E70" s="617">
        <v>0.87109367765199996</v>
      </c>
      <c r="F70" s="615">
        <v>721.93772201410297</v>
      </c>
      <c r="G70" s="616">
        <v>120.322953669017</v>
      </c>
      <c r="H70" s="618">
        <v>48.442999999999998</v>
      </c>
      <c r="I70" s="615">
        <v>100.727</v>
      </c>
      <c r="J70" s="616">
        <v>-19.595953669017</v>
      </c>
      <c r="K70" s="619">
        <v>0.139523115261</v>
      </c>
    </row>
    <row r="71" spans="1:11" ht="14.4" customHeight="1" thickBot="1" x14ac:dyDescent="0.35">
      <c r="A71" s="637" t="s">
        <v>402</v>
      </c>
      <c r="B71" s="615">
        <v>290.04492109402401</v>
      </c>
      <c r="C71" s="615">
        <v>265.39400000000001</v>
      </c>
      <c r="D71" s="616">
        <v>-24.650921094023001</v>
      </c>
      <c r="E71" s="617">
        <v>0.91500998879399997</v>
      </c>
      <c r="F71" s="615">
        <v>369.99998834589701</v>
      </c>
      <c r="G71" s="616">
        <v>61.666664724316</v>
      </c>
      <c r="H71" s="618">
        <v>20.684000000000001</v>
      </c>
      <c r="I71" s="615">
        <v>46.280999999999999</v>
      </c>
      <c r="J71" s="616">
        <v>-15.385664724315999</v>
      </c>
      <c r="K71" s="619">
        <v>0.125083787723</v>
      </c>
    </row>
    <row r="72" spans="1:11" ht="14.4" customHeight="1" thickBot="1" x14ac:dyDescent="0.35">
      <c r="A72" s="637" t="s">
        <v>403</v>
      </c>
      <c r="B72" s="615">
        <v>1052.36577404182</v>
      </c>
      <c r="C72" s="615">
        <v>976.26000000000101</v>
      </c>
      <c r="D72" s="616">
        <v>-76.105774041817</v>
      </c>
      <c r="E72" s="617">
        <v>0.92768125311600003</v>
      </c>
      <c r="F72" s="615">
        <v>1010.99996815596</v>
      </c>
      <c r="G72" s="616">
        <v>168.49999469265899</v>
      </c>
      <c r="H72" s="618">
        <v>137.048</v>
      </c>
      <c r="I72" s="615">
        <v>300.44299999999998</v>
      </c>
      <c r="J72" s="616">
        <v>131.943005307341</v>
      </c>
      <c r="K72" s="619">
        <v>0.297174094424</v>
      </c>
    </row>
    <row r="73" spans="1:11" ht="14.4" customHeight="1" thickBot="1" x14ac:dyDescent="0.35">
      <c r="A73" s="638" t="s">
        <v>404</v>
      </c>
      <c r="B73" s="620">
        <v>4493.1931166453596</v>
      </c>
      <c r="C73" s="620">
        <v>4871.6451200000001</v>
      </c>
      <c r="D73" s="621">
        <v>378.45200335464699</v>
      </c>
      <c r="E73" s="627">
        <v>1.0842278516699999</v>
      </c>
      <c r="F73" s="620">
        <v>4994.3265486270502</v>
      </c>
      <c r="G73" s="621">
        <v>832.38775810450795</v>
      </c>
      <c r="H73" s="623">
        <v>359.84461000000101</v>
      </c>
      <c r="I73" s="620">
        <v>725.60734000000105</v>
      </c>
      <c r="J73" s="621">
        <v>-106.78041810450701</v>
      </c>
      <c r="K73" s="628">
        <v>0.145286322977</v>
      </c>
    </row>
    <row r="74" spans="1:11" ht="14.4" customHeight="1" thickBot="1" x14ac:dyDescent="0.35">
      <c r="A74" s="635" t="s">
        <v>45</v>
      </c>
      <c r="B74" s="615">
        <v>960.95761996988006</v>
      </c>
      <c r="C74" s="615">
        <v>964.97841000000005</v>
      </c>
      <c r="D74" s="616">
        <v>4.0207900301199997</v>
      </c>
      <c r="E74" s="617">
        <v>1.0041841491720001</v>
      </c>
      <c r="F74" s="615">
        <v>1066.7065795507499</v>
      </c>
      <c r="G74" s="616">
        <v>177.78442992512601</v>
      </c>
      <c r="H74" s="618">
        <v>110.88897</v>
      </c>
      <c r="I74" s="615">
        <v>141.16199</v>
      </c>
      <c r="J74" s="616">
        <v>-36.622439925125001</v>
      </c>
      <c r="K74" s="619">
        <v>0.13233441389200001</v>
      </c>
    </row>
    <row r="75" spans="1:11" ht="14.4" customHeight="1" thickBot="1" x14ac:dyDescent="0.35">
      <c r="A75" s="639" t="s">
        <v>405</v>
      </c>
      <c r="B75" s="615">
        <v>960.95761996988006</v>
      </c>
      <c r="C75" s="615">
        <v>964.97841000000005</v>
      </c>
      <c r="D75" s="616">
        <v>4.0207900301199997</v>
      </c>
      <c r="E75" s="617">
        <v>1.0041841491720001</v>
      </c>
      <c r="F75" s="615">
        <v>1066.7065795507499</v>
      </c>
      <c r="G75" s="616">
        <v>177.78442992512601</v>
      </c>
      <c r="H75" s="618">
        <v>110.88897</v>
      </c>
      <c r="I75" s="615">
        <v>141.16199</v>
      </c>
      <c r="J75" s="616">
        <v>-36.622439925125001</v>
      </c>
      <c r="K75" s="619">
        <v>0.13233441389200001</v>
      </c>
    </row>
    <row r="76" spans="1:11" ht="14.4" customHeight="1" thickBot="1" x14ac:dyDescent="0.35">
      <c r="A76" s="637" t="s">
        <v>406</v>
      </c>
      <c r="B76" s="615">
        <v>708.15198609408196</v>
      </c>
      <c r="C76" s="615">
        <v>762.28092000000004</v>
      </c>
      <c r="D76" s="616">
        <v>54.128933905917997</v>
      </c>
      <c r="E76" s="617">
        <v>1.076436887799</v>
      </c>
      <c r="F76" s="615">
        <v>756.91642657134105</v>
      </c>
      <c r="G76" s="616">
        <v>126.15273776188999</v>
      </c>
      <c r="H76" s="618">
        <v>54.840739999999997</v>
      </c>
      <c r="I76" s="615">
        <v>75.743250000000003</v>
      </c>
      <c r="J76" s="616">
        <v>-50.409487761889999</v>
      </c>
      <c r="K76" s="619">
        <v>0.100068181031</v>
      </c>
    </row>
    <row r="77" spans="1:11" ht="14.4" customHeight="1" thickBot="1" x14ac:dyDescent="0.35">
      <c r="A77" s="637" t="s">
        <v>407</v>
      </c>
      <c r="B77" s="615">
        <v>75.930718334011004</v>
      </c>
      <c r="C77" s="615">
        <v>34.112349999999999</v>
      </c>
      <c r="D77" s="616">
        <v>-41.818368334010998</v>
      </c>
      <c r="E77" s="617">
        <v>0.44925625291600002</v>
      </c>
      <c r="F77" s="615">
        <v>34.493806216236997</v>
      </c>
      <c r="G77" s="616">
        <v>5.7489677027060004</v>
      </c>
      <c r="H77" s="618">
        <v>0</v>
      </c>
      <c r="I77" s="615">
        <v>0.48399999999999999</v>
      </c>
      <c r="J77" s="616">
        <v>-5.2649677027059996</v>
      </c>
      <c r="K77" s="619">
        <v>1.4031504582E-2</v>
      </c>
    </row>
    <row r="78" spans="1:11" ht="14.4" customHeight="1" thickBot="1" x14ac:dyDescent="0.35">
      <c r="A78" s="637" t="s">
        <v>408</v>
      </c>
      <c r="B78" s="615">
        <v>93.999841299476998</v>
      </c>
      <c r="C78" s="615">
        <v>119.80408</v>
      </c>
      <c r="D78" s="616">
        <v>25.804238700521999</v>
      </c>
      <c r="E78" s="617">
        <v>1.2745136411269999</v>
      </c>
      <c r="F78" s="615">
        <v>232.99999266106499</v>
      </c>
      <c r="G78" s="616">
        <v>38.833332110176997</v>
      </c>
      <c r="H78" s="618">
        <v>48.811399999999999</v>
      </c>
      <c r="I78" s="615">
        <v>52.474910000000001</v>
      </c>
      <c r="J78" s="616">
        <v>13.641577889822001</v>
      </c>
      <c r="K78" s="619">
        <v>0.22521421310199999</v>
      </c>
    </row>
    <row r="79" spans="1:11" ht="14.4" customHeight="1" thickBot="1" x14ac:dyDescent="0.35">
      <c r="A79" s="637" t="s">
        <v>409</v>
      </c>
      <c r="B79" s="615">
        <v>82.875074242308003</v>
      </c>
      <c r="C79" s="615">
        <v>48.781059999999997</v>
      </c>
      <c r="D79" s="616">
        <v>-34.094014242307999</v>
      </c>
      <c r="E79" s="617">
        <v>0.58860954811699995</v>
      </c>
      <c r="F79" s="615">
        <v>42.296354102111003</v>
      </c>
      <c r="G79" s="616">
        <v>7.0493923503509999</v>
      </c>
      <c r="H79" s="618">
        <v>7.2368300000000003</v>
      </c>
      <c r="I79" s="615">
        <v>12.45983</v>
      </c>
      <c r="J79" s="616">
        <v>5.4104376496480002</v>
      </c>
      <c r="K79" s="619">
        <v>0.29458401946200002</v>
      </c>
    </row>
    <row r="80" spans="1:11" ht="14.4" customHeight="1" thickBot="1" x14ac:dyDescent="0.35">
      <c r="A80" s="640" t="s">
        <v>46</v>
      </c>
      <c r="B80" s="620">
        <v>0</v>
      </c>
      <c r="C80" s="620">
        <v>134.33268000000001</v>
      </c>
      <c r="D80" s="621">
        <v>134.33268000000001</v>
      </c>
      <c r="E80" s="622" t="s">
        <v>335</v>
      </c>
      <c r="F80" s="620">
        <v>0</v>
      </c>
      <c r="G80" s="621">
        <v>0</v>
      </c>
      <c r="H80" s="623">
        <v>2.6709999999999998</v>
      </c>
      <c r="I80" s="620">
        <v>5.7960000000000003</v>
      </c>
      <c r="J80" s="621">
        <v>5.7960000000000003</v>
      </c>
      <c r="K80" s="624" t="s">
        <v>335</v>
      </c>
    </row>
    <row r="81" spans="1:11" ht="14.4" customHeight="1" thickBot="1" x14ac:dyDescent="0.35">
      <c r="A81" s="636" t="s">
        <v>410</v>
      </c>
      <c r="B81" s="620">
        <v>0</v>
      </c>
      <c r="C81" s="620">
        <v>105.77500000000001</v>
      </c>
      <c r="D81" s="621">
        <v>105.77500000000001</v>
      </c>
      <c r="E81" s="622" t="s">
        <v>335</v>
      </c>
      <c r="F81" s="620">
        <v>0</v>
      </c>
      <c r="G81" s="621">
        <v>0</v>
      </c>
      <c r="H81" s="623">
        <v>2.6709999999999998</v>
      </c>
      <c r="I81" s="620">
        <v>5.7960000000000003</v>
      </c>
      <c r="J81" s="621">
        <v>5.7960000000000003</v>
      </c>
      <c r="K81" s="624" t="s">
        <v>335</v>
      </c>
    </row>
    <row r="82" spans="1:11" ht="14.4" customHeight="1" thickBot="1" x14ac:dyDescent="0.35">
      <c r="A82" s="637" t="s">
        <v>411</v>
      </c>
      <c r="B82" s="615">
        <v>0</v>
      </c>
      <c r="C82" s="615">
        <v>79.465000000000003</v>
      </c>
      <c r="D82" s="616">
        <v>79.465000000000003</v>
      </c>
      <c r="E82" s="625" t="s">
        <v>335</v>
      </c>
      <c r="F82" s="615">
        <v>0</v>
      </c>
      <c r="G82" s="616">
        <v>0</v>
      </c>
      <c r="H82" s="618">
        <v>1.131</v>
      </c>
      <c r="I82" s="615">
        <v>2.7160000000000002</v>
      </c>
      <c r="J82" s="616">
        <v>2.7160000000000002</v>
      </c>
      <c r="K82" s="626" t="s">
        <v>335</v>
      </c>
    </row>
    <row r="83" spans="1:11" ht="14.4" customHeight="1" thickBot="1" x14ac:dyDescent="0.35">
      <c r="A83" s="637" t="s">
        <v>412</v>
      </c>
      <c r="B83" s="615">
        <v>0</v>
      </c>
      <c r="C83" s="615">
        <v>26.31</v>
      </c>
      <c r="D83" s="616">
        <v>26.31</v>
      </c>
      <c r="E83" s="625" t="s">
        <v>335</v>
      </c>
      <c r="F83" s="615">
        <v>0</v>
      </c>
      <c r="G83" s="616">
        <v>0</v>
      </c>
      <c r="H83" s="618">
        <v>1.54</v>
      </c>
      <c r="I83" s="615">
        <v>3.08</v>
      </c>
      <c r="J83" s="616">
        <v>3.08</v>
      </c>
      <c r="K83" s="626" t="s">
        <v>335</v>
      </c>
    </row>
    <row r="84" spans="1:11" ht="14.4" customHeight="1" thickBot="1" x14ac:dyDescent="0.35">
      <c r="A84" s="636" t="s">
        <v>413</v>
      </c>
      <c r="B84" s="620">
        <v>0</v>
      </c>
      <c r="C84" s="620">
        <v>28.557680000000001</v>
      </c>
      <c r="D84" s="621">
        <v>28.557680000000001</v>
      </c>
      <c r="E84" s="622" t="s">
        <v>335</v>
      </c>
      <c r="F84" s="620">
        <v>0</v>
      </c>
      <c r="G84" s="621">
        <v>0</v>
      </c>
      <c r="H84" s="623">
        <v>0</v>
      </c>
      <c r="I84" s="620">
        <v>0</v>
      </c>
      <c r="J84" s="621">
        <v>0</v>
      </c>
      <c r="K84" s="624" t="s">
        <v>335</v>
      </c>
    </row>
    <row r="85" spans="1:11" ht="14.4" customHeight="1" thickBot="1" x14ac:dyDescent="0.35">
      <c r="A85" s="637" t="s">
        <v>414</v>
      </c>
      <c r="B85" s="615">
        <v>0</v>
      </c>
      <c r="C85" s="615">
        <v>17.928000000000001</v>
      </c>
      <c r="D85" s="616">
        <v>17.928000000000001</v>
      </c>
      <c r="E85" s="625" t="s">
        <v>335</v>
      </c>
      <c r="F85" s="615">
        <v>0</v>
      </c>
      <c r="G85" s="616">
        <v>0</v>
      </c>
      <c r="H85" s="618">
        <v>0</v>
      </c>
      <c r="I85" s="615">
        <v>0</v>
      </c>
      <c r="J85" s="616">
        <v>0</v>
      </c>
      <c r="K85" s="626" t="s">
        <v>335</v>
      </c>
    </row>
    <row r="86" spans="1:11" ht="14.4" customHeight="1" thickBot="1" x14ac:dyDescent="0.35">
      <c r="A86" s="637" t="s">
        <v>415</v>
      </c>
      <c r="B86" s="615">
        <v>0</v>
      </c>
      <c r="C86" s="615">
        <v>10.62968</v>
      </c>
      <c r="D86" s="616">
        <v>10.62968</v>
      </c>
      <c r="E86" s="625" t="s">
        <v>368</v>
      </c>
      <c r="F86" s="615">
        <v>0</v>
      </c>
      <c r="G86" s="616">
        <v>0</v>
      </c>
      <c r="H86" s="618">
        <v>0</v>
      </c>
      <c r="I86" s="615">
        <v>0</v>
      </c>
      <c r="J86" s="616">
        <v>0</v>
      </c>
      <c r="K86" s="626" t="s">
        <v>335</v>
      </c>
    </row>
    <row r="87" spans="1:11" ht="14.4" customHeight="1" thickBot="1" x14ac:dyDescent="0.35">
      <c r="A87" s="635" t="s">
        <v>47</v>
      </c>
      <c r="B87" s="615">
        <v>3532.2354966754801</v>
      </c>
      <c r="C87" s="615">
        <v>3772.33403</v>
      </c>
      <c r="D87" s="616">
        <v>240.09853332452499</v>
      </c>
      <c r="E87" s="617">
        <v>1.067973535046</v>
      </c>
      <c r="F87" s="615">
        <v>3927.6199690763001</v>
      </c>
      <c r="G87" s="616">
        <v>654.60332817938297</v>
      </c>
      <c r="H87" s="618">
        <v>246.28464000000099</v>
      </c>
      <c r="I87" s="615">
        <v>578.64935000000003</v>
      </c>
      <c r="J87" s="616">
        <v>-75.953978179382005</v>
      </c>
      <c r="K87" s="619">
        <v>0.14732824319900001</v>
      </c>
    </row>
    <row r="88" spans="1:11" ht="14.4" customHeight="1" thickBot="1" x14ac:dyDescent="0.35">
      <c r="A88" s="636" t="s">
        <v>416</v>
      </c>
      <c r="B88" s="620">
        <v>3.474601526391</v>
      </c>
      <c r="C88" s="620">
        <v>4.6959999999999997</v>
      </c>
      <c r="D88" s="621">
        <v>1.2213984736079999</v>
      </c>
      <c r="E88" s="627">
        <v>1.3515218836839999</v>
      </c>
      <c r="F88" s="620">
        <v>4.5735046296880002</v>
      </c>
      <c r="G88" s="621">
        <v>0.76225077161400001</v>
      </c>
      <c r="H88" s="623">
        <v>0.20599999999999999</v>
      </c>
      <c r="I88" s="620">
        <v>0.20599999999999999</v>
      </c>
      <c r="J88" s="621">
        <v>-0.55625077161400005</v>
      </c>
      <c r="K88" s="628">
        <v>4.5042044706999997E-2</v>
      </c>
    </row>
    <row r="89" spans="1:11" ht="14.4" customHeight="1" thickBot="1" x14ac:dyDescent="0.35">
      <c r="A89" s="637" t="s">
        <v>417</v>
      </c>
      <c r="B89" s="615">
        <v>3.474601526391</v>
      </c>
      <c r="C89" s="615">
        <v>4.6959999999999997</v>
      </c>
      <c r="D89" s="616">
        <v>1.2213984736079999</v>
      </c>
      <c r="E89" s="617">
        <v>1.3515218836839999</v>
      </c>
      <c r="F89" s="615">
        <v>4.5735046296880002</v>
      </c>
      <c r="G89" s="616">
        <v>0.76225077161400001</v>
      </c>
      <c r="H89" s="618">
        <v>0.20599999999999999</v>
      </c>
      <c r="I89" s="615">
        <v>0.20599999999999999</v>
      </c>
      <c r="J89" s="616">
        <v>-0.55625077161400005</v>
      </c>
      <c r="K89" s="619">
        <v>4.5042044706999997E-2</v>
      </c>
    </row>
    <row r="90" spans="1:11" ht="14.4" customHeight="1" thickBot="1" x14ac:dyDescent="0.35">
      <c r="A90" s="636" t="s">
        <v>418</v>
      </c>
      <c r="B90" s="620">
        <v>32.552276907215003</v>
      </c>
      <c r="C90" s="620">
        <v>28.899979999999999</v>
      </c>
      <c r="D90" s="621">
        <v>-3.6522969072150002</v>
      </c>
      <c r="E90" s="627">
        <v>0.887802106205</v>
      </c>
      <c r="F90" s="620">
        <v>30.736767382465999</v>
      </c>
      <c r="G90" s="621">
        <v>5.1227945637439998</v>
      </c>
      <c r="H90" s="623">
        <v>3.2153</v>
      </c>
      <c r="I90" s="620">
        <v>4.4381899999999996</v>
      </c>
      <c r="J90" s="621">
        <v>-0.68460456374400003</v>
      </c>
      <c r="K90" s="628">
        <v>0.14439351883599999</v>
      </c>
    </row>
    <row r="91" spans="1:11" ht="14.4" customHeight="1" thickBot="1" x14ac:dyDescent="0.35">
      <c r="A91" s="637" t="s">
        <v>419</v>
      </c>
      <c r="B91" s="615">
        <v>12.626309814516</v>
      </c>
      <c r="C91" s="615">
        <v>11.624700000000001</v>
      </c>
      <c r="D91" s="616">
        <v>-1.001609814516</v>
      </c>
      <c r="E91" s="617">
        <v>0.92067279916</v>
      </c>
      <c r="F91" s="615">
        <v>11.900387498298</v>
      </c>
      <c r="G91" s="616">
        <v>1.983397916383</v>
      </c>
      <c r="H91" s="618">
        <v>2.0074000000000001</v>
      </c>
      <c r="I91" s="615">
        <v>2.0074000000000001</v>
      </c>
      <c r="J91" s="616">
        <v>2.4002083616000001E-2</v>
      </c>
      <c r="K91" s="619">
        <v>0.16868358280599999</v>
      </c>
    </row>
    <row r="92" spans="1:11" ht="14.4" customHeight="1" thickBot="1" x14ac:dyDescent="0.35">
      <c r="A92" s="637" t="s">
        <v>420</v>
      </c>
      <c r="B92" s="615">
        <v>19.925967092699</v>
      </c>
      <c r="C92" s="615">
        <v>17.275279999999999</v>
      </c>
      <c r="D92" s="616">
        <v>-2.650687092699</v>
      </c>
      <c r="E92" s="617">
        <v>0.86697322742799998</v>
      </c>
      <c r="F92" s="615">
        <v>18.836379884168</v>
      </c>
      <c r="G92" s="616">
        <v>3.139396647361</v>
      </c>
      <c r="H92" s="618">
        <v>1.2079</v>
      </c>
      <c r="I92" s="615">
        <v>2.43079</v>
      </c>
      <c r="J92" s="616">
        <v>-0.70860664736099999</v>
      </c>
      <c r="K92" s="619">
        <v>0.12904762034600001</v>
      </c>
    </row>
    <row r="93" spans="1:11" ht="14.4" customHeight="1" thickBot="1" x14ac:dyDescent="0.35">
      <c r="A93" s="636" t="s">
        <v>421</v>
      </c>
      <c r="B93" s="620">
        <v>93.743327504522995</v>
      </c>
      <c r="C93" s="620">
        <v>103.4409</v>
      </c>
      <c r="D93" s="621">
        <v>9.6975724954760008</v>
      </c>
      <c r="E93" s="627">
        <v>1.103448136028</v>
      </c>
      <c r="F93" s="620">
        <v>115.509561747764</v>
      </c>
      <c r="G93" s="621">
        <v>19.251593624626999</v>
      </c>
      <c r="H93" s="623">
        <v>0</v>
      </c>
      <c r="I93" s="620">
        <v>53.530099999999997</v>
      </c>
      <c r="J93" s="621">
        <v>34.278506375371997</v>
      </c>
      <c r="K93" s="628">
        <v>0.46342570424500001</v>
      </c>
    </row>
    <row r="94" spans="1:11" ht="14.4" customHeight="1" thickBot="1" x14ac:dyDescent="0.35">
      <c r="A94" s="637" t="s">
        <v>422</v>
      </c>
      <c r="B94" s="615">
        <v>48.514100787582002</v>
      </c>
      <c r="C94" s="615">
        <v>47.655000000000001</v>
      </c>
      <c r="D94" s="616">
        <v>-0.85910078758200004</v>
      </c>
      <c r="E94" s="617">
        <v>0.98229173016399995</v>
      </c>
      <c r="F94" s="615">
        <v>47.509563889600003</v>
      </c>
      <c r="G94" s="616">
        <v>7.9182606482660001</v>
      </c>
      <c r="H94" s="618">
        <v>0</v>
      </c>
      <c r="I94" s="615">
        <v>11.744999999999999</v>
      </c>
      <c r="J94" s="616">
        <v>3.8267393517329999</v>
      </c>
      <c r="K94" s="619">
        <v>0.24721338270500001</v>
      </c>
    </row>
    <row r="95" spans="1:11" ht="14.4" customHeight="1" thickBot="1" x14ac:dyDescent="0.35">
      <c r="A95" s="637" t="s">
        <v>423</v>
      </c>
      <c r="B95" s="615">
        <v>45.229226716941</v>
      </c>
      <c r="C95" s="615">
        <v>55.785899999999998</v>
      </c>
      <c r="D95" s="616">
        <v>10.556673283058</v>
      </c>
      <c r="E95" s="617">
        <v>1.2334037977059999</v>
      </c>
      <c r="F95" s="615">
        <v>67.999997858162999</v>
      </c>
      <c r="G95" s="616">
        <v>11.333332976359999</v>
      </c>
      <c r="H95" s="618">
        <v>0</v>
      </c>
      <c r="I95" s="615">
        <v>41.7851</v>
      </c>
      <c r="J95" s="616">
        <v>30.451767023639</v>
      </c>
      <c r="K95" s="619">
        <v>0.61448678406000001</v>
      </c>
    </row>
    <row r="96" spans="1:11" ht="14.4" customHeight="1" thickBot="1" x14ac:dyDescent="0.35">
      <c r="A96" s="636" t="s">
        <v>424</v>
      </c>
      <c r="B96" s="620">
        <v>2308.4294692030198</v>
      </c>
      <c r="C96" s="620">
        <v>2300.3402000000001</v>
      </c>
      <c r="D96" s="621">
        <v>-8.0892692030150002</v>
      </c>
      <c r="E96" s="627">
        <v>0.99649576939100004</v>
      </c>
      <c r="F96" s="620">
        <v>2415.50230066534</v>
      </c>
      <c r="G96" s="621">
        <v>402.58371677755599</v>
      </c>
      <c r="H96" s="623">
        <v>192.82793000000001</v>
      </c>
      <c r="I96" s="620">
        <v>387.23644000000002</v>
      </c>
      <c r="J96" s="621">
        <v>-15.347276777555001</v>
      </c>
      <c r="K96" s="628">
        <v>0.16031300814400001</v>
      </c>
    </row>
    <row r="97" spans="1:11" ht="14.4" customHeight="1" thickBot="1" x14ac:dyDescent="0.35">
      <c r="A97" s="637" t="s">
        <v>425</v>
      </c>
      <c r="B97" s="615">
        <v>1433.3813727414899</v>
      </c>
      <c r="C97" s="615">
        <v>1374.14444</v>
      </c>
      <c r="D97" s="616">
        <v>-59.236932741491998</v>
      </c>
      <c r="E97" s="617">
        <v>0.95867329249</v>
      </c>
      <c r="F97" s="615">
        <v>1489.54197951421</v>
      </c>
      <c r="G97" s="616">
        <v>248.25699658570099</v>
      </c>
      <c r="H97" s="618">
        <v>113.79119</v>
      </c>
      <c r="I97" s="615">
        <v>225.87963999999999</v>
      </c>
      <c r="J97" s="616">
        <v>-22.377356585701001</v>
      </c>
      <c r="K97" s="619">
        <v>0.15164368853400001</v>
      </c>
    </row>
    <row r="98" spans="1:11" ht="14.4" customHeight="1" thickBot="1" x14ac:dyDescent="0.35">
      <c r="A98" s="637" t="s">
        <v>426</v>
      </c>
      <c r="B98" s="615">
        <v>0.93272939747200001</v>
      </c>
      <c r="C98" s="615">
        <v>1.089</v>
      </c>
      <c r="D98" s="616">
        <v>0.15627060252700001</v>
      </c>
      <c r="E98" s="617">
        <v>1.1675412000000001</v>
      </c>
      <c r="F98" s="615">
        <v>1.116146684451</v>
      </c>
      <c r="G98" s="616">
        <v>0.186024447408</v>
      </c>
      <c r="H98" s="618">
        <v>0</v>
      </c>
      <c r="I98" s="615">
        <v>0</v>
      </c>
      <c r="J98" s="616">
        <v>-0.186024447408</v>
      </c>
      <c r="K98" s="619">
        <v>0</v>
      </c>
    </row>
    <row r="99" spans="1:11" ht="14.4" customHeight="1" thickBot="1" x14ac:dyDescent="0.35">
      <c r="A99" s="637" t="s">
        <v>427</v>
      </c>
      <c r="B99" s="615">
        <v>874.11536706405104</v>
      </c>
      <c r="C99" s="615">
        <v>925.10676000000001</v>
      </c>
      <c r="D99" s="616">
        <v>50.991392935949001</v>
      </c>
      <c r="E99" s="617">
        <v>1.058334854708</v>
      </c>
      <c r="F99" s="615">
        <v>924.84417446667703</v>
      </c>
      <c r="G99" s="616">
        <v>154.14069574444599</v>
      </c>
      <c r="H99" s="618">
        <v>79.036739999999995</v>
      </c>
      <c r="I99" s="615">
        <v>161.35679999999999</v>
      </c>
      <c r="J99" s="616">
        <v>7.2161042555529997</v>
      </c>
      <c r="K99" s="619">
        <v>0.174469174867</v>
      </c>
    </row>
    <row r="100" spans="1:11" ht="14.4" customHeight="1" thickBot="1" x14ac:dyDescent="0.35">
      <c r="A100" s="636" t="s">
        <v>428</v>
      </c>
      <c r="B100" s="620">
        <v>1094.0358215343299</v>
      </c>
      <c r="C100" s="620">
        <v>1330.2319500000001</v>
      </c>
      <c r="D100" s="621">
        <v>236.19612846567199</v>
      </c>
      <c r="E100" s="627">
        <v>1.2158943279700001</v>
      </c>
      <c r="F100" s="620">
        <v>1361.2978346510399</v>
      </c>
      <c r="G100" s="621">
        <v>226.88297244184</v>
      </c>
      <c r="H100" s="623">
        <v>50.035409999999999</v>
      </c>
      <c r="I100" s="620">
        <v>133.23862</v>
      </c>
      <c r="J100" s="621">
        <v>-93.644352441839004</v>
      </c>
      <c r="K100" s="628">
        <v>9.7876171259E-2</v>
      </c>
    </row>
    <row r="101" spans="1:11" ht="14.4" customHeight="1" thickBot="1" x14ac:dyDescent="0.35">
      <c r="A101" s="637" t="s">
        <v>429</v>
      </c>
      <c r="B101" s="615">
        <v>33.019682143244999</v>
      </c>
      <c r="C101" s="615">
        <v>27.785</v>
      </c>
      <c r="D101" s="616">
        <v>-5.2346821432450001</v>
      </c>
      <c r="E101" s="617">
        <v>0.84146782150900001</v>
      </c>
      <c r="F101" s="615">
        <v>9.9999996850239992</v>
      </c>
      <c r="G101" s="616">
        <v>1.6666666141699999</v>
      </c>
      <c r="H101" s="618">
        <v>0</v>
      </c>
      <c r="I101" s="615">
        <v>1.2030000000000001</v>
      </c>
      <c r="J101" s="616">
        <v>-0.46366661416999999</v>
      </c>
      <c r="K101" s="619">
        <v>0.12030000378900001</v>
      </c>
    </row>
    <row r="102" spans="1:11" ht="14.4" customHeight="1" thickBot="1" x14ac:dyDescent="0.35">
      <c r="A102" s="637" t="s">
        <v>430</v>
      </c>
      <c r="B102" s="615">
        <v>776.13233096052204</v>
      </c>
      <c r="C102" s="615">
        <v>1056.84537</v>
      </c>
      <c r="D102" s="616">
        <v>280.71303903947802</v>
      </c>
      <c r="E102" s="617">
        <v>1.3616819295389999</v>
      </c>
      <c r="F102" s="615">
        <v>1070.9840312973499</v>
      </c>
      <c r="G102" s="616">
        <v>178.49733854955801</v>
      </c>
      <c r="H102" s="618">
        <v>43.76585</v>
      </c>
      <c r="I102" s="615">
        <v>105.36239999999999</v>
      </c>
      <c r="J102" s="616">
        <v>-73.134938549558001</v>
      </c>
      <c r="K102" s="619">
        <v>9.8379057876000001E-2</v>
      </c>
    </row>
    <row r="103" spans="1:11" ht="14.4" customHeight="1" thickBot="1" x14ac:dyDescent="0.35">
      <c r="A103" s="637" t="s">
        <v>431</v>
      </c>
      <c r="B103" s="615">
        <v>7.0025509171840001</v>
      </c>
      <c r="C103" s="615">
        <v>1.663</v>
      </c>
      <c r="D103" s="616">
        <v>-5.3395509171839999</v>
      </c>
      <c r="E103" s="617">
        <v>0.237484885103</v>
      </c>
      <c r="F103" s="615">
        <v>2.028548637109</v>
      </c>
      <c r="G103" s="616">
        <v>0.33809143951800003</v>
      </c>
      <c r="H103" s="618">
        <v>2.3420000000000001</v>
      </c>
      <c r="I103" s="615">
        <v>2.3420000000000001</v>
      </c>
      <c r="J103" s="616">
        <v>2.0039085604809999</v>
      </c>
      <c r="K103" s="619">
        <v>1.1545200135489999</v>
      </c>
    </row>
    <row r="104" spans="1:11" ht="14.4" customHeight="1" thickBot="1" x14ac:dyDescent="0.35">
      <c r="A104" s="637" t="s">
        <v>432</v>
      </c>
      <c r="B104" s="615">
        <v>1.097398444165</v>
      </c>
      <c r="C104" s="615">
        <v>3.4969000000000001</v>
      </c>
      <c r="D104" s="616">
        <v>2.399501555834</v>
      </c>
      <c r="E104" s="617">
        <v>3.1865363201400001</v>
      </c>
      <c r="F104" s="615">
        <v>6.1533182456490003</v>
      </c>
      <c r="G104" s="616">
        <v>1.0255530409410001</v>
      </c>
      <c r="H104" s="618">
        <v>0</v>
      </c>
      <c r="I104" s="615">
        <v>0</v>
      </c>
      <c r="J104" s="616">
        <v>-1.0255530409410001</v>
      </c>
      <c r="K104" s="619">
        <v>0</v>
      </c>
    </row>
    <row r="105" spans="1:11" ht="14.4" customHeight="1" thickBot="1" x14ac:dyDescent="0.35">
      <c r="A105" s="637" t="s">
        <v>433</v>
      </c>
      <c r="B105" s="615">
        <v>276.78385906921</v>
      </c>
      <c r="C105" s="615">
        <v>240.44167999999999</v>
      </c>
      <c r="D105" s="616">
        <v>-36.342179069209998</v>
      </c>
      <c r="E105" s="617">
        <v>0.86869834393000001</v>
      </c>
      <c r="F105" s="615">
        <v>272.13193678590602</v>
      </c>
      <c r="G105" s="616">
        <v>45.355322797649997</v>
      </c>
      <c r="H105" s="618">
        <v>3.9275600000000002</v>
      </c>
      <c r="I105" s="615">
        <v>24.331219999999998</v>
      </c>
      <c r="J105" s="616">
        <v>-21.024102797649999</v>
      </c>
      <c r="K105" s="619">
        <v>8.9409645509999996E-2</v>
      </c>
    </row>
    <row r="106" spans="1:11" ht="14.4" customHeight="1" thickBot="1" x14ac:dyDescent="0.35">
      <c r="A106" s="636" t="s">
        <v>434</v>
      </c>
      <c r="B106" s="620">
        <v>0</v>
      </c>
      <c r="C106" s="620">
        <v>4.7249999999999996</v>
      </c>
      <c r="D106" s="621">
        <v>4.7249999999999996</v>
      </c>
      <c r="E106" s="622" t="s">
        <v>335</v>
      </c>
      <c r="F106" s="620">
        <v>0</v>
      </c>
      <c r="G106" s="621">
        <v>0</v>
      </c>
      <c r="H106" s="623">
        <v>0</v>
      </c>
      <c r="I106" s="620">
        <v>0</v>
      </c>
      <c r="J106" s="621">
        <v>0</v>
      </c>
      <c r="K106" s="628">
        <v>0</v>
      </c>
    </row>
    <row r="107" spans="1:11" ht="14.4" customHeight="1" thickBot="1" x14ac:dyDescent="0.35">
      <c r="A107" s="637" t="s">
        <v>435</v>
      </c>
      <c r="B107" s="615">
        <v>0</v>
      </c>
      <c r="C107" s="615">
        <v>4.7249999999999996</v>
      </c>
      <c r="D107" s="616">
        <v>4.7249999999999996</v>
      </c>
      <c r="E107" s="625" t="s">
        <v>368</v>
      </c>
      <c r="F107" s="615">
        <v>0</v>
      </c>
      <c r="G107" s="616">
        <v>0</v>
      </c>
      <c r="H107" s="618">
        <v>0</v>
      </c>
      <c r="I107" s="615">
        <v>0</v>
      </c>
      <c r="J107" s="616">
        <v>0</v>
      </c>
      <c r="K107" s="619">
        <v>0</v>
      </c>
    </row>
    <row r="108" spans="1:11" ht="14.4" customHeight="1" thickBot="1" x14ac:dyDescent="0.35">
      <c r="A108" s="634" t="s">
        <v>48</v>
      </c>
      <c r="B108" s="615">
        <v>66622</v>
      </c>
      <c r="C108" s="615">
        <v>67451.439700000003</v>
      </c>
      <c r="D108" s="616">
        <v>829.43970000003196</v>
      </c>
      <c r="E108" s="617">
        <v>1.0124499369569999</v>
      </c>
      <c r="F108" s="615">
        <v>71038.997762443702</v>
      </c>
      <c r="G108" s="616">
        <v>11839.832960407301</v>
      </c>
      <c r="H108" s="618">
        <v>5572.4997700000104</v>
      </c>
      <c r="I108" s="615">
        <v>11117.72769</v>
      </c>
      <c r="J108" s="616">
        <v>-722.10527040726799</v>
      </c>
      <c r="K108" s="619">
        <v>0.156501753124</v>
      </c>
    </row>
    <row r="109" spans="1:11" ht="14.4" customHeight="1" thickBot="1" x14ac:dyDescent="0.35">
      <c r="A109" s="640" t="s">
        <v>436</v>
      </c>
      <c r="B109" s="620">
        <v>49390</v>
      </c>
      <c r="C109" s="620">
        <v>50519.769</v>
      </c>
      <c r="D109" s="621">
        <v>1129.76900000001</v>
      </c>
      <c r="E109" s="627">
        <v>1.0228744482679999</v>
      </c>
      <c r="F109" s="620">
        <v>52662.998341243103</v>
      </c>
      <c r="G109" s="621">
        <v>8777.1663902071905</v>
      </c>
      <c r="H109" s="623">
        <v>4129.4520000000102</v>
      </c>
      <c r="I109" s="620">
        <v>8239.1820000000098</v>
      </c>
      <c r="J109" s="621">
        <v>-537.98439020717694</v>
      </c>
      <c r="K109" s="628">
        <v>0.15645106164600001</v>
      </c>
    </row>
    <row r="110" spans="1:11" ht="14.4" customHeight="1" thickBot="1" x14ac:dyDescent="0.35">
      <c r="A110" s="636" t="s">
        <v>437</v>
      </c>
      <c r="B110" s="620">
        <v>49232</v>
      </c>
      <c r="C110" s="620">
        <v>50451.536</v>
      </c>
      <c r="D110" s="621">
        <v>1219.5360000000101</v>
      </c>
      <c r="E110" s="627">
        <v>1.0247712057189999</v>
      </c>
      <c r="F110" s="620">
        <v>52499.998346377201</v>
      </c>
      <c r="G110" s="621">
        <v>8749.9997243962007</v>
      </c>
      <c r="H110" s="623">
        <v>4122.8070000000098</v>
      </c>
      <c r="I110" s="620">
        <v>8223.9750000000095</v>
      </c>
      <c r="J110" s="621">
        <v>-526.02472439619498</v>
      </c>
      <c r="K110" s="628">
        <v>0.156647147791</v>
      </c>
    </row>
    <row r="111" spans="1:11" ht="14.4" customHeight="1" thickBot="1" x14ac:dyDescent="0.35">
      <c r="A111" s="637" t="s">
        <v>438</v>
      </c>
      <c r="B111" s="615">
        <v>49232</v>
      </c>
      <c r="C111" s="615">
        <v>50451.536</v>
      </c>
      <c r="D111" s="616">
        <v>1219.5360000000101</v>
      </c>
      <c r="E111" s="617">
        <v>1.0247712057189999</v>
      </c>
      <c r="F111" s="615">
        <v>52499.998346377201</v>
      </c>
      <c r="G111" s="616">
        <v>8749.9997243962007</v>
      </c>
      <c r="H111" s="618">
        <v>4122.8070000000098</v>
      </c>
      <c r="I111" s="615">
        <v>8223.9750000000095</v>
      </c>
      <c r="J111" s="616">
        <v>-526.02472439619498</v>
      </c>
      <c r="K111" s="619">
        <v>0.156647147791</v>
      </c>
    </row>
    <row r="112" spans="1:11" ht="14.4" customHeight="1" thickBot="1" x14ac:dyDescent="0.35">
      <c r="A112" s="636" t="s">
        <v>439</v>
      </c>
      <c r="B112" s="620">
        <v>0</v>
      </c>
      <c r="C112" s="620">
        <v>0.3</v>
      </c>
      <c r="D112" s="621">
        <v>0.3</v>
      </c>
      <c r="E112" s="622" t="s">
        <v>368</v>
      </c>
      <c r="F112" s="620">
        <v>0</v>
      </c>
      <c r="G112" s="621">
        <v>0</v>
      </c>
      <c r="H112" s="623">
        <v>0</v>
      </c>
      <c r="I112" s="620">
        <v>0</v>
      </c>
      <c r="J112" s="621">
        <v>0</v>
      </c>
      <c r="K112" s="628">
        <v>0</v>
      </c>
    </row>
    <row r="113" spans="1:11" ht="14.4" customHeight="1" thickBot="1" x14ac:dyDescent="0.35">
      <c r="A113" s="637" t="s">
        <v>440</v>
      </c>
      <c r="B113" s="615">
        <v>0</v>
      </c>
      <c r="C113" s="615">
        <v>0.3</v>
      </c>
      <c r="D113" s="616">
        <v>0.3</v>
      </c>
      <c r="E113" s="625" t="s">
        <v>368</v>
      </c>
      <c r="F113" s="615">
        <v>0</v>
      </c>
      <c r="G113" s="616">
        <v>0</v>
      </c>
      <c r="H113" s="618">
        <v>0</v>
      </c>
      <c r="I113" s="615">
        <v>0</v>
      </c>
      <c r="J113" s="616">
        <v>0</v>
      </c>
      <c r="K113" s="619">
        <v>0</v>
      </c>
    </row>
    <row r="114" spans="1:11" ht="14.4" customHeight="1" thickBot="1" x14ac:dyDescent="0.35">
      <c r="A114" s="636" t="s">
        <v>441</v>
      </c>
      <c r="B114" s="620">
        <v>157.99999999999699</v>
      </c>
      <c r="C114" s="620">
        <v>67.933000000000007</v>
      </c>
      <c r="D114" s="621">
        <v>-90.066999999996995</v>
      </c>
      <c r="E114" s="627">
        <v>0.42995569620200003</v>
      </c>
      <c r="F114" s="620">
        <v>162.99999486589499</v>
      </c>
      <c r="G114" s="621">
        <v>27.166665810982</v>
      </c>
      <c r="H114" s="623">
        <v>6.6849999999999996</v>
      </c>
      <c r="I114" s="620">
        <v>15.207000000000001</v>
      </c>
      <c r="J114" s="621">
        <v>-11.959665810982001</v>
      </c>
      <c r="K114" s="628">
        <v>9.3294481466000001E-2</v>
      </c>
    </row>
    <row r="115" spans="1:11" ht="14.4" customHeight="1" thickBot="1" x14ac:dyDescent="0.35">
      <c r="A115" s="637" t="s">
        <v>442</v>
      </c>
      <c r="B115" s="615">
        <v>157.99999999999699</v>
      </c>
      <c r="C115" s="615">
        <v>67.933000000000007</v>
      </c>
      <c r="D115" s="616">
        <v>-90.066999999996995</v>
      </c>
      <c r="E115" s="617">
        <v>0.42995569620200003</v>
      </c>
      <c r="F115" s="615">
        <v>162.99999486589499</v>
      </c>
      <c r="G115" s="616">
        <v>27.166665810982</v>
      </c>
      <c r="H115" s="618">
        <v>6.6849999999999996</v>
      </c>
      <c r="I115" s="615">
        <v>15.207000000000001</v>
      </c>
      <c r="J115" s="616">
        <v>-11.959665810982001</v>
      </c>
      <c r="K115" s="619">
        <v>9.3294481466000001E-2</v>
      </c>
    </row>
    <row r="116" spans="1:11" ht="14.4" customHeight="1" thickBot="1" x14ac:dyDescent="0.35">
      <c r="A116" s="635" t="s">
        <v>443</v>
      </c>
      <c r="B116" s="615">
        <v>16740</v>
      </c>
      <c r="C116" s="615">
        <v>16426.251420000001</v>
      </c>
      <c r="D116" s="616">
        <v>-313.74857999999199</v>
      </c>
      <c r="E116" s="617">
        <v>0.98125755197099995</v>
      </c>
      <c r="F116" s="615">
        <v>17850.999437736798</v>
      </c>
      <c r="G116" s="616">
        <v>2975.16657295613</v>
      </c>
      <c r="H116" s="618">
        <v>1401.7527500000001</v>
      </c>
      <c r="I116" s="615">
        <v>2796.1527500000002</v>
      </c>
      <c r="J116" s="616">
        <v>-179.01382295612399</v>
      </c>
      <c r="K116" s="619">
        <v>0.15663844255600001</v>
      </c>
    </row>
    <row r="117" spans="1:11" ht="14.4" customHeight="1" thickBot="1" x14ac:dyDescent="0.35">
      <c r="A117" s="636" t="s">
        <v>444</v>
      </c>
      <c r="B117" s="620">
        <v>4431</v>
      </c>
      <c r="C117" s="620">
        <v>4540.8972199999998</v>
      </c>
      <c r="D117" s="621">
        <v>109.897220000003</v>
      </c>
      <c r="E117" s="627">
        <v>1.024801900248</v>
      </c>
      <c r="F117" s="620">
        <v>4725.9998511424501</v>
      </c>
      <c r="G117" s="621">
        <v>787.66664185707498</v>
      </c>
      <c r="H117" s="623">
        <v>371.05100000000101</v>
      </c>
      <c r="I117" s="620">
        <v>740.15900000000101</v>
      </c>
      <c r="J117" s="621">
        <v>-47.507641857073999</v>
      </c>
      <c r="K117" s="628">
        <v>0.15661426646400001</v>
      </c>
    </row>
    <row r="118" spans="1:11" ht="14.4" customHeight="1" thickBot="1" x14ac:dyDescent="0.35">
      <c r="A118" s="637" t="s">
        <v>445</v>
      </c>
      <c r="B118" s="615">
        <v>4431</v>
      </c>
      <c r="C118" s="615">
        <v>4540.8972199999998</v>
      </c>
      <c r="D118" s="616">
        <v>109.897220000003</v>
      </c>
      <c r="E118" s="617">
        <v>1.024801900248</v>
      </c>
      <c r="F118" s="615">
        <v>4725.9998511424501</v>
      </c>
      <c r="G118" s="616">
        <v>787.66664185707498</v>
      </c>
      <c r="H118" s="618">
        <v>371.05100000000101</v>
      </c>
      <c r="I118" s="615">
        <v>740.15900000000101</v>
      </c>
      <c r="J118" s="616">
        <v>-47.507641857073999</v>
      </c>
      <c r="K118" s="619">
        <v>0.15661426646400001</v>
      </c>
    </row>
    <row r="119" spans="1:11" ht="14.4" customHeight="1" thickBot="1" x14ac:dyDescent="0.35">
      <c r="A119" s="636" t="s">
        <v>446</v>
      </c>
      <c r="B119" s="620">
        <v>12309</v>
      </c>
      <c r="C119" s="620">
        <v>11885.3542</v>
      </c>
      <c r="D119" s="621">
        <v>-423.645799999997</v>
      </c>
      <c r="E119" s="627">
        <v>0.96558243561599999</v>
      </c>
      <c r="F119" s="620">
        <v>13124.9995865943</v>
      </c>
      <c r="G119" s="621">
        <v>2187.4999310990502</v>
      </c>
      <c r="H119" s="623">
        <v>1030.7017499999999</v>
      </c>
      <c r="I119" s="620">
        <v>2055.9937500000001</v>
      </c>
      <c r="J119" s="621">
        <v>-131.506181099049</v>
      </c>
      <c r="K119" s="628">
        <v>0.156647147791</v>
      </c>
    </row>
    <row r="120" spans="1:11" ht="14.4" customHeight="1" thickBot="1" x14ac:dyDescent="0.35">
      <c r="A120" s="637" t="s">
        <v>447</v>
      </c>
      <c r="B120" s="615">
        <v>12309</v>
      </c>
      <c r="C120" s="615">
        <v>11885.3542</v>
      </c>
      <c r="D120" s="616">
        <v>-423.645799999997</v>
      </c>
      <c r="E120" s="617">
        <v>0.96558243561599999</v>
      </c>
      <c r="F120" s="615">
        <v>13124.9995865943</v>
      </c>
      <c r="G120" s="616">
        <v>2187.4999310990502</v>
      </c>
      <c r="H120" s="618">
        <v>1030.7017499999999</v>
      </c>
      <c r="I120" s="615">
        <v>2055.9937500000001</v>
      </c>
      <c r="J120" s="616">
        <v>-131.506181099049</v>
      </c>
      <c r="K120" s="619">
        <v>0.156647147791</v>
      </c>
    </row>
    <row r="121" spans="1:11" ht="14.4" customHeight="1" thickBot="1" x14ac:dyDescent="0.35">
      <c r="A121" s="635" t="s">
        <v>448</v>
      </c>
      <c r="B121" s="615">
        <v>492</v>
      </c>
      <c r="C121" s="615">
        <v>505.41928000000001</v>
      </c>
      <c r="D121" s="616">
        <v>13.419280000000001</v>
      </c>
      <c r="E121" s="617">
        <v>1.027274959349</v>
      </c>
      <c r="F121" s="615">
        <v>524.99998346377197</v>
      </c>
      <c r="G121" s="616">
        <v>87.499997243962</v>
      </c>
      <c r="H121" s="618">
        <v>41.295020000000001</v>
      </c>
      <c r="I121" s="615">
        <v>82.392939999999996</v>
      </c>
      <c r="J121" s="616">
        <v>-5.107057243961</v>
      </c>
      <c r="K121" s="619">
        <v>0.156938938276</v>
      </c>
    </row>
    <row r="122" spans="1:11" ht="14.4" customHeight="1" thickBot="1" x14ac:dyDescent="0.35">
      <c r="A122" s="636" t="s">
        <v>449</v>
      </c>
      <c r="B122" s="620">
        <v>492</v>
      </c>
      <c r="C122" s="620">
        <v>505.41928000000001</v>
      </c>
      <c r="D122" s="621">
        <v>13.419280000000001</v>
      </c>
      <c r="E122" s="627">
        <v>1.027274959349</v>
      </c>
      <c r="F122" s="620">
        <v>524.99998346377197</v>
      </c>
      <c r="G122" s="621">
        <v>87.499997243962</v>
      </c>
      <c r="H122" s="623">
        <v>41.295020000000001</v>
      </c>
      <c r="I122" s="620">
        <v>82.392939999999996</v>
      </c>
      <c r="J122" s="621">
        <v>-5.107057243961</v>
      </c>
      <c r="K122" s="628">
        <v>0.156938938276</v>
      </c>
    </row>
    <row r="123" spans="1:11" ht="14.4" customHeight="1" thickBot="1" x14ac:dyDescent="0.35">
      <c r="A123" s="637" t="s">
        <v>450</v>
      </c>
      <c r="B123" s="615">
        <v>492</v>
      </c>
      <c r="C123" s="615">
        <v>505.41928000000001</v>
      </c>
      <c r="D123" s="616">
        <v>13.419280000000001</v>
      </c>
      <c r="E123" s="617">
        <v>1.027274959349</v>
      </c>
      <c r="F123" s="615">
        <v>524.99998346377197</v>
      </c>
      <c r="G123" s="616">
        <v>87.499997243962</v>
      </c>
      <c r="H123" s="618">
        <v>41.295020000000001</v>
      </c>
      <c r="I123" s="615">
        <v>82.392939999999996</v>
      </c>
      <c r="J123" s="616">
        <v>-5.107057243961</v>
      </c>
      <c r="K123" s="619">
        <v>0.156938938276</v>
      </c>
    </row>
    <row r="124" spans="1:11" ht="14.4" customHeight="1" thickBot="1" x14ac:dyDescent="0.35">
      <c r="A124" s="634" t="s">
        <v>451</v>
      </c>
      <c r="B124" s="615">
        <v>0</v>
      </c>
      <c r="C124" s="615">
        <v>245.04701</v>
      </c>
      <c r="D124" s="616">
        <v>245.04701</v>
      </c>
      <c r="E124" s="625" t="s">
        <v>335</v>
      </c>
      <c r="F124" s="615">
        <v>0</v>
      </c>
      <c r="G124" s="616">
        <v>0</v>
      </c>
      <c r="H124" s="618">
        <v>39.335500000000003</v>
      </c>
      <c r="I124" s="615">
        <v>42.735500000000002</v>
      </c>
      <c r="J124" s="616">
        <v>42.735500000000002</v>
      </c>
      <c r="K124" s="626" t="s">
        <v>335</v>
      </c>
    </row>
    <row r="125" spans="1:11" ht="14.4" customHeight="1" thickBot="1" x14ac:dyDescent="0.35">
      <c r="A125" s="635" t="s">
        <v>452</v>
      </c>
      <c r="B125" s="615">
        <v>0</v>
      </c>
      <c r="C125" s="615">
        <v>60.021000000000001</v>
      </c>
      <c r="D125" s="616">
        <v>60.021000000000001</v>
      </c>
      <c r="E125" s="625" t="s">
        <v>335</v>
      </c>
      <c r="F125" s="615">
        <v>0</v>
      </c>
      <c r="G125" s="616">
        <v>0</v>
      </c>
      <c r="H125" s="618">
        <v>0</v>
      </c>
      <c r="I125" s="615">
        <v>0</v>
      </c>
      <c r="J125" s="616">
        <v>0</v>
      </c>
      <c r="K125" s="626" t="s">
        <v>335</v>
      </c>
    </row>
    <row r="126" spans="1:11" ht="14.4" customHeight="1" thickBot="1" x14ac:dyDescent="0.35">
      <c r="A126" s="636" t="s">
        <v>453</v>
      </c>
      <c r="B126" s="620">
        <v>0</v>
      </c>
      <c r="C126" s="620">
        <v>60.021000000000001</v>
      </c>
      <c r="D126" s="621">
        <v>60.021000000000001</v>
      </c>
      <c r="E126" s="622" t="s">
        <v>335</v>
      </c>
      <c r="F126" s="620">
        <v>0</v>
      </c>
      <c r="G126" s="621">
        <v>0</v>
      </c>
      <c r="H126" s="623">
        <v>0</v>
      </c>
      <c r="I126" s="620">
        <v>0</v>
      </c>
      <c r="J126" s="621">
        <v>0</v>
      </c>
      <c r="K126" s="624" t="s">
        <v>335</v>
      </c>
    </row>
    <row r="127" spans="1:11" ht="14.4" customHeight="1" thickBot="1" x14ac:dyDescent="0.35">
      <c r="A127" s="637" t="s">
        <v>454</v>
      </c>
      <c r="B127" s="615">
        <v>0</v>
      </c>
      <c r="C127" s="615">
        <v>60.021000000000001</v>
      </c>
      <c r="D127" s="616">
        <v>60.021000000000001</v>
      </c>
      <c r="E127" s="625" t="s">
        <v>335</v>
      </c>
      <c r="F127" s="615">
        <v>0</v>
      </c>
      <c r="G127" s="616">
        <v>0</v>
      </c>
      <c r="H127" s="618">
        <v>0</v>
      </c>
      <c r="I127" s="615">
        <v>0</v>
      </c>
      <c r="J127" s="616">
        <v>0</v>
      </c>
      <c r="K127" s="626" t="s">
        <v>335</v>
      </c>
    </row>
    <row r="128" spans="1:11" ht="14.4" customHeight="1" thickBot="1" x14ac:dyDescent="0.35">
      <c r="A128" s="635" t="s">
        <v>455</v>
      </c>
      <c r="B128" s="615">
        <v>0</v>
      </c>
      <c r="C128" s="615">
        <v>185.02601000000001</v>
      </c>
      <c r="D128" s="616">
        <v>185.02601000000001</v>
      </c>
      <c r="E128" s="625" t="s">
        <v>335</v>
      </c>
      <c r="F128" s="615">
        <v>0</v>
      </c>
      <c r="G128" s="616">
        <v>0</v>
      </c>
      <c r="H128" s="618">
        <v>39.335500000000003</v>
      </c>
      <c r="I128" s="615">
        <v>42.735500000000002</v>
      </c>
      <c r="J128" s="616">
        <v>42.735500000000002</v>
      </c>
      <c r="K128" s="626" t="s">
        <v>335</v>
      </c>
    </row>
    <row r="129" spans="1:11" ht="14.4" customHeight="1" thickBot="1" x14ac:dyDescent="0.35">
      <c r="A129" s="636" t="s">
        <v>456</v>
      </c>
      <c r="B129" s="620">
        <v>0</v>
      </c>
      <c r="C129" s="620">
        <v>107.57738000000001</v>
      </c>
      <c r="D129" s="621">
        <v>107.57738000000001</v>
      </c>
      <c r="E129" s="622" t="s">
        <v>335</v>
      </c>
      <c r="F129" s="620">
        <v>0</v>
      </c>
      <c r="G129" s="621">
        <v>0</v>
      </c>
      <c r="H129" s="623">
        <v>8.0295000000000005</v>
      </c>
      <c r="I129" s="620">
        <v>11.429500000000001</v>
      </c>
      <c r="J129" s="621">
        <v>11.429500000000001</v>
      </c>
      <c r="K129" s="624" t="s">
        <v>335</v>
      </c>
    </row>
    <row r="130" spans="1:11" ht="14.4" customHeight="1" thickBot="1" x14ac:dyDescent="0.35">
      <c r="A130" s="637" t="s">
        <v>457</v>
      </c>
      <c r="B130" s="615">
        <v>0</v>
      </c>
      <c r="C130" s="615">
        <v>1.4569000000000001</v>
      </c>
      <c r="D130" s="616">
        <v>1.4569000000000001</v>
      </c>
      <c r="E130" s="625" t="s">
        <v>335</v>
      </c>
      <c r="F130" s="615">
        <v>0</v>
      </c>
      <c r="G130" s="616">
        <v>0</v>
      </c>
      <c r="H130" s="618">
        <v>7.6499999999999999E-2</v>
      </c>
      <c r="I130" s="615">
        <v>7.6499999999999999E-2</v>
      </c>
      <c r="J130" s="616">
        <v>7.6499999999999999E-2</v>
      </c>
      <c r="K130" s="626" t="s">
        <v>335</v>
      </c>
    </row>
    <row r="131" spans="1:11" ht="14.4" customHeight="1" thickBot="1" x14ac:dyDescent="0.35">
      <c r="A131" s="637" t="s">
        <v>458</v>
      </c>
      <c r="B131" s="615">
        <v>0</v>
      </c>
      <c r="C131" s="615">
        <v>17.601479999999999</v>
      </c>
      <c r="D131" s="616">
        <v>17.601479999999999</v>
      </c>
      <c r="E131" s="625" t="s">
        <v>335</v>
      </c>
      <c r="F131" s="615">
        <v>0</v>
      </c>
      <c r="G131" s="616">
        <v>0</v>
      </c>
      <c r="H131" s="618">
        <v>0</v>
      </c>
      <c r="I131" s="615">
        <v>0</v>
      </c>
      <c r="J131" s="616">
        <v>0</v>
      </c>
      <c r="K131" s="626" t="s">
        <v>335</v>
      </c>
    </row>
    <row r="132" spans="1:11" ht="14.4" customHeight="1" thickBot="1" x14ac:dyDescent="0.35">
      <c r="A132" s="637" t="s">
        <v>459</v>
      </c>
      <c r="B132" s="615">
        <v>0</v>
      </c>
      <c r="C132" s="615">
        <v>88.218999999999994</v>
      </c>
      <c r="D132" s="616">
        <v>88.218999999999994</v>
      </c>
      <c r="E132" s="625" t="s">
        <v>335</v>
      </c>
      <c r="F132" s="615">
        <v>0</v>
      </c>
      <c r="G132" s="616">
        <v>0</v>
      </c>
      <c r="H132" s="618">
        <v>7.9530000000000003</v>
      </c>
      <c r="I132" s="615">
        <v>11.353</v>
      </c>
      <c r="J132" s="616">
        <v>11.353</v>
      </c>
      <c r="K132" s="626" t="s">
        <v>335</v>
      </c>
    </row>
    <row r="133" spans="1:11" ht="14.4" customHeight="1" thickBot="1" x14ac:dyDescent="0.35">
      <c r="A133" s="637" t="s">
        <v>460</v>
      </c>
      <c r="B133" s="615">
        <v>0</v>
      </c>
      <c r="C133" s="615">
        <v>0.3</v>
      </c>
      <c r="D133" s="616">
        <v>0.3</v>
      </c>
      <c r="E133" s="625" t="s">
        <v>335</v>
      </c>
      <c r="F133" s="615">
        <v>0</v>
      </c>
      <c r="G133" s="616">
        <v>0</v>
      </c>
      <c r="H133" s="618">
        <v>0</v>
      </c>
      <c r="I133" s="615">
        <v>0</v>
      </c>
      <c r="J133" s="616">
        <v>0</v>
      </c>
      <c r="K133" s="626" t="s">
        <v>335</v>
      </c>
    </row>
    <row r="134" spans="1:11" ht="14.4" customHeight="1" thickBot="1" x14ac:dyDescent="0.35">
      <c r="A134" s="639" t="s">
        <v>461</v>
      </c>
      <c r="B134" s="615">
        <v>0</v>
      </c>
      <c r="C134" s="615">
        <v>47.512</v>
      </c>
      <c r="D134" s="616">
        <v>47.512</v>
      </c>
      <c r="E134" s="625" t="s">
        <v>368</v>
      </c>
      <c r="F134" s="615">
        <v>0</v>
      </c>
      <c r="G134" s="616">
        <v>0</v>
      </c>
      <c r="H134" s="618">
        <v>31.306000000000001</v>
      </c>
      <c r="I134" s="615">
        <v>31.306000000000001</v>
      </c>
      <c r="J134" s="616">
        <v>31.306000000000001</v>
      </c>
      <c r="K134" s="626" t="s">
        <v>368</v>
      </c>
    </row>
    <row r="135" spans="1:11" ht="14.4" customHeight="1" thickBot="1" x14ac:dyDescent="0.35">
      <c r="A135" s="637" t="s">
        <v>462</v>
      </c>
      <c r="B135" s="615">
        <v>0</v>
      </c>
      <c r="C135" s="615">
        <v>47.512</v>
      </c>
      <c r="D135" s="616">
        <v>47.512</v>
      </c>
      <c r="E135" s="625" t="s">
        <v>368</v>
      </c>
      <c r="F135" s="615">
        <v>0</v>
      </c>
      <c r="G135" s="616">
        <v>0</v>
      </c>
      <c r="H135" s="618">
        <v>31.306000000000001</v>
      </c>
      <c r="I135" s="615">
        <v>31.306000000000001</v>
      </c>
      <c r="J135" s="616">
        <v>31.306000000000001</v>
      </c>
      <c r="K135" s="626" t="s">
        <v>368</v>
      </c>
    </row>
    <row r="136" spans="1:11" ht="14.4" customHeight="1" thickBot="1" x14ac:dyDescent="0.35">
      <c r="A136" s="636" t="s">
        <v>463</v>
      </c>
      <c r="B136" s="620">
        <v>0</v>
      </c>
      <c r="C136" s="620">
        <v>1.38663</v>
      </c>
      <c r="D136" s="621">
        <v>1.38663</v>
      </c>
      <c r="E136" s="622" t="s">
        <v>368</v>
      </c>
      <c r="F136" s="620">
        <v>0</v>
      </c>
      <c r="G136" s="621">
        <v>0</v>
      </c>
      <c r="H136" s="623">
        <v>0</v>
      </c>
      <c r="I136" s="620">
        <v>0</v>
      </c>
      <c r="J136" s="621">
        <v>0</v>
      </c>
      <c r="K136" s="624" t="s">
        <v>335</v>
      </c>
    </row>
    <row r="137" spans="1:11" ht="14.4" customHeight="1" thickBot="1" x14ac:dyDescent="0.35">
      <c r="A137" s="637" t="s">
        <v>464</v>
      </c>
      <c r="B137" s="615">
        <v>0</v>
      </c>
      <c r="C137" s="615">
        <v>1.38663</v>
      </c>
      <c r="D137" s="616">
        <v>1.38663</v>
      </c>
      <c r="E137" s="625" t="s">
        <v>368</v>
      </c>
      <c r="F137" s="615">
        <v>0</v>
      </c>
      <c r="G137" s="616">
        <v>0</v>
      </c>
      <c r="H137" s="618">
        <v>0</v>
      </c>
      <c r="I137" s="615">
        <v>0</v>
      </c>
      <c r="J137" s="616">
        <v>0</v>
      </c>
      <c r="K137" s="626" t="s">
        <v>335</v>
      </c>
    </row>
    <row r="138" spans="1:11" ht="14.4" customHeight="1" thickBot="1" x14ac:dyDescent="0.35">
      <c r="A138" s="639" t="s">
        <v>465</v>
      </c>
      <c r="B138" s="615">
        <v>0</v>
      </c>
      <c r="C138" s="615">
        <v>24.35</v>
      </c>
      <c r="D138" s="616">
        <v>24.35</v>
      </c>
      <c r="E138" s="625" t="s">
        <v>335</v>
      </c>
      <c r="F138" s="615">
        <v>0</v>
      </c>
      <c r="G138" s="616">
        <v>0</v>
      </c>
      <c r="H138" s="618">
        <v>0</v>
      </c>
      <c r="I138" s="615">
        <v>0</v>
      </c>
      <c r="J138" s="616">
        <v>0</v>
      </c>
      <c r="K138" s="626" t="s">
        <v>335</v>
      </c>
    </row>
    <row r="139" spans="1:11" ht="14.4" customHeight="1" thickBot="1" x14ac:dyDescent="0.35">
      <c r="A139" s="637" t="s">
        <v>466</v>
      </c>
      <c r="B139" s="615">
        <v>0</v>
      </c>
      <c r="C139" s="615">
        <v>24.35</v>
      </c>
      <c r="D139" s="616">
        <v>24.35</v>
      </c>
      <c r="E139" s="625" t="s">
        <v>335</v>
      </c>
      <c r="F139" s="615">
        <v>0</v>
      </c>
      <c r="G139" s="616">
        <v>0</v>
      </c>
      <c r="H139" s="618">
        <v>0</v>
      </c>
      <c r="I139" s="615">
        <v>0</v>
      </c>
      <c r="J139" s="616">
        <v>0</v>
      </c>
      <c r="K139" s="626" t="s">
        <v>335</v>
      </c>
    </row>
    <row r="140" spans="1:11" ht="14.4" customHeight="1" thickBot="1" x14ac:dyDescent="0.35">
      <c r="A140" s="639" t="s">
        <v>467</v>
      </c>
      <c r="B140" s="615">
        <v>0</v>
      </c>
      <c r="C140" s="615">
        <v>4.2</v>
      </c>
      <c r="D140" s="616">
        <v>4.2</v>
      </c>
      <c r="E140" s="625" t="s">
        <v>335</v>
      </c>
      <c r="F140" s="615">
        <v>0</v>
      </c>
      <c r="G140" s="616">
        <v>0</v>
      </c>
      <c r="H140" s="618">
        <v>0</v>
      </c>
      <c r="I140" s="615">
        <v>0</v>
      </c>
      <c r="J140" s="616">
        <v>0</v>
      </c>
      <c r="K140" s="626" t="s">
        <v>335</v>
      </c>
    </row>
    <row r="141" spans="1:11" ht="14.4" customHeight="1" thickBot="1" x14ac:dyDescent="0.35">
      <c r="A141" s="637" t="s">
        <v>468</v>
      </c>
      <c r="B141" s="615">
        <v>0</v>
      </c>
      <c r="C141" s="615">
        <v>4.2</v>
      </c>
      <c r="D141" s="616">
        <v>4.2</v>
      </c>
      <c r="E141" s="625" t="s">
        <v>335</v>
      </c>
      <c r="F141" s="615">
        <v>0</v>
      </c>
      <c r="G141" s="616">
        <v>0</v>
      </c>
      <c r="H141" s="618">
        <v>0</v>
      </c>
      <c r="I141" s="615">
        <v>0</v>
      </c>
      <c r="J141" s="616">
        <v>0</v>
      </c>
      <c r="K141" s="626" t="s">
        <v>335</v>
      </c>
    </row>
    <row r="142" spans="1:11" ht="14.4" customHeight="1" thickBot="1" x14ac:dyDescent="0.35">
      <c r="A142" s="634" t="s">
        <v>469</v>
      </c>
      <c r="B142" s="615">
        <v>8355.1017727710096</v>
      </c>
      <c r="C142" s="615">
        <v>8517.1171400000003</v>
      </c>
      <c r="D142" s="616">
        <v>162.01536722899601</v>
      </c>
      <c r="E142" s="617">
        <v>1.0193911901529999</v>
      </c>
      <c r="F142" s="615">
        <v>7114.1090513686604</v>
      </c>
      <c r="G142" s="616">
        <v>1185.68484189478</v>
      </c>
      <c r="H142" s="618">
        <v>626.64674000000196</v>
      </c>
      <c r="I142" s="615">
        <v>1232.2457400000001</v>
      </c>
      <c r="J142" s="616">
        <v>46.560898105223998</v>
      </c>
      <c r="K142" s="619">
        <v>0.17321153374199999</v>
      </c>
    </row>
    <row r="143" spans="1:11" ht="14.4" customHeight="1" thickBot="1" x14ac:dyDescent="0.35">
      <c r="A143" s="635" t="s">
        <v>470</v>
      </c>
      <c r="B143" s="615">
        <v>8264.1017727710096</v>
      </c>
      <c r="C143" s="615">
        <v>8280.6090000000004</v>
      </c>
      <c r="D143" s="616">
        <v>16.507227228996001</v>
      </c>
      <c r="E143" s="617">
        <v>1.001997461754</v>
      </c>
      <c r="F143" s="615">
        <v>7114.1090513686604</v>
      </c>
      <c r="G143" s="616">
        <v>1185.68484189478</v>
      </c>
      <c r="H143" s="618">
        <v>605.621000000001</v>
      </c>
      <c r="I143" s="615">
        <v>1211.22</v>
      </c>
      <c r="J143" s="616">
        <v>25.535158105223999</v>
      </c>
      <c r="K143" s="619">
        <v>0.17025603505</v>
      </c>
    </row>
    <row r="144" spans="1:11" ht="14.4" customHeight="1" thickBot="1" x14ac:dyDescent="0.35">
      <c r="A144" s="636" t="s">
        <v>471</v>
      </c>
      <c r="B144" s="620">
        <v>8264.1017727710096</v>
      </c>
      <c r="C144" s="620">
        <v>8264.7530000000006</v>
      </c>
      <c r="D144" s="621">
        <v>0.65122722899600005</v>
      </c>
      <c r="E144" s="627">
        <v>1.0000788019369999</v>
      </c>
      <c r="F144" s="620">
        <v>7114.1090513686604</v>
      </c>
      <c r="G144" s="621">
        <v>1185.68484189478</v>
      </c>
      <c r="H144" s="623">
        <v>605.621000000001</v>
      </c>
      <c r="I144" s="620">
        <v>1211.22</v>
      </c>
      <c r="J144" s="621">
        <v>25.535158105223999</v>
      </c>
      <c r="K144" s="628">
        <v>0.17025603505</v>
      </c>
    </row>
    <row r="145" spans="1:11" ht="14.4" customHeight="1" thickBot="1" x14ac:dyDescent="0.35">
      <c r="A145" s="637" t="s">
        <v>472</v>
      </c>
      <c r="B145" s="615">
        <v>168.993285667446</v>
      </c>
      <c r="C145" s="615">
        <v>170.26300000000001</v>
      </c>
      <c r="D145" s="616">
        <v>1.2697143325539999</v>
      </c>
      <c r="E145" s="617">
        <v>1.007513401065</v>
      </c>
      <c r="F145" s="615">
        <v>173.99999451941801</v>
      </c>
      <c r="G145" s="616">
        <v>28.999999086569002</v>
      </c>
      <c r="H145" s="618">
        <v>14.483000000000001</v>
      </c>
      <c r="I145" s="615">
        <v>28.948</v>
      </c>
      <c r="J145" s="616">
        <v>-5.1999086569E-2</v>
      </c>
      <c r="K145" s="619">
        <v>0.16636782133200001</v>
      </c>
    </row>
    <row r="146" spans="1:11" ht="14.4" customHeight="1" thickBot="1" x14ac:dyDescent="0.35">
      <c r="A146" s="637" t="s">
        <v>473</v>
      </c>
      <c r="B146" s="615">
        <v>2068.99999999996</v>
      </c>
      <c r="C146" s="615">
        <v>2067.4569999999999</v>
      </c>
      <c r="D146" s="616">
        <v>-1.5429999999599999</v>
      </c>
      <c r="E146" s="617">
        <v>0.99925422909600004</v>
      </c>
      <c r="F146" s="615">
        <v>1301.9999589901199</v>
      </c>
      <c r="G146" s="616">
        <v>216.99999316501999</v>
      </c>
      <c r="H146" s="618">
        <v>108.97199999999999</v>
      </c>
      <c r="I146" s="615">
        <v>217.94399999999999</v>
      </c>
      <c r="J146" s="616">
        <v>0.94400683498000004</v>
      </c>
      <c r="K146" s="619">
        <v>0.16739171034100001</v>
      </c>
    </row>
    <row r="147" spans="1:11" ht="14.4" customHeight="1" thickBot="1" x14ac:dyDescent="0.35">
      <c r="A147" s="637" t="s">
        <v>474</v>
      </c>
      <c r="B147" s="615">
        <v>3.1223446848490002</v>
      </c>
      <c r="C147" s="615">
        <v>4.5599999999999996</v>
      </c>
      <c r="D147" s="616">
        <v>1.43765531515</v>
      </c>
      <c r="E147" s="617">
        <v>1.4604409379029999</v>
      </c>
      <c r="F147" s="615">
        <v>3.122344586503</v>
      </c>
      <c r="G147" s="616">
        <v>0.52039076441700005</v>
      </c>
      <c r="H147" s="618">
        <v>0.38</v>
      </c>
      <c r="I147" s="615">
        <v>0.76</v>
      </c>
      <c r="J147" s="616">
        <v>0.23960923558200001</v>
      </c>
      <c r="K147" s="619">
        <v>0.24340683064999999</v>
      </c>
    </row>
    <row r="148" spans="1:11" ht="14.4" customHeight="1" thickBot="1" x14ac:dyDescent="0.35">
      <c r="A148" s="637" t="s">
        <v>475</v>
      </c>
      <c r="B148" s="615">
        <v>1124.98614241884</v>
      </c>
      <c r="C148" s="615">
        <v>1126.5119999999999</v>
      </c>
      <c r="D148" s="616">
        <v>1.5258575811599999</v>
      </c>
      <c r="E148" s="617">
        <v>1.001356334557</v>
      </c>
      <c r="F148" s="615">
        <v>1127.98689523236</v>
      </c>
      <c r="G148" s="616">
        <v>187.99781587205999</v>
      </c>
      <c r="H148" s="618">
        <v>94.036000000000001</v>
      </c>
      <c r="I148" s="615">
        <v>188.06800000000001</v>
      </c>
      <c r="J148" s="616">
        <v>7.0184127939999993E-2</v>
      </c>
      <c r="K148" s="619">
        <v>0.166728887361</v>
      </c>
    </row>
    <row r="149" spans="1:11" ht="14.4" customHeight="1" thickBot="1" x14ac:dyDescent="0.35">
      <c r="A149" s="637" t="s">
        <v>476</v>
      </c>
      <c r="B149" s="615">
        <v>4682.99999999992</v>
      </c>
      <c r="C149" s="615">
        <v>4682.1930000000002</v>
      </c>
      <c r="D149" s="616">
        <v>-0.806999999912</v>
      </c>
      <c r="E149" s="617">
        <v>0.99982767456699995</v>
      </c>
      <c r="F149" s="615">
        <v>4439.9998601506004</v>
      </c>
      <c r="G149" s="616">
        <v>739.99997669176696</v>
      </c>
      <c r="H149" s="618">
        <v>369.972000000001</v>
      </c>
      <c r="I149" s="615">
        <v>739.94400000000098</v>
      </c>
      <c r="J149" s="616">
        <v>-5.5976691765000003E-2</v>
      </c>
      <c r="K149" s="619">
        <v>0.16665405930300001</v>
      </c>
    </row>
    <row r="150" spans="1:11" ht="14.4" customHeight="1" thickBot="1" x14ac:dyDescent="0.35">
      <c r="A150" s="637" t="s">
        <v>477</v>
      </c>
      <c r="B150" s="615">
        <v>214.99999999999599</v>
      </c>
      <c r="C150" s="615">
        <v>213.768</v>
      </c>
      <c r="D150" s="616">
        <v>-1.2319999999960001</v>
      </c>
      <c r="E150" s="617">
        <v>0.99426976744100004</v>
      </c>
      <c r="F150" s="615">
        <v>66.999997889659994</v>
      </c>
      <c r="G150" s="616">
        <v>11.166666314943001</v>
      </c>
      <c r="H150" s="618">
        <v>17.777999999999999</v>
      </c>
      <c r="I150" s="615">
        <v>35.555999999999997</v>
      </c>
      <c r="J150" s="616">
        <v>24.389333685055998</v>
      </c>
      <c r="K150" s="619">
        <v>0.53068658387900003</v>
      </c>
    </row>
    <row r="151" spans="1:11" ht="14.4" customHeight="1" thickBot="1" x14ac:dyDescent="0.35">
      <c r="A151" s="636" t="s">
        <v>478</v>
      </c>
      <c r="B151" s="620">
        <v>0</v>
      </c>
      <c r="C151" s="620">
        <v>15.856</v>
      </c>
      <c r="D151" s="621">
        <v>15.856</v>
      </c>
      <c r="E151" s="622" t="s">
        <v>335</v>
      </c>
      <c r="F151" s="620">
        <v>0</v>
      </c>
      <c r="G151" s="621">
        <v>0</v>
      </c>
      <c r="H151" s="623">
        <v>0</v>
      </c>
      <c r="I151" s="620">
        <v>0</v>
      </c>
      <c r="J151" s="621">
        <v>0</v>
      </c>
      <c r="K151" s="624" t="s">
        <v>335</v>
      </c>
    </row>
    <row r="152" spans="1:11" ht="14.4" customHeight="1" thickBot="1" x14ac:dyDescent="0.35">
      <c r="A152" s="637" t="s">
        <v>479</v>
      </c>
      <c r="B152" s="615">
        <v>0</v>
      </c>
      <c r="C152" s="615">
        <v>5.4320000000000004</v>
      </c>
      <c r="D152" s="616">
        <v>5.4320000000000004</v>
      </c>
      <c r="E152" s="625" t="s">
        <v>335</v>
      </c>
      <c r="F152" s="615">
        <v>0</v>
      </c>
      <c r="G152" s="616">
        <v>0</v>
      </c>
      <c r="H152" s="618">
        <v>0</v>
      </c>
      <c r="I152" s="615">
        <v>0</v>
      </c>
      <c r="J152" s="616">
        <v>0</v>
      </c>
      <c r="K152" s="619">
        <v>0</v>
      </c>
    </row>
    <row r="153" spans="1:11" ht="14.4" customHeight="1" thickBot="1" x14ac:dyDescent="0.35">
      <c r="A153" s="637" t="s">
        <v>480</v>
      </c>
      <c r="B153" s="615">
        <v>0</v>
      </c>
      <c r="C153" s="615">
        <v>4.2729999999999997</v>
      </c>
      <c r="D153" s="616">
        <v>4.2729999999999997</v>
      </c>
      <c r="E153" s="625" t="s">
        <v>335</v>
      </c>
      <c r="F153" s="615">
        <v>0</v>
      </c>
      <c r="G153" s="616">
        <v>0</v>
      </c>
      <c r="H153" s="618">
        <v>0</v>
      </c>
      <c r="I153" s="615">
        <v>0</v>
      </c>
      <c r="J153" s="616">
        <v>0</v>
      </c>
      <c r="K153" s="626" t="s">
        <v>335</v>
      </c>
    </row>
    <row r="154" spans="1:11" ht="14.4" customHeight="1" thickBot="1" x14ac:dyDescent="0.35">
      <c r="A154" s="637" t="s">
        <v>481</v>
      </c>
      <c r="B154" s="615">
        <v>0</v>
      </c>
      <c r="C154" s="615">
        <v>6.1509999999999998</v>
      </c>
      <c r="D154" s="616">
        <v>6.1509999999999998</v>
      </c>
      <c r="E154" s="625" t="s">
        <v>335</v>
      </c>
      <c r="F154" s="615">
        <v>0</v>
      </c>
      <c r="G154" s="616">
        <v>0</v>
      </c>
      <c r="H154" s="618">
        <v>0</v>
      </c>
      <c r="I154" s="615">
        <v>0</v>
      </c>
      <c r="J154" s="616">
        <v>0</v>
      </c>
      <c r="K154" s="626" t="s">
        <v>335</v>
      </c>
    </row>
    <row r="155" spans="1:11" ht="14.4" customHeight="1" thickBot="1" x14ac:dyDescent="0.35">
      <c r="A155" s="635" t="s">
        <v>482</v>
      </c>
      <c r="B155" s="615">
        <v>91</v>
      </c>
      <c r="C155" s="615">
        <v>236.50814</v>
      </c>
      <c r="D155" s="616">
        <v>145.50814</v>
      </c>
      <c r="E155" s="617">
        <v>2.5989905494499999</v>
      </c>
      <c r="F155" s="615">
        <v>0</v>
      </c>
      <c r="G155" s="616">
        <v>0</v>
      </c>
      <c r="H155" s="618">
        <v>21.025739999999999</v>
      </c>
      <c r="I155" s="615">
        <v>21.025739999999999</v>
      </c>
      <c r="J155" s="616">
        <v>21.025739999999999</v>
      </c>
      <c r="K155" s="626" t="s">
        <v>335</v>
      </c>
    </row>
    <row r="156" spans="1:11" ht="14.4" customHeight="1" thickBot="1" x14ac:dyDescent="0.35">
      <c r="A156" s="636" t="s">
        <v>483</v>
      </c>
      <c r="B156" s="620">
        <v>91</v>
      </c>
      <c r="C156" s="620">
        <v>197.94614000000001</v>
      </c>
      <c r="D156" s="621">
        <v>106.94614</v>
      </c>
      <c r="E156" s="627">
        <v>2.1752323076920002</v>
      </c>
      <c r="F156" s="620">
        <v>0</v>
      </c>
      <c r="G156" s="621">
        <v>0</v>
      </c>
      <c r="H156" s="623">
        <v>19.573740000000001</v>
      </c>
      <c r="I156" s="620">
        <v>19.573740000000001</v>
      </c>
      <c r="J156" s="621">
        <v>19.573740000000001</v>
      </c>
      <c r="K156" s="624" t="s">
        <v>335</v>
      </c>
    </row>
    <row r="157" spans="1:11" ht="14.4" customHeight="1" thickBot="1" x14ac:dyDescent="0.35">
      <c r="A157" s="637" t="s">
        <v>484</v>
      </c>
      <c r="B157" s="615">
        <v>91</v>
      </c>
      <c r="C157" s="615">
        <v>87.55</v>
      </c>
      <c r="D157" s="616">
        <v>-3.45</v>
      </c>
      <c r="E157" s="617">
        <v>0.96208791208699995</v>
      </c>
      <c r="F157" s="615">
        <v>0</v>
      </c>
      <c r="G157" s="616">
        <v>0</v>
      </c>
      <c r="H157" s="618">
        <v>0</v>
      </c>
      <c r="I157" s="615">
        <v>0</v>
      </c>
      <c r="J157" s="616">
        <v>0</v>
      </c>
      <c r="K157" s="626" t="s">
        <v>335</v>
      </c>
    </row>
    <row r="158" spans="1:11" ht="14.4" customHeight="1" thickBot="1" x14ac:dyDescent="0.35">
      <c r="A158" s="637" t="s">
        <v>485</v>
      </c>
      <c r="B158" s="615">
        <v>0</v>
      </c>
      <c r="C158" s="615">
        <v>110.39614</v>
      </c>
      <c r="D158" s="616">
        <v>110.39614</v>
      </c>
      <c r="E158" s="625" t="s">
        <v>335</v>
      </c>
      <c r="F158" s="615">
        <v>0</v>
      </c>
      <c r="G158" s="616">
        <v>0</v>
      </c>
      <c r="H158" s="618">
        <v>19.573740000000001</v>
      </c>
      <c r="I158" s="615">
        <v>19.573740000000001</v>
      </c>
      <c r="J158" s="616">
        <v>19.573740000000001</v>
      </c>
      <c r="K158" s="626" t="s">
        <v>368</v>
      </c>
    </row>
    <row r="159" spans="1:11" ht="14.4" customHeight="1" thickBot="1" x14ac:dyDescent="0.35">
      <c r="A159" s="636" t="s">
        <v>486</v>
      </c>
      <c r="B159" s="620">
        <v>0</v>
      </c>
      <c r="C159" s="620">
        <v>34.448</v>
      </c>
      <c r="D159" s="621">
        <v>34.448</v>
      </c>
      <c r="E159" s="622" t="s">
        <v>335</v>
      </c>
      <c r="F159" s="620">
        <v>0</v>
      </c>
      <c r="G159" s="621">
        <v>0</v>
      </c>
      <c r="H159" s="623">
        <v>0</v>
      </c>
      <c r="I159" s="620">
        <v>0</v>
      </c>
      <c r="J159" s="621">
        <v>0</v>
      </c>
      <c r="K159" s="624" t="s">
        <v>335</v>
      </c>
    </row>
    <row r="160" spans="1:11" ht="14.4" customHeight="1" thickBot="1" x14ac:dyDescent="0.35">
      <c r="A160" s="637" t="s">
        <v>487</v>
      </c>
      <c r="B160" s="615">
        <v>0</v>
      </c>
      <c r="C160" s="615">
        <v>6.94</v>
      </c>
      <c r="D160" s="616">
        <v>6.94</v>
      </c>
      <c r="E160" s="625" t="s">
        <v>368</v>
      </c>
      <c r="F160" s="615">
        <v>0</v>
      </c>
      <c r="G160" s="616">
        <v>0</v>
      </c>
      <c r="H160" s="618">
        <v>0</v>
      </c>
      <c r="I160" s="615">
        <v>0</v>
      </c>
      <c r="J160" s="616">
        <v>0</v>
      </c>
      <c r="K160" s="626" t="s">
        <v>335</v>
      </c>
    </row>
    <row r="161" spans="1:11" ht="14.4" customHeight="1" thickBot="1" x14ac:dyDescent="0.35">
      <c r="A161" s="637" t="s">
        <v>488</v>
      </c>
      <c r="B161" s="615">
        <v>0</v>
      </c>
      <c r="C161" s="615">
        <v>27.507999999999999</v>
      </c>
      <c r="D161" s="616">
        <v>27.507999999999999</v>
      </c>
      <c r="E161" s="625" t="s">
        <v>368</v>
      </c>
      <c r="F161" s="615">
        <v>0</v>
      </c>
      <c r="G161" s="616">
        <v>0</v>
      </c>
      <c r="H161" s="618">
        <v>0</v>
      </c>
      <c r="I161" s="615">
        <v>0</v>
      </c>
      <c r="J161" s="616">
        <v>0</v>
      </c>
      <c r="K161" s="626" t="s">
        <v>335</v>
      </c>
    </row>
    <row r="162" spans="1:11" ht="14.4" customHeight="1" thickBot="1" x14ac:dyDescent="0.35">
      <c r="A162" s="636" t="s">
        <v>489</v>
      </c>
      <c r="B162" s="620">
        <v>0</v>
      </c>
      <c r="C162" s="620">
        <v>4.1139999999999999</v>
      </c>
      <c r="D162" s="621">
        <v>4.1139999999999999</v>
      </c>
      <c r="E162" s="622" t="s">
        <v>335</v>
      </c>
      <c r="F162" s="620">
        <v>0</v>
      </c>
      <c r="G162" s="621">
        <v>0</v>
      </c>
      <c r="H162" s="623">
        <v>0</v>
      </c>
      <c r="I162" s="620">
        <v>0</v>
      </c>
      <c r="J162" s="621">
        <v>0</v>
      </c>
      <c r="K162" s="628">
        <v>0</v>
      </c>
    </row>
    <row r="163" spans="1:11" ht="14.4" customHeight="1" thickBot="1" x14ac:dyDescent="0.35">
      <c r="A163" s="637" t="s">
        <v>490</v>
      </c>
      <c r="B163" s="615">
        <v>0</v>
      </c>
      <c r="C163" s="615">
        <v>4.1139999999999999</v>
      </c>
      <c r="D163" s="616">
        <v>4.1139999999999999</v>
      </c>
      <c r="E163" s="625" t="s">
        <v>368</v>
      </c>
      <c r="F163" s="615">
        <v>0</v>
      </c>
      <c r="G163" s="616">
        <v>0</v>
      </c>
      <c r="H163" s="618">
        <v>0</v>
      </c>
      <c r="I163" s="615">
        <v>0</v>
      </c>
      <c r="J163" s="616">
        <v>0</v>
      </c>
      <c r="K163" s="619">
        <v>0</v>
      </c>
    </row>
    <row r="164" spans="1:11" ht="14.4" customHeight="1" thickBot="1" x14ac:dyDescent="0.35">
      <c r="A164" s="636" t="s">
        <v>491</v>
      </c>
      <c r="B164" s="620">
        <v>0</v>
      </c>
      <c r="C164" s="620">
        <v>0</v>
      </c>
      <c r="D164" s="621">
        <v>0</v>
      </c>
      <c r="E164" s="622" t="s">
        <v>335</v>
      </c>
      <c r="F164" s="620">
        <v>0</v>
      </c>
      <c r="G164" s="621">
        <v>0</v>
      </c>
      <c r="H164" s="623">
        <v>1.452</v>
      </c>
      <c r="I164" s="620">
        <v>1.452</v>
      </c>
      <c r="J164" s="621">
        <v>1.452</v>
      </c>
      <c r="K164" s="624" t="s">
        <v>368</v>
      </c>
    </row>
    <row r="165" spans="1:11" ht="14.4" customHeight="1" thickBot="1" x14ac:dyDescent="0.35">
      <c r="A165" s="637" t="s">
        <v>492</v>
      </c>
      <c r="B165" s="615">
        <v>0</v>
      </c>
      <c r="C165" s="615">
        <v>0</v>
      </c>
      <c r="D165" s="616">
        <v>0</v>
      </c>
      <c r="E165" s="625" t="s">
        <v>335</v>
      </c>
      <c r="F165" s="615">
        <v>0</v>
      </c>
      <c r="G165" s="616">
        <v>0</v>
      </c>
      <c r="H165" s="618">
        <v>1.452</v>
      </c>
      <c r="I165" s="615">
        <v>1.452</v>
      </c>
      <c r="J165" s="616">
        <v>1.452</v>
      </c>
      <c r="K165" s="626" t="s">
        <v>368</v>
      </c>
    </row>
    <row r="166" spans="1:11" ht="14.4" customHeight="1" thickBot="1" x14ac:dyDescent="0.35">
      <c r="A166" s="634" t="s">
        <v>493</v>
      </c>
      <c r="B166" s="615">
        <v>0</v>
      </c>
      <c r="C166" s="615">
        <v>0.51590999999999998</v>
      </c>
      <c r="D166" s="616">
        <v>0.51590999999999998</v>
      </c>
      <c r="E166" s="625" t="s">
        <v>335</v>
      </c>
      <c r="F166" s="615">
        <v>0</v>
      </c>
      <c r="G166" s="616">
        <v>0</v>
      </c>
      <c r="H166" s="618">
        <v>0</v>
      </c>
      <c r="I166" s="615">
        <v>0</v>
      </c>
      <c r="J166" s="616">
        <v>0</v>
      </c>
      <c r="K166" s="626" t="s">
        <v>335</v>
      </c>
    </row>
    <row r="167" spans="1:11" ht="14.4" customHeight="1" thickBot="1" x14ac:dyDescent="0.35">
      <c r="A167" s="635" t="s">
        <v>494</v>
      </c>
      <c r="B167" s="615">
        <v>0</v>
      </c>
      <c r="C167" s="615">
        <v>0.51590999999999998</v>
      </c>
      <c r="D167" s="616">
        <v>0.51590999999999998</v>
      </c>
      <c r="E167" s="625" t="s">
        <v>335</v>
      </c>
      <c r="F167" s="615">
        <v>0</v>
      </c>
      <c r="G167" s="616">
        <v>0</v>
      </c>
      <c r="H167" s="618">
        <v>0</v>
      </c>
      <c r="I167" s="615">
        <v>0</v>
      </c>
      <c r="J167" s="616">
        <v>0</v>
      </c>
      <c r="K167" s="626" t="s">
        <v>335</v>
      </c>
    </row>
    <row r="168" spans="1:11" ht="14.4" customHeight="1" thickBot="1" x14ac:dyDescent="0.35">
      <c r="A168" s="636" t="s">
        <v>495</v>
      </c>
      <c r="B168" s="620">
        <v>0</v>
      </c>
      <c r="C168" s="620">
        <v>0.51590999999999998</v>
      </c>
      <c r="D168" s="621">
        <v>0.51590999999999998</v>
      </c>
      <c r="E168" s="622" t="s">
        <v>335</v>
      </c>
      <c r="F168" s="620">
        <v>0</v>
      </c>
      <c r="G168" s="621">
        <v>0</v>
      </c>
      <c r="H168" s="623">
        <v>0</v>
      </c>
      <c r="I168" s="620">
        <v>0</v>
      </c>
      <c r="J168" s="621">
        <v>0</v>
      </c>
      <c r="K168" s="624" t="s">
        <v>335</v>
      </c>
    </row>
    <row r="169" spans="1:11" ht="14.4" customHeight="1" thickBot="1" x14ac:dyDescent="0.35">
      <c r="A169" s="637" t="s">
        <v>496</v>
      </c>
      <c r="B169" s="615">
        <v>0</v>
      </c>
      <c r="C169" s="615">
        <v>0.51590999999999998</v>
      </c>
      <c r="D169" s="616">
        <v>0.51590999999999998</v>
      </c>
      <c r="E169" s="625" t="s">
        <v>335</v>
      </c>
      <c r="F169" s="615">
        <v>0</v>
      </c>
      <c r="G169" s="616">
        <v>0</v>
      </c>
      <c r="H169" s="618">
        <v>0</v>
      </c>
      <c r="I169" s="615">
        <v>0</v>
      </c>
      <c r="J169" s="616">
        <v>0</v>
      </c>
      <c r="K169" s="626" t="s">
        <v>335</v>
      </c>
    </row>
    <row r="170" spans="1:11" ht="14.4" customHeight="1" thickBot="1" x14ac:dyDescent="0.35">
      <c r="A170" s="633" t="s">
        <v>497</v>
      </c>
      <c r="B170" s="615">
        <v>157236.524919032</v>
      </c>
      <c r="C170" s="615">
        <v>153020.72928</v>
      </c>
      <c r="D170" s="616">
        <v>-4215.7956390318896</v>
      </c>
      <c r="E170" s="617">
        <v>0.97318819122199995</v>
      </c>
      <c r="F170" s="615">
        <v>157559.230381951</v>
      </c>
      <c r="G170" s="616">
        <v>26259.8717303251</v>
      </c>
      <c r="H170" s="618">
        <v>11934.11088</v>
      </c>
      <c r="I170" s="615">
        <v>23111.765050000002</v>
      </c>
      <c r="J170" s="616">
        <v>-3148.1066803251501</v>
      </c>
      <c r="K170" s="619">
        <v>0.14668620171499999</v>
      </c>
    </row>
    <row r="171" spans="1:11" ht="14.4" customHeight="1" thickBot="1" x14ac:dyDescent="0.35">
      <c r="A171" s="634" t="s">
        <v>498</v>
      </c>
      <c r="B171" s="615">
        <v>157152.951879484</v>
      </c>
      <c r="C171" s="615">
        <v>152861.61803000001</v>
      </c>
      <c r="D171" s="616">
        <v>-4291.33384948401</v>
      </c>
      <c r="E171" s="617">
        <v>0.97269326602999995</v>
      </c>
      <c r="F171" s="615">
        <v>157446.230381951</v>
      </c>
      <c r="G171" s="616">
        <v>26241.0383969918</v>
      </c>
      <c r="H171" s="618">
        <v>11934.11088</v>
      </c>
      <c r="I171" s="615">
        <v>23106.421849999999</v>
      </c>
      <c r="J171" s="616">
        <v>-3134.6165469918101</v>
      </c>
      <c r="K171" s="619">
        <v>0.14675754252000001</v>
      </c>
    </row>
    <row r="172" spans="1:11" ht="14.4" customHeight="1" thickBot="1" x14ac:dyDescent="0.35">
      <c r="A172" s="635" t="s">
        <v>499</v>
      </c>
      <c r="B172" s="615">
        <v>157152.951879484</v>
      </c>
      <c r="C172" s="615">
        <v>152861.61803000001</v>
      </c>
      <c r="D172" s="616">
        <v>-4291.33384948401</v>
      </c>
      <c r="E172" s="617">
        <v>0.97269326602999995</v>
      </c>
      <c r="F172" s="615">
        <v>157446.230381951</v>
      </c>
      <c r="G172" s="616">
        <v>26241.0383969918</v>
      </c>
      <c r="H172" s="618">
        <v>11934.11088</v>
      </c>
      <c r="I172" s="615">
        <v>23106.421849999999</v>
      </c>
      <c r="J172" s="616">
        <v>-3134.6165469918101</v>
      </c>
      <c r="K172" s="619">
        <v>0.14675754252000001</v>
      </c>
    </row>
    <row r="173" spans="1:11" ht="14.4" customHeight="1" thickBot="1" x14ac:dyDescent="0.35">
      <c r="A173" s="636" t="s">
        <v>500</v>
      </c>
      <c r="B173" s="620">
        <v>2.95187948396</v>
      </c>
      <c r="C173" s="620">
        <v>0.23400000000000001</v>
      </c>
      <c r="D173" s="621">
        <v>-2.71787948396</v>
      </c>
      <c r="E173" s="627">
        <v>7.9271528960000004E-2</v>
      </c>
      <c r="F173" s="620">
        <v>0.23038190970299999</v>
      </c>
      <c r="G173" s="621">
        <v>3.8396984949999997E-2</v>
      </c>
      <c r="H173" s="623">
        <v>0</v>
      </c>
      <c r="I173" s="620">
        <v>4.9590000000000002E-2</v>
      </c>
      <c r="J173" s="621">
        <v>1.1193015049000001E-2</v>
      </c>
      <c r="K173" s="628">
        <v>0.21525127586500001</v>
      </c>
    </row>
    <row r="174" spans="1:11" ht="14.4" customHeight="1" thickBot="1" x14ac:dyDescent="0.35">
      <c r="A174" s="637" t="s">
        <v>501</v>
      </c>
      <c r="B174" s="615">
        <v>0.24549446168899999</v>
      </c>
      <c r="C174" s="615">
        <v>0.23400000000000001</v>
      </c>
      <c r="D174" s="616">
        <v>-1.1494461689E-2</v>
      </c>
      <c r="E174" s="617">
        <v>0.95317832585499995</v>
      </c>
      <c r="F174" s="615">
        <v>0.23038190970299999</v>
      </c>
      <c r="G174" s="616">
        <v>3.8396984949999997E-2</v>
      </c>
      <c r="H174" s="618">
        <v>0</v>
      </c>
      <c r="I174" s="615">
        <v>0</v>
      </c>
      <c r="J174" s="616">
        <v>-3.8396984949999997E-2</v>
      </c>
      <c r="K174" s="619">
        <v>0</v>
      </c>
    </row>
    <row r="175" spans="1:11" ht="14.4" customHeight="1" thickBot="1" x14ac:dyDescent="0.35">
      <c r="A175" s="637" t="s">
        <v>502</v>
      </c>
      <c r="B175" s="615">
        <v>2.6455661072200001</v>
      </c>
      <c r="C175" s="615">
        <v>0</v>
      </c>
      <c r="D175" s="616">
        <v>-2.6455661072200001</v>
      </c>
      <c r="E175" s="617">
        <v>0</v>
      </c>
      <c r="F175" s="615">
        <v>0</v>
      </c>
      <c r="G175" s="616">
        <v>0</v>
      </c>
      <c r="H175" s="618">
        <v>0</v>
      </c>
      <c r="I175" s="615">
        <v>4.9590000000000002E-2</v>
      </c>
      <c r="J175" s="616">
        <v>4.9590000000000002E-2</v>
      </c>
      <c r="K175" s="626" t="s">
        <v>368</v>
      </c>
    </row>
    <row r="176" spans="1:11" ht="14.4" customHeight="1" thickBot="1" x14ac:dyDescent="0.35">
      <c r="A176" s="636" t="s">
        <v>503</v>
      </c>
      <c r="B176" s="620">
        <v>0</v>
      </c>
      <c r="C176" s="620">
        <v>429.52440999999999</v>
      </c>
      <c r="D176" s="621">
        <v>429.52440999999999</v>
      </c>
      <c r="E176" s="622" t="s">
        <v>335</v>
      </c>
      <c r="F176" s="620">
        <v>513.00000000013404</v>
      </c>
      <c r="G176" s="621">
        <v>85.500000000021998</v>
      </c>
      <c r="H176" s="623">
        <v>3.5000000000000003E-2</v>
      </c>
      <c r="I176" s="620">
        <v>1.48356</v>
      </c>
      <c r="J176" s="621">
        <v>-84.016440000022001</v>
      </c>
      <c r="K176" s="628">
        <v>2.8919298239999999E-3</v>
      </c>
    </row>
    <row r="177" spans="1:11" ht="14.4" customHeight="1" thickBot="1" x14ac:dyDescent="0.35">
      <c r="A177" s="637" t="s">
        <v>504</v>
      </c>
      <c r="B177" s="615">
        <v>0</v>
      </c>
      <c r="C177" s="615">
        <v>429.52440999999999</v>
      </c>
      <c r="D177" s="616">
        <v>429.52440999999999</v>
      </c>
      <c r="E177" s="625" t="s">
        <v>335</v>
      </c>
      <c r="F177" s="615">
        <v>513.00000000013404</v>
      </c>
      <c r="G177" s="616">
        <v>85.500000000021998</v>
      </c>
      <c r="H177" s="618">
        <v>3.5000000000000003E-2</v>
      </c>
      <c r="I177" s="615">
        <v>1.48356</v>
      </c>
      <c r="J177" s="616">
        <v>-84.016440000022001</v>
      </c>
      <c r="K177" s="619">
        <v>2.8919298239999999E-3</v>
      </c>
    </row>
    <row r="178" spans="1:11" ht="14.4" customHeight="1" thickBot="1" x14ac:dyDescent="0.35">
      <c r="A178" s="636" t="s">
        <v>505</v>
      </c>
      <c r="B178" s="620">
        <v>0</v>
      </c>
      <c r="C178" s="620">
        <v>0.95959000000000005</v>
      </c>
      <c r="D178" s="621">
        <v>0.95959000000000005</v>
      </c>
      <c r="E178" s="622" t="s">
        <v>335</v>
      </c>
      <c r="F178" s="620">
        <v>3</v>
      </c>
      <c r="G178" s="621">
        <v>0.5</v>
      </c>
      <c r="H178" s="623">
        <v>247.52760000000001</v>
      </c>
      <c r="I178" s="620">
        <v>247.52760000000001</v>
      </c>
      <c r="J178" s="621">
        <v>247.02760000000001</v>
      </c>
      <c r="K178" s="628">
        <v>82.509199999977994</v>
      </c>
    </row>
    <row r="179" spans="1:11" ht="14.4" customHeight="1" thickBot="1" x14ac:dyDescent="0.35">
      <c r="A179" s="637" t="s">
        <v>506</v>
      </c>
      <c r="B179" s="615">
        <v>0</v>
      </c>
      <c r="C179" s="615">
        <v>0.95959000000000005</v>
      </c>
      <c r="D179" s="616">
        <v>0.95959000000000005</v>
      </c>
      <c r="E179" s="625" t="s">
        <v>335</v>
      </c>
      <c r="F179" s="615">
        <v>3</v>
      </c>
      <c r="G179" s="616">
        <v>0.5</v>
      </c>
      <c r="H179" s="618">
        <v>247.52760000000001</v>
      </c>
      <c r="I179" s="615">
        <v>247.52760000000001</v>
      </c>
      <c r="J179" s="616">
        <v>247.02760000000001</v>
      </c>
      <c r="K179" s="619">
        <v>82.509199999977994</v>
      </c>
    </row>
    <row r="180" spans="1:11" ht="14.4" customHeight="1" thickBot="1" x14ac:dyDescent="0.35">
      <c r="A180" s="636" t="s">
        <v>507</v>
      </c>
      <c r="B180" s="620">
        <v>157150</v>
      </c>
      <c r="C180" s="620">
        <v>147381.70209000001</v>
      </c>
      <c r="D180" s="621">
        <v>-9768.2979100000503</v>
      </c>
      <c r="E180" s="627">
        <v>0.93784092962099996</v>
      </c>
      <c r="F180" s="620">
        <v>156930.00000004101</v>
      </c>
      <c r="G180" s="621">
        <v>26155.000000006799</v>
      </c>
      <c r="H180" s="623">
        <v>11686.548280000001</v>
      </c>
      <c r="I180" s="620">
        <v>22951.21272</v>
      </c>
      <c r="J180" s="621">
        <v>-3203.7872800068299</v>
      </c>
      <c r="K180" s="628">
        <v>0.146251275855</v>
      </c>
    </row>
    <row r="181" spans="1:11" ht="14.4" customHeight="1" thickBot="1" x14ac:dyDescent="0.35">
      <c r="A181" s="637" t="s">
        <v>508</v>
      </c>
      <c r="B181" s="615">
        <v>99945.000000000102</v>
      </c>
      <c r="C181" s="615">
        <v>86876.747730000003</v>
      </c>
      <c r="D181" s="616">
        <v>-13068.252270000101</v>
      </c>
      <c r="E181" s="617">
        <v>0.86924556235899997</v>
      </c>
      <c r="F181" s="615">
        <v>95864.000000025</v>
      </c>
      <c r="G181" s="616">
        <v>15977.333333337499</v>
      </c>
      <c r="H181" s="618">
        <v>4794.0911699999997</v>
      </c>
      <c r="I181" s="615">
        <v>9829.6468399999994</v>
      </c>
      <c r="J181" s="616">
        <v>-6147.68649333751</v>
      </c>
      <c r="K181" s="619">
        <v>0.102537415922</v>
      </c>
    </row>
    <row r="182" spans="1:11" ht="14.4" customHeight="1" thickBot="1" x14ac:dyDescent="0.35">
      <c r="A182" s="637" t="s">
        <v>509</v>
      </c>
      <c r="B182" s="615">
        <v>57205</v>
      </c>
      <c r="C182" s="615">
        <v>60504.954360000003</v>
      </c>
      <c r="D182" s="616">
        <v>3299.9543600000002</v>
      </c>
      <c r="E182" s="617">
        <v>1.057686467266</v>
      </c>
      <c r="F182" s="615">
        <v>61066.000000015898</v>
      </c>
      <c r="G182" s="616">
        <v>10177.6666666693</v>
      </c>
      <c r="H182" s="618">
        <v>6892.4571100000003</v>
      </c>
      <c r="I182" s="615">
        <v>13121.56588</v>
      </c>
      <c r="J182" s="616">
        <v>2943.8992133306701</v>
      </c>
      <c r="K182" s="619">
        <v>0.21487514951</v>
      </c>
    </row>
    <row r="183" spans="1:11" ht="14.4" customHeight="1" thickBot="1" x14ac:dyDescent="0.35">
      <c r="A183" s="636" t="s">
        <v>510</v>
      </c>
      <c r="B183" s="620">
        <v>0</v>
      </c>
      <c r="C183" s="620">
        <v>5049.19794</v>
      </c>
      <c r="D183" s="621">
        <v>5049.19794</v>
      </c>
      <c r="E183" s="622" t="s">
        <v>335</v>
      </c>
      <c r="F183" s="620">
        <v>0</v>
      </c>
      <c r="G183" s="621">
        <v>0</v>
      </c>
      <c r="H183" s="623">
        <v>0</v>
      </c>
      <c r="I183" s="620">
        <v>-93.851619999999997</v>
      </c>
      <c r="J183" s="621">
        <v>-93.851619999999997</v>
      </c>
      <c r="K183" s="624" t="s">
        <v>335</v>
      </c>
    </row>
    <row r="184" spans="1:11" ht="14.4" customHeight="1" thickBot="1" x14ac:dyDescent="0.35">
      <c r="A184" s="637" t="s">
        <v>511</v>
      </c>
      <c r="B184" s="615">
        <v>0</v>
      </c>
      <c r="C184" s="615">
        <v>493.44878</v>
      </c>
      <c r="D184" s="616">
        <v>493.44878</v>
      </c>
      <c r="E184" s="625" t="s">
        <v>335</v>
      </c>
      <c r="F184" s="615">
        <v>0</v>
      </c>
      <c r="G184" s="616">
        <v>0</v>
      </c>
      <c r="H184" s="618">
        <v>0</v>
      </c>
      <c r="I184" s="615">
        <v>0</v>
      </c>
      <c r="J184" s="616">
        <v>0</v>
      </c>
      <c r="K184" s="626" t="s">
        <v>335</v>
      </c>
    </row>
    <row r="185" spans="1:11" ht="14.4" customHeight="1" thickBot="1" x14ac:dyDescent="0.35">
      <c r="A185" s="637" t="s">
        <v>512</v>
      </c>
      <c r="B185" s="615">
        <v>0</v>
      </c>
      <c r="C185" s="615">
        <v>4555.7491600000003</v>
      </c>
      <c r="D185" s="616">
        <v>4555.7491600000003</v>
      </c>
      <c r="E185" s="625" t="s">
        <v>335</v>
      </c>
      <c r="F185" s="615">
        <v>0</v>
      </c>
      <c r="G185" s="616">
        <v>0</v>
      </c>
      <c r="H185" s="618">
        <v>0</v>
      </c>
      <c r="I185" s="615">
        <v>-93.851619999999997</v>
      </c>
      <c r="J185" s="616">
        <v>-93.851619999999997</v>
      </c>
      <c r="K185" s="626" t="s">
        <v>335</v>
      </c>
    </row>
    <row r="186" spans="1:11" ht="14.4" customHeight="1" thickBot="1" x14ac:dyDescent="0.35">
      <c r="A186" s="634" t="s">
        <v>513</v>
      </c>
      <c r="B186" s="615">
        <v>2.5730395478869998</v>
      </c>
      <c r="C186" s="615">
        <v>58.126249999999999</v>
      </c>
      <c r="D186" s="616">
        <v>55.553210452111998</v>
      </c>
      <c r="E186" s="617">
        <v>22.590500036321</v>
      </c>
      <c r="F186" s="615">
        <v>22</v>
      </c>
      <c r="G186" s="616">
        <v>3.6666666666659999</v>
      </c>
      <c r="H186" s="618">
        <v>0</v>
      </c>
      <c r="I186" s="615">
        <v>5.3432000000000004</v>
      </c>
      <c r="J186" s="616">
        <v>1.6765333333329999</v>
      </c>
      <c r="K186" s="619">
        <v>0.24287272727199999</v>
      </c>
    </row>
    <row r="187" spans="1:11" ht="14.4" customHeight="1" thickBot="1" x14ac:dyDescent="0.35">
      <c r="A187" s="635" t="s">
        <v>514</v>
      </c>
      <c r="B187" s="615">
        <v>0</v>
      </c>
      <c r="C187" s="615">
        <v>27.507999999999999</v>
      </c>
      <c r="D187" s="616">
        <v>27.507999999999999</v>
      </c>
      <c r="E187" s="625" t="s">
        <v>335</v>
      </c>
      <c r="F187" s="615">
        <v>0</v>
      </c>
      <c r="G187" s="616">
        <v>0</v>
      </c>
      <c r="H187" s="618">
        <v>0</v>
      </c>
      <c r="I187" s="615">
        <v>0</v>
      </c>
      <c r="J187" s="616">
        <v>0</v>
      </c>
      <c r="K187" s="626" t="s">
        <v>335</v>
      </c>
    </row>
    <row r="188" spans="1:11" ht="14.4" customHeight="1" thickBot="1" x14ac:dyDescent="0.35">
      <c r="A188" s="636" t="s">
        <v>515</v>
      </c>
      <c r="B188" s="620">
        <v>0</v>
      </c>
      <c r="C188" s="620">
        <v>27.507999999999999</v>
      </c>
      <c r="D188" s="621">
        <v>27.507999999999999</v>
      </c>
      <c r="E188" s="622" t="s">
        <v>335</v>
      </c>
      <c r="F188" s="620">
        <v>0</v>
      </c>
      <c r="G188" s="621">
        <v>0</v>
      </c>
      <c r="H188" s="623">
        <v>0</v>
      </c>
      <c r="I188" s="620">
        <v>0</v>
      </c>
      <c r="J188" s="621">
        <v>0</v>
      </c>
      <c r="K188" s="624" t="s">
        <v>335</v>
      </c>
    </row>
    <row r="189" spans="1:11" ht="14.4" customHeight="1" thickBot="1" x14ac:dyDescent="0.35">
      <c r="A189" s="637" t="s">
        <v>516</v>
      </c>
      <c r="B189" s="615">
        <v>0</v>
      </c>
      <c r="C189" s="615">
        <v>27.507999999999999</v>
      </c>
      <c r="D189" s="616">
        <v>27.507999999999999</v>
      </c>
      <c r="E189" s="625" t="s">
        <v>335</v>
      </c>
      <c r="F189" s="615">
        <v>0</v>
      </c>
      <c r="G189" s="616">
        <v>0</v>
      </c>
      <c r="H189" s="618">
        <v>0</v>
      </c>
      <c r="I189" s="615">
        <v>0</v>
      </c>
      <c r="J189" s="616">
        <v>0</v>
      </c>
      <c r="K189" s="626" t="s">
        <v>335</v>
      </c>
    </row>
    <row r="190" spans="1:11" ht="14.4" customHeight="1" thickBot="1" x14ac:dyDescent="0.35">
      <c r="A190" s="640" t="s">
        <v>517</v>
      </c>
      <c r="B190" s="620">
        <v>2.5730395478869998</v>
      </c>
      <c r="C190" s="620">
        <v>30.61825</v>
      </c>
      <c r="D190" s="621">
        <v>28.045210452111998</v>
      </c>
      <c r="E190" s="627">
        <v>11.899642205320999</v>
      </c>
      <c r="F190" s="620">
        <v>22</v>
      </c>
      <c r="G190" s="621">
        <v>3.6666666666659999</v>
      </c>
      <c r="H190" s="623">
        <v>0</v>
      </c>
      <c r="I190" s="620">
        <v>5.3432000000000004</v>
      </c>
      <c r="J190" s="621">
        <v>1.6765333333329999</v>
      </c>
      <c r="K190" s="628">
        <v>0.24287272727199999</v>
      </c>
    </row>
    <row r="191" spans="1:11" ht="14.4" customHeight="1" thickBot="1" x14ac:dyDescent="0.35">
      <c r="A191" s="636" t="s">
        <v>518</v>
      </c>
      <c r="B191" s="620">
        <v>0</v>
      </c>
      <c r="C191" s="620">
        <v>2.5000000000000001E-4</v>
      </c>
      <c r="D191" s="621">
        <v>2.5000000000000001E-4</v>
      </c>
      <c r="E191" s="622" t="s">
        <v>335</v>
      </c>
      <c r="F191" s="620">
        <v>0</v>
      </c>
      <c r="G191" s="621">
        <v>0</v>
      </c>
      <c r="H191" s="623">
        <v>0</v>
      </c>
      <c r="I191" s="620">
        <v>0</v>
      </c>
      <c r="J191" s="621">
        <v>0</v>
      </c>
      <c r="K191" s="624" t="s">
        <v>335</v>
      </c>
    </row>
    <row r="192" spans="1:11" ht="14.4" customHeight="1" thickBot="1" x14ac:dyDescent="0.35">
      <c r="A192" s="637" t="s">
        <v>519</v>
      </c>
      <c r="B192" s="615">
        <v>0</v>
      </c>
      <c r="C192" s="615">
        <v>2.5000000000000001E-4</v>
      </c>
      <c r="D192" s="616">
        <v>2.5000000000000001E-4</v>
      </c>
      <c r="E192" s="625" t="s">
        <v>335</v>
      </c>
      <c r="F192" s="615">
        <v>0</v>
      </c>
      <c r="G192" s="616">
        <v>0</v>
      </c>
      <c r="H192" s="618">
        <v>0</v>
      </c>
      <c r="I192" s="615">
        <v>0</v>
      </c>
      <c r="J192" s="616">
        <v>0</v>
      </c>
      <c r="K192" s="626" t="s">
        <v>335</v>
      </c>
    </row>
    <row r="193" spans="1:11" ht="14.4" customHeight="1" thickBot="1" x14ac:dyDescent="0.35">
      <c r="A193" s="636" t="s">
        <v>520</v>
      </c>
      <c r="B193" s="620">
        <v>2.5730395478869998</v>
      </c>
      <c r="C193" s="620">
        <v>24.681000000000001</v>
      </c>
      <c r="D193" s="621">
        <v>22.107960452112</v>
      </c>
      <c r="E193" s="627">
        <v>9.5921572679540006</v>
      </c>
      <c r="F193" s="620">
        <v>22</v>
      </c>
      <c r="G193" s="621">
        <v>3.6666666666659999</v>
      </c>
      <c r="H193" s="623">
        <v>0</v>
      </c>
      <c r="I193" s="620">
        <v>0</v>
      </c>
      <c r="J193" s="621">
        <v>-3.6666666666659999</v>
      </c>
      <c r="K193" s="628">
        <v>0</v>
      </c>
    </row>
    <row r="194" spans="1:11" ht="14.4" customHeight="1" thickBot="1" x14ac:dyDescent="0.35">
      <c r="A194" s="637" t="s">
        <v>521</v>
      </c>
      <c r="B194" s="615">
        <v>0</v>
      </c>
      <c r="C194" s="615">
        <v>6.0000000000000001E-3</v>
      </c>
      <c r="D194" s="616">
        <v>6.0000000000000001E-3</v>
      </c>
      <c r="E194" s="625" t="s">
        <v>335</v>
      </c>
      <c r="F194" s="615">
        <v>0</v>
      </c>
      <c r="G194" s="616">
        <v>0</v>
      </c>
      <c r="H194" s="618">
        <v>0</v>
      </c>
      <c r="I194" s="615">
        <v>0</v>
      </c>
      <c r="J194" s="616">
        <v>0</v>
      </c>
      <c r="K194" s="619">
        <v>0</v>
      </c>
    </row>
    <row r="195" spans="1:11" ht="14.4" customHeight="1" thickBot="1" x14ac:dyDescent="0.35">
      <c r="A195" s="637" t="s">
        <v>522</v>
      </c>
      <c r="B195" s="615">
        <v>0</v>
      </c>
      <c r="C195" s="615">
        <v>24.675000000000001</v>
      </c>
      <c r="D195" s="616">
        <v>24.675000000000001</v>
      </c>
      <c r="E195" s="625" t="s">
        <v>368</v>
      </c>
      <c r="F195" s="615">
        <v>22</v>
      </c>
      <c r="G195" s="616">
        <v>3.6666666666659999</v>
      </c>
      <c r="H195" s="618">
        <v>0</v>
      </c>
      <c r="I195" s="615">
        <v>0</v>
      </c>
      <c r="J195" s="616">
        <v>-3.6666666666659999</v>
      </c>
      <c r="K195" s="619">
        <v>0</v>
      </c>
    </row>
    <row r="196" spans="1:11" ht="14.4" customHeight="1" thickBot="1" x14ac:dyDescent="0.35">
      <c r="A196" s="636" t="s">
        <v>523</v>
      </c>
      <c r="B196" s="620">
        <v>0</v>
      </c>
      <c r="C196" s="620">
        <v>5.9370000000000003</v>
      </c>
      <c r="D196" s="621">
        <v>5.9370000000000003</v>
      </c>
      <c r="E196" s="622" t="s">
        <v>335</v>
      </c>
      <c r="F196" s="620">
        <v>0</v>
      </c>
      <c r="G196" s="621">
        <v>0</v>
      </c>
      <c r="H196" s="623">
        <v>0</v>
      </c>
      <c r="I196" s="620">
        <v>5.3432000000000004</v>
      </c>
      <c r="J196" s="621">
        <v>5.3432000000000004</v>
      </c>
      <c r="K196" s="624" t="s">
        <v>335</v>
      </c>
    </row>
    <row r="197" spans="1:11" ht="14.4" customHeight="1" thickBot="1" x14ac:dyDescent="0.35">
      <c r="A197" s="637" t="s">
        <v>524</v>
      </c>
      <c r="B197" s="615">
        <v>0</v>
      </c>
      <c r="C197" s="615">
        <v>5.9370000000000003</v>
      </c>
      <c r="D197" s="616">
        <v>5.9370000000000003</v>
      </c>
      <c r="E197" s="625" t="s">
        <v>335</v>
      </c>
      <c r="F197" s="615">
        <v>0</v>
      </c>
      <c r="G197" s="616">
        <v>0</v>
      </c>
      <c r="H197" s="618">
        <v>0</v>
      </c>
      <c r="I197" s="615">
        <v>5.3432000000000004</v>
      </c>
      <c r="J197" s="616">
        <v>5.3432000000000004</v>
      </c>
      <c r="K197" s="626" t="s">
        <v>335</v>
      </c>
    </row>
    <row r="198" spans="1:11" ht="14.4" customHeight="1" thickBot="1" x14ac:dyDescent="0.35">
      <c r="A198" s="634" t="s">
        <v>525</v>
      </c>
      <c r="B198" s="615">
        <v>81</v>
      </c>
      <c r="C198" s="615">
        <v>100.985</v>
      </c>
      <c r="D198" s="616">
        <v>19.984999999999999</v>
      </c>
      <c r="E198" s="617">
        <v>1.246728395061</v>
      </c>
      <c r="F198" s="615">
        <v>91.000000000022993</v>
      </c>
      <c r="G198" s="616">
        <v>15.16666666667</v>
      </c>
      <c r="H198" s="618">
        <v>0</v>
      </c>
      <c r="I198" s="615">
        <v>0</v>
      </c>
      <c r="J198" s="616">
        <v>-15.16666666667</v>
      </c>
      <c r="K198" s="619">
        <v>0</v>
      </c>
    </row>
    <row r="199" spans="1:11" ht="14.4" customHeight="1" thickBot="1" x14ac:dyDescent="0.35">
      <c r="A199" s="640" t="s">
        <v>526</v>
      </c>
      <c r="B199" s="620">
        <v>81</v>
      </c>
      <c r="C199" s="620">
        <v>100.985</v>
      </c>
      <c r="D199" s="621">
        <v>19.984999999999999</v>
      </c>
      <c r="E199" s="627">
        <v>1.246728395061</v>
      </c>
      <c r="F199" s="620">
        <v>91.000000000022993</v>
      </c>
      <c r="G199" s="621">
        <v>15.16666666667</v>
      </c>
      <c r="H199" s="623">
        <v>0</v>
      </c>
      <c r="I199" s="620">
        <v>0</v>
      </c>
      <c r="J199" s="621">
        <v>-15.16666666667</v>
      </c>
      <c r="K199" s="628">
        <v>0</v>
      </c>
    </row>
    <row r="200" spans="1:11" ht="14.4" customHeight="1" thickBot="1" x14ac:dyDescent="0.35">
      <c r="A200" s="636" t="s">
        <v>527</v>
      </c>
      <c r="B200" s="620">
        <v>81</v>
      </c>
      <c r="C200" s="620">
        <v>100.985</v>
      </c>
      <c r="D200" s="621">
        <v>19.984999999999999</v>
      </c>
      <c r="E200" s="627">
        <v>1.246728395061</v>
      </c>
      <c r="F200" s="620">
        <v>91.000000000022993</v>
      </c>
      <c r="G200" s="621">
        <v>15.16666666667</v>
      </c>
      <c r="H200" s="623">
        <v>0</v>
      </c>
      <c r="I200" s="620">
        <v>0</v>
      </c>
      <c r="J200" s="621">
        <v>-15.16666666667</v>
      </c>
      <c r="K200" s="628">
        <v>0</v>
      </c>
    </row>
    <row r="201" spans="1:11" ht="14.4" customHeight="1" thickBot="1" x14ac:dyDescent="0.35">
      <c r="A201" s="637" t="s">
        <v>528</v>
      </c>
      <c r="B201" s="615">
        <v>81</v>
      </c>
      <c r="C201" s="615">
        <v>100.985</v>
      </c>
      <c r="D201" s="616">
        <v>19.984999999999999</v>
      </c>
      <c r="E201" s="617">
        <v>1.246728395061</v>
      </c>
      <c r="F201" s="615">
        <v>91.000000000022993</v>
      </c>
      <c r="G201" s="616">
        <v>15.16666666667</v>
      </c>
      <c r="H201" s="618">
        <v>0</v>
      </c>
      <c r="I201" s="615">
        <v>0</v>
      </c>
      <c r="J201" s="616">
        <v>-15.16666666667</v>
      </c>
      <c r="K201" s="619">
        <v>0</v>
      </c>
    </row>
    <row r="202" spans="1:11" ht="14.4" customHeight="1" thickBot="1" x14ac:dyDescent="0.35">
      <c r="A202" s="633" t="s">
        <v>529</v>
      </c>
      <c r="B202" s="615">
        <v>10284.010632265399</v>
      </c>
      <c r="C202" s="615">
        <v>11428.09621</v>
      </c>
      <c r="D202" s="616">
        <v>1144.0855777346201</v>
      </c>
      <c r="E202" s="617">
        <v>1.111248968777</v>
      </c>
      <c r="F202" s="615">
        <v>0</v>
      </c>
      <c r="G202" s="616">
        <v>0</v>
      </c>
      <c r="H202" s="618">
        <v>841.10029999999995</v>
      </c>
      <c r="I202" s="615">
        <v>1765.43541</v>
      </c>
      <c r="J202" s="616">
        <v>1765.43541</v>
      </c>
      <c r="K202" s="626" t="s">
        <v>335</v>
      </c>
    </row>
    <row r="203" spans="1:11" ht="14.4" customHeight="1" thickBot="1" x14ac:dyDescent="0.35">
      <c r="A203" s="638" t="s">
        <v>530</v>
      </c>
      <c r="B203" s="620">
        <v>10284.010632265399</v>
      </c>
      <c r="C203" s="620">
        <v>11428.09621</v>
      </c>
      <c r="D203" s="621">
        <v>1144.0855777346201</v>
      </c>
      <c r="E203" s="627">
        <v>1.111248968777</v>
      </c>
      <c r="F203" s="620">
        <v>0</v>
      </c>
      <c r="G203" s="621">
        <v>0</v>
      </c>
      <c r="H203" s="623">
        <v>841.10029999999995</v>
      </c>
      <c r="I203" s="620">
        <v>1765.43541</v>
      </c>
      <c r="J203" s="621">
        <v>1765.43541</v>
      </c>
      <c r="K203" s="624" t="s">
        <v>335</v>
      </c>
    </row>
    <row r="204" spans="1:11" ht="14.4" customHeight="1" thickBot="1" x14ac:dyDescent="0.35">
      <c r="A204" s="640" t="s">
        <v>54</v>
      </c>
      <c r="B204" s="620">
        <v>10284.010632265399</v>
      </c>
      <c r="C204" s="620">
        <v>11428.09621</v>
      </c>
      <c r="D204" s="621">
        <v>1144.0855777346201</v>
      </c>
      <c r="E204" s="627">
        <v>1.111248968777</v>
      </c>
      <c r="F204" s="620">
        <v>0</v>
      </c>
      <c r="G204" s="621">
        <v>0</v>
      </c>
      <c r="H204" s="623">
        <v>841.10029999999995</v>
      </c>
      <c r="I204" s="620">
        <v>1765.43541</v>
      </c>
      <c r="J204" s="621">
        <v>1765.43541</v>
      </c>
      <c r="K204" s="624" t="s">
        <v>335</v>
      </c>
    </row>
    <row r="205" spans="1:11" ht="14.4" customHeight="1" thickBot="1" x14ac:dyDescent="0.35">
      <c r="A205" s="636" t="s">
        <v>531</v>
      </c>
      <c r="B205" s="620">
        <v>37</v>
      </c>
      <c r="C205" s="620">
        <v>82.760999999999996</v>
      </c>
      <c r="D205" s="621">
        <v>45.761000000000003</v>
      </c>
      <c r="E205" s="627">
        <v>2.2367837837829998</v>
      </c>
      <c r="F205" s="620">
        <v>0</v>
      </c>
      <c r="G205" s="621">
        <v>0</v>
      </c>
      <c r="H205" s="623">
        <v>7.8789999999999996</v>
      </c>
      <c r="I205" s="620">
        <v>15.75925</v>
      </c>
      <c r="J205" s="621">
        <v>15.75925</v>
      </c>
      <c r="K205" s="624" t="s">
        <v>335</v>
      </c>
    </row>
    <row r="206" spans="1:11" ht="14.4" customHeight="1" thickBot="1" x14ac:dyDescent="0.35">
      <c r="A206" s="637" t="s">
        <v>532</v>
      </c>
      <c r="B206" s="615">
        <v>37</v>
      </c>
      <c r="C206" s="615">
        <v>82.760999999999996</v>
      </c>
      <c r="D206" s="616">
        <v>45.761000000000003</v>
      </c>
      <c r="E206" s="617">
        <v>2.2367837837829998</v>
      </c>
      <c r="F206" s="615">
        <v>0</v>
      </c>
      <c r="G206" s="616">
        <v>0</v>
      </c>
      <c r="H206" s="618">
        <v>7.8789999999999996</v>
      </c>
      <c r="I206" s="615">
        <v>15.75925</v>
      </c>
      <c r="J206" s="616">
        <v>15.75925</v>
      </c>
      <c r="K206" s="626" t="s">
        <v>335</v>
      </c>
    </row>
    <row r="207" spans="1:11" ht="14.4" customHeight="1" thickBot="1" x14ac:dyDescent="0.35">
      <c r="A207" s="636" t="s">
        <v>533</v>
      </c>
      <c r="B207" s="620">
        <v>75.010632265381005</v>
      </c>
      <c r="C207" s="620">
        <v>102.07514</v>
      </c>
      <c r="D207" s="621">
        <v>27.064507734618001</v>
      </c>
      <c r="E207" s="627">
        <v>1.360808953574</v>
      </c>
      <c r="F207" s="620">
        <v>0</v>
      </c>
      <c r="G207" s="621">
        <v>0</v>
      </c>
      <c r="H207" s="623">
        <v>4.1791600000000004</v>
      </c>
      <c r="I207" s="620">
        <v>7.3698399999999999</v>
      </c>
      <c r="J207" s="621">
        <v>7.3698399999999999</v>
      </c>
      <c r="K207" s="624" t="s">
        <v>335</v>
      </c>
    </row>
    <row r="208" spans="1:11" ht="14.4" customHeight="1" thickBot="1" x14ac:dyDescent="0.35">
      <c r="A208" s="637" t="s">
        <v>534</v>
      </c>
      <c r="B208" s="615">
        <v>75.010632265381005</v>
      </c>
      <c r="C208" s="615">
        <v>102.07514</v>
      </c>
      <c r="D208" s="616">
        <v>27.064507734618001</v>
      </c>
      <c r="E208" s="617">
        <v>1.360808953574</v>
      </c>
      <c r="F208" s="615">
        <v>0</v>
      </c>
      <c r="G208" s="616">
        <v>0</v>
      </c>
      <c r="H208" s="618">
        <v>4.1791600000000004</v>
      </c>
      <c r="I208" s="615">
        <v>7.3698399999999999</v>
      </c>
      <c r="J208" s="616">
        <v>7.3698399999999999</v>
      </c>
      <c r="K208" s="626" t="s">
        <v>335</v>
      </c>
    </row>
    <row r="209" spans="1:11" ht="14.4" customHeight="1" thickBot="1" x14ac:dyDescent="0.35">
      <c r="A209" s="636" t="s">
        <v>535</v>
      </c>
      <c r="B209" s="620">
        <v>1297</v>
      </c>
      <c r="C209" s="620">
        <v>1207.08743</v>
      </c>
      <c r="D209" s="621">
        <v>-89.912570000000002</v>
      </c>
      <c r="E209" s="627">
        <v>0.93067650732399998</v>
      </c>
      <c r="F209" s="620">
        <v>0</v>
      </c>
      <c r="G209" s="621">
        <v>0</v>
      </c>
      <c r="H209" s="623">
        <v>98.205100000000002</v>
      </c>
      <c r="I209" s="620">
        <v>198.24126999999999</v>
      </c>
      <c r="J209" s="621">
        <v>198.24126999999999</v>
      </c>
      <c r="K209" s="624" t="s">
        <v>335</v>
      </c>
    </row>
    <row r="210" spans="1:11" ht="14.4" customHeight="1" thickBot="1" x14ac:dyDescent="0.35">
      <c r="A210" s="637" t="s">
        <v>536</v>
      </c>
      <c r="B210" s="615">
        <v>1297</v>
      </c>
      <c r="C210" s="615">
        <v>1207.08743</v>
      </c>
      <c r="D210" s="616">
        <v>-89.912570000000002</v>
      </c>
      <c r="E210" s="617">
        <v>0.93067650732399998</v>
      </c>
      <c r="F210" s="615">
        <v>0</v>
      </c>
      <c r="G210" s="616">
        <v>0</v>
      </c>
      <c r="H210" s="618">
        <v>98.205100000000002</v>
      </c>
      <c r="I210" s="615">
        <v>198.24126999999999</v>
      </c>
      <c r="J210" s="616">
        <v>198.24126999999999</v>
      </c>
      <c r="K210" s="626" t="s">
        <v>335</v>
      </c>
    </row>
    <row r="211" spans="1:11" ht="14.4" customHeight="1" thickBot="1" x14ac:dyDescent="0.35">
      <c r="A211" s="636" t="s">
        <v>537</v>
      </c>
      <c r="B211" s="620">
        <v>0</v>
      </c>
      <c r="C211" s="620">
        <v>3.6619999999999999</v>
      </c>
      <c r="D211" s="621">
        <v>3.6619999999999999</v>
      </c>
      <c r="E211" s="622" t="s">
        <v>368</v>
      </c>
      <c r="F211" s="620">
        <v>0</v>
      </c>
      <c r="G211" s="621">
        <v>0</v>
      </c>
      <c r="H211" s="623">
        <v>0.47599999999999998</v>
      </c>
      <c r="I211" s="620">
        <v>0.66</v>
      </c>
      <c r="J211" s="621">
        <v>0.66</v>
      </c>
      <c r="K211" s="624" t="s">
        <v>335</v>
      </c>
    </row>
    <row r="212" spans="1:11" ht="14.4" customHeight="1" thickBot="1" x14ac:dyDescent="0.35">
      <c r="A212" s="637" t="s">
        <v>538</v>
      </c>
      <c r="B212" s="615">
        <v>0</v>
      </c>
      <c r="C212" s="615">
        <v>3.6619999999999999</v>
      </c>
      <c r="D212" s="616">
        <v>3.6619999999999999</v>
      </c>
      <c r="E212" s="625" t="s">
        <v>368</v>
      </c>
      <c r="F212" s="615">
        <v>0</v>
      </c>
      <c r="G212" s="616">
        <v>0</v>
      </c>
      <c r="H212" s="618">
        <v>0.47599999999999998</v>
      </c>
      <c r="I212" s="615">
        <v>0.66</v>
      </c>
      <c r="J212" s="616">
        <v>0.66</v>
      </c>
      <c r="K212" s="626" t="s">
        <v>335</v>
      </c>
    </row>
    <row r="213" spans="1:11" ht="14.4" customHeight="1" thickBot="1" x14ac:dyDescent="0.35">
      <c r="A213" s="636" t="s">
        <v>539</v>
      </c>
      <c r="B213" s="620">
        <v>1384</v>
      </c>
      <c r="C213" s="620">
        <v>1218.78069</v>
      </c>
      <c r="D213" s="621">
        <v>-165.21931000000001</v>
      </c>
      <c r="E213" s="627">
        <v>0.88062188583800005</v>
      </c>
      <c r="F213" s="620">
        <v>0</v>
      </c>
      <c r="G213" s="621">
        <v>0</v>
      </c>
      <c r="H213" s="623">
        <v>49.239049999999999</v>
      </c>
      <c r="I213" s="620">
        <v>124.33547</v>
      </c>
      <c r="J213" s="621">
        <v>124.33547</v>
      </c>
      <c r="K213" s="624" t="s">
        <v>335</v>
      </c>
    </row>
    <row r="214" spans="1:11" ht="14.4" customHeight="1" thickBot="1" x14ac:dyDescent="0.35">
      <c r="A214" s="637" t="s">
        <v>540</v>
      </c>
      <c r="B214" s="615">
        <v>1366</v>
      </c>
      <c r="C214" s="615">
        <v>1197.3421800000001</v>
      </c>
      <c r="D214" s="616">
        <v>-168.65781999999999</v>
      </c>
      <c r="E214" s="617">
        <v>0.87653161054100004</v>
      </c>
      <c r="F214" s="615">
        <v>0</v>
      </c>
      <c r="G214" s="616">
        <v>0</v>
      </c>
      <c r="H214" s="618">
        <v>49.239049999999999</v>
      </c>
      <c r="I214" s="615">
        <v>124.33547</v>
      </c>
      <c r="J214" s="616">
        <v>124.33547</v>
      </c>
      <c r="K214" s="626" t="s">
        <v>335</v>
      </c>
    </row>
    <row r="215" spans="1:11" ht="14.4" customHeight="1" thickBot="1" x14ac:dyDescent="0.35">
      <c r="A215" s="637" t="s">
        <v>541</v>
      </c>
      <c r="B215" s="615">
        <v>18</v>
      </c>
      <c r="C215" s="615">
        <v>21.438510000000001</v>
      </c>
      <c r="D215" s="616">
        <v>3.43851</v>
      </c>
      <c r="E215" s="617">
        <v>1.1910283333330001</v>
      </c>
      <c r="F215" s="615">
        <v>0</v>
      </c>
      <c r="G215" s="616">
        <v>0</v>
      </c>
      <c r="H215" s="618">
        <v>0</v>
      </c>
      <c r="I215" s="615">
        <v>0</v>
      </c>
      <c r="J215" s="616">
        <v>0</v>
      </c>
      <c r="K215" s="626" t="s">
        <v>335</v>
      </c>
    </row>
    <row r="216" spans="1:11" ht="14.4" customHeight="1" thickBot="1" x14ac:dyDescent="0.35">
      <c r="A216" s="636" t="s">
        <v>542</v>
      </c>
      <c r="B216" s="620">
        <v>0</v>
      </c>
      <c r="C216" s="620">
        <v>1123.68397</v>
      </c>
      <c r="D216" s="621">
        <v>1123.68397</v>
      </c>
      <c r="E216" s="622" t="s">
        <v>368</v>
      </c>
      <c r="F216" s="620">
        <v>0</v>
      </c>
      <c r="G216" s="621">
        <v>0</v>
      </c>
      <c r="H216" s="623">
        <v>41.503830000000001</v>
      </c>
      <c r="I216" s="620">
        <v>261.90366</v>
      </c>
      <c r="J216" s="621">
        <v>261.90366</v>
      </c>
      <c r="K216" s="624" t="s">
        <v>335</v>
      </c>
    </row>
    <row r="217" spans="1:11" ht="14.4" customHeight="1" thickBot="1" x14ac:dyDescent="0.35">
      <c r="A217" s="637" t="s">
        <v>543</v>
      </c>
      <c r="B217" s="615">
        <v>0</v>
      </c>
      <c r="C217" s="615">
        <v>1123.68397</v>
      </c>
      <c r="D217" s="616">
        <v>1123.68397</v>
      </c>
      <c r="E217" s="625" t="s">
        <v>368</v>
      </c>
      <c r="F217" s="615">
        <v>0</v>
      </c>
      <c r="G217" s="616">
        <v>0</v>
      </c>
      <c r="H217" s="618">
        <v>41.503830000000001</v>
      </c>
      <c r="I217" s="615">
        <v>261.90366</v>
      </c>
      <c r="J217" s="616">
        <v>261.90366</v>
      </c>
      <c r="K217" s="626" t="s">
        <v>335</v>
      </c>
    </row>
    <row r="218" spans="1:11" ht="14.4" customHeight="1" thickBot="1" x14ac:dyDescent="0.35">
      <c r="A218" s="636" t="s">
        <v>544</v>
      </c>
      <c r="B218" s="620">
        <v>7491</v>
      </c>
      <c r="C218" s="620">
        <v>7690.0459799999999</v>
      </c>
      <c r="D218" s="621">
        <v>199.045979999998</v>
      </c>
      <c r="E218" s="627">
        <v>1.0265713496190001</v>
      </c>
      <c r="F218" s="620">
        <v>0</v>
      </c>
      <c r="G218" s="621">
        <v>0</v>
      </c>
      <c r="H218" s="623">
        <v>639.61815999999999</v>
      </c>
      <c r="I218" s="620">
        <v>1157.1659199999999</v>
      </c>
      <c r="J218" s="621">
        <v>1157.1659199999999</v>
      </c>
      <c r="K218" s="624" t="s">
        <v>335</v>
      </c>
    </row>
    <row r="219" spans="1:11" ht="14.4" customHeight="1" thickBot="1" x14ac:dyDescent="0.35">
      <c r="A219" s="637" t="s">
        <v>545</v>
      </c>
      <c r="B219" s="615">
        <v>7491</v>
      </c>
      <c r="C219" s="615">
        <v>7690.0459799999999</v>
      </c>
      <c r="D219" s="616">
        <v>199.045979999998</v>
      </c>
      <c r="E219" s="617">
        <v>1.0265713496190001</v>
      </c>
      <c r="F219" s="615">
        <v>0</v>
      </c>
      <c r="G219" s="616">
        <v>0</v>
      </c>
      <c r="H219" s="618">
        <v>639.61815999999999</v>
      </c>
      <c r="I219" s="615">
        <v>1157.1659199999999</v>
      </c>
      <c r="J219" s="616">
        <v>1157.1659199999999</v>
      </c>
      <c r="K219" s="626" t="s">
        <v>335</v>
      </c>
    </row>
    <row r="220" spans="1:11" ht="14.4" customHeight="1" thickBot="1" x14ac:dyDescent="0.35">
      <c r="A220" s="641" t="s">
        <v>546</v>
      </c>
      <c r="B220" s="620">
        <v>0</v>
      </c>
      <c r="C220" s="620">
        <v>43.572389999999999</v>
      </c>
      <c r="D220" s="621">
        <v>43.572389999999999</v>
      </c>
      <c r="E220" s="622" t="s">
        <v>368</v>
      </c>
      <c r="F220" s="620">
        <v>0</v>
      </c>
      <c r="G220" s="621">
        <v>0</v>
      </c>
      <c r="H220" s="623">
        <v>2.28424</v>
      </c>
      <c r="I220" s="620">
        <v>18.38653</v>
      </c>
      <c r="J220" s="621">
        <v>18.38653</v>
      </c>
      <c r="K220" s="624" t="s">
        <v>335</v>
      </c>
    </row>
    <row r="221" spans="1:11" ht="14.4" customHeight="1" thickBot="1" x14ac:dyDescent="0.35">
      <c r="A221" s="638" t="s">
        <v>547</v>
      </c>
      <c r="B221" s="620">
        <v>0</v>
      </c>
      <c r="C221" s="620">
        <v>43.572389999999999</v>
      </c>
      <c r="D221" s="621">
        <v>43.572389999999999</v>
      </c>
      <c r="E221" s="622" t="s">
        <v>368</v>
      </c>
      <c r="F221" s="620">
        <v>0</v>
      </c>
      <c r="G221" s="621">
        <v>0</v>
      </c>
      <c r="H221" s="623">
        <v>2.28424</v>
      </c>
      <c r="I221" s="620">
        <v>18.38653</v>
      </c>
      <c r="J221" s="621">
        <v>18.38653</v>
      </c>
      <c r="K221" s="624" t="s">
        <v>335</v>
      </c>
    </row>
    <row r="222" spans="1:11" ht="14.4" customHeight="1" thickBot="1" x14ac:dyDescent="0.35">
      <c r="A222" s="640" t="s">
        <v>548</v>
      </c>
      <c r="B222" s="620">
        <v>0</v>
      </c>
      <c r="C222" s="620">
        <v>43.572389999999999</v>
      </c>
      <c r="D222" s="621">
        <v>43.572389999999999</v>
      </c>
      <c r="E222" s="622" t="s">
        <v>368</v>
      </c>
      <c r="F222" s="620">
        <v>0</v>
      </c>
      <c r="G222" s="621">
        <v>0</v>
      </c>
      <c r="H222" s="623">
        <v>2.28424</v>
      </c>
      <c r="I222" s="620">
        <v>18.38653</v>
      </c>
      <c r="J222" s="621">
        <v>18.38653</v>
      </c>
      <c r="K222" s="624" t="s">
        <v>335</v>
      </c>
    </row>
    <row r="223" spans="1:11" ht="14.4" customHeight="1" thickBot="1" x14ac:dyDescent="0.35">
      <c r="A223" s="636" t="s">
        <v>549</v>
      </c>
      <c r="B223" s="620">
        <v>0</v>
      </c>
      <c r="C223" s="620">
        <v>43.572389999999999</v>
      </c>
      <c r="D223" s="621">
        <v>43.572389999999999</v>
      </c>
      <c r="E223" s="622" t="s">
        <v>368</v>
      </c>
      <c r="F223" s="620">
        <v>0</v>
      </c>
      <c r="G223" s="621">
        <v>0</v>
      </c>
      <c r="H223" s="623">
        <v>2.28424</v>
      </c>
      <c r="I223" s="620">
        <v>18.38653</v>
      </c>
      <c r="J223" s="621">
        <v>18.38653</v>
      </c>
      <c r="K223" s="624" t="s">
        <v>335</v>
      </c>
    </row>
    <row r="224" spans="1:11" ht="14.4" customHeight="1" thickBot="1" x14ac:dyDescent="0.35">
      <c r="A224" s="637" t="s">
        <v>550</v>
      </c>
      <c r="B224" s="615">
        <v>0</v>
      </c>
      <c r="C224" s="615">
        <v>13.04299</v>
      </c>
      <c r="D224" s="616">
        <v>13.04299</v>
      </c>
      <c r="E224" s="625" t="s">
        <v>368</v>
      </c>
      <c r="F224" s="615">
        <v>0</v>
      </c>
      <c r="G224" s="616">
        <v>0</v>
      </c>
      <c r="H224" s="618">
        <v>2.28424</v>
      </c>
      <c r="I224" s="615">
        <v>18.38653</v>
      </c>
      <c r="J224" s="616">
        <v>18.38653</v>
      </c>
      <c r="K224" s="626" t="s">
        <v>335</v>
      </c>
    </row>
    <row r="225" spans="1:11" ht="14.4" customHeight="1" thickBot="1" x14ac:dyDescent="0.35">
      <c r="A225" s="637" t="s">
        <v>551</v>
      </c>
      <c r="B225" s="615">
        <v>0</v>
      </c>
      <c r="C225" s="615">
        <v>30.529399999999999</v>
      </c>
      <c r="D225" s="616">
        <v>30.529399999999999</v>
      </c>
      <c r="E225" s="625" t="s">
        <v>368</v>
      </c>
      <c r="F225" s="615">
        <v>0</v>
      </c>
      <c r="G225" s="616">
        <v>0</v>
      </c>
      <c r="H225" s="618">
        <v>0</v>
      </c>
      <c r="I225" s="615">
        <v>0</v>
      </c>
      <c r="J225" s="616">
        <v>0</v>
      </c>
      <c r="K225" s="626" t="s">
        <v>335</v>
      </c>
    </row>
    <row r="226" spans="1:11" ht="14.4" customHeight="1" thickBot="1" x14ac:dyDescent="0.35">
      <c r="A226" s="642"/>
      <c r="B226" s="615">
        <v>10165.6147260698</v>
      </c>
      <c r="C226" s="615">
        <v>1228.25411999994</v>
      </c>
      <c r="D226" s="616">
        <v>-8937.3606060699094</v>
      </c>
      <c r="E226" s="617">
        <v>0.120824382302</v>
      </c>
      <c r="F226" s="615">
        <v>15026.0435916034</v>
      </c>
      <c r="G226" s="616">
        <v>2504.34059860056</v>
      </c>
      <c r="H226" s="618">
        <v>292.30703999997201</v>
      </c>
      <c r="I226" s="615">
        <v>-1504.45534000003</v>
      </c>
      <c r="J226" s="616">
        <v>-4008.79593860059</v>
      </c>
      <c r="K226" s="619">
        <v>-0.100123184844</v>
      </c>
    </row>
    <row r="227" spans="1:11" ht="14.4" customHeight="1" thickBot="1" x14ac:dyDescent="0.35">
      <c r="A227" s="643" t="s">
        <v>66</v>
      </c>
      <c r="B227" s="629">
        <v>10165.6147260698</v>
      </c>
      <c r="C227" s="629">
        <v>1228.25411999994</v>
      </c>
      <c r="D227" s="630">
        <v>-8937.3606060699094</v>
      </c>
      <c r="E227" s="631" t="s">
        <v>368</v>
      </c>
      <c r="F227" s="629">
        <v>15026.0435916034</v>
      </c>
      <c r="G227" s="630">
        <v>2504.34059860056</v>
      </c>
      <c r="H227" s="629">
        <v>292.30703999997201</v>
      </c>
      <c r="I227" s="629">
        <v>-1504.45534000003</v>
      </c>
      <c r="J227" s="630">
        <v>-4008.79593860059</v>
      </c>
      <c r="K227" s="632">
        <v>-0.100123184844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51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338" customWidth="1"/>
    <col min="2" max="2" width="61.109375" style="338" customWidth="1"/>
    <col min="3" max="3" width="9.5546875" style="254" customWidth="1"/>
    <col min="4" max="4" width="9.5546875" style="339" customWidth="1"/>
    <col min="5" max="5" width="2.21875" style="339" customWidth="1"/>
    <col min="6" max="6" width="9.5546875" style="340" customWidth="1"/>
    <col min="7" max="7" width="9.5546875" style="337" customWidth="1"/>
    <col min="8" max="9" width="9.5546875" style="254" customWidth="1"/>
    <col min="10" max="10" width="0" style="254" hidden="1" customWidth="1"/>
    <col min="11" max="16384" width="8.88671875" style="254"/>
  </cols>
  <sheetData>
    <row r="1" spans="1:10" ht="18.600000000000001" customHeight="1" thickBot="1" x14ac:dyDescent="0.4">
      <c r="A1" s="507" t="s">
        <v>177</v>
      </c>
      <c r="B1" s="508"/>
      <c r="C1" s="508"/>
      <c r="D1" s="508"/>
      <c r="E1" s="508"/>
      <c r="F1" s="508"/>
      <c r="G1" s="479"/>
      <c r="H1" s="509"/>
      <c r="I1" s="509"/>
    </row>
    <row r="2" spans="1:10" ht="14.4" customHeight="1" thickBot="1" x14ac:dyDescent="0.35">
      <c r="A2" s="383" t="s">
        <v>334</v>
      </c>
      <c r="B2" s="336"/>
      <c r="C2" s="336"/>
      <c r="D2" s="336"/>
      <c r="E2" s="336"/>
      <c r="F2" s="336"/>
    </row>
    <row r="3" spans="1:10" ht="14.4" customHeight="1" thickBot="1" x14ac:dyDescent="0.35">
      <c r="A3" s="383"/>
      <c r="B3" s="336"/>
      <c r="C3" s="441">
        <v>2013</v>
      </c>
      <c r="D3" s="442">
        <v>2014</v>
      </c>
      <c r="E3" s="11"/>
      <c r="F3" s="502">
        <v>2015</v>
      </c>
      <c r="G3" s="503"/>
      <c r="H3" s="503"/>
      <c r="I3" s="504"/>
    </row>
    <row r="4" spans="1:10" ht="14.4" customHeight="1" thickBot="1" x14ac:dyDescent="0.35">
      <c r="A4" s="446" t="s">
        <v>0</v>
      </c>
      <c r="B4" s="447" t="s">
        <v>291</v>
      </c>
      <c r="C4" s="505" t="s">
        <v>94</v>
      </c>
      <c r="D4" s="506"/>
      <c r="E4" s="448"/>
      <c r="F4" s="443" t="s">
        <v>94</v>
      </c>
      <c r="G4" s="444" t="s">
        <v>95</v>
      </c>
      <c r="H4" s="444" t="s">
        <v>69</v>
      </c>
      <c r="I4" s="445" t="s">
        <v>96</v>
      </c>
    </row>
    <row r="5" spans="1:10" ht="14.4" customHeight="1" x14ac:dyDescent="0.3">
      <c r="A5" s="644" t="s">
        <v>552</v>
      </c>
      <c r="B5" s="645" t="s">
        <v>553</v>
      </c>
      <c r="C5" s="646" t="s">
        <v>554</v>
      </c>
      <c r="D5" s="646" t="s">
        <v>554</v>
      </c>
      <c r="E5" s="646"/>
      <c r="F5" s="646" t="s">
        <v>554</v>
      </c>
      <c r="G5" s="646" t="s">
        <v>554</v>
      </c>
      <c r="H5" s="646" t="s">
        <v>554</v>
      </c>
      <c r="I5" s="647" t="s">
        <v>554</v>
      </c>
      <c r="J5" s="648" t="s">
        <v>74</v>
      </c>
    </row>
    <row r="6" spans="1:10" ht="14.4" customHeight="1" x14ac:dyDescent="0.3">
      <c r="A6" s="644" t="s">
        <v>552</v>
      </c>
      <c r="B6" s="645" t="s">
        <v>345</v>
      </c>
      <c r="C6" s="646">
        <v>891.50482</v>
      </c>
      <c r="D6" s="646">
        <v>980.28699000000211</v>
      </c>
      <c r="E6" s="646"/>
      <c r="F6" s="646">
        <v>1001.0114600000011</v>
      </c>
      <c r="G6" s="646">
        <v>919.32568753312421</v>
      </c>
      <c r="H6" s="646">
        <v>81.68577246687687</v>
      </c>
      <c r="I6" s="647">
        <v>1.0888540085136407</v>
      </c>
      <c r="J6" s="648" t="s">
        <v>1</v>
      </c>
    </row>
    <row r="7" spans="1:10" ht="14.4" customHeight="1" x14ac:dyDescent="0.3">
      <c r="A7" s="644" t="s">
        <v>552</v>
      </c>
      <c r="B7" s="645" t="s">
        <v>346</v>
      </c>
      <c r="C7" s="646">
        <v>110.38878</v>
      </c>
      <c r="D7" s="646">
        <v>87.184069999999991</v>
      </c>
      <c r="E7" s="646"/>
      <c r="F7" s="646">
        <v>91.185759999999988</v>
      </c>
      <c r="G7" s="646">
        <v>92.939949435607986</v>
      </c>
      <c r="H7" s="646">
        <v>-1.7541894356079979</v>
      </c>
      <c r="I7" s="647">
        <v>0.9811255606845003</v>
      </c>
      <c r="J7" s="648" t="s">
        <v>1</v>
      </c>
    </row>
    <row r="8" spans="1:10" ht="14.4" customHeight="1" x14ac:dyDescent="0.3">
      <c r="A8" s="644" t="s">
        <v>552</v>
      </c>
      <c r="B8" s="645" t="s">
        <v>555</v>
      </c>
      <c r="C8" s="646">
        <v>0</v>
      </c>
      <c r="D8" s="646" t="s">
        <v>554</v>
      </c>
      <c r="E8" s="646"/>
      <c r="F8" s="646" t="s">
        <v>554</v>
      </c>
      <c r="G8" s="646" t="s">
        <v>554</v>
      </c>
      <c r="H8" s="646" t="s">
        <v>554</v>
      </c>
      <c r="I8" s="647" t="s">
        <v>554</v>
      </c>
      <c r="J8" s="648" t="s">
        <v>1</v>
      </c>
    </row>
    <row r="9" spans="1:10" ht="14.4" customHeight="1" x14ac:dyDescent="0.3">
      <c r="A9" s="644" t="s">
        <v>552</v>
      </c>
      <c r="B9" s="645" t="s">
        <v>347</v>
      </c>
      <c r="C9" s="646">
        <v>70.561129999999991</v>
      </c>
      <c r="D9" s="646">
        <v>67.889240000000001</v>
      </c>
      <c r="E9" s="646"/>
      <c r="F9" s="646">
        <v>83.266850000000005</v>
      </c>
      <c r="G9" s="646">
        <v>105.37632050982167</v>
      </c>
      <c r="H9" s="646">
        <v>-22.109470509821662</v>
      </c>
      <c r="I9" s="647">
        <v>0.79018559005615563</v>
      </c>
      <c r="J9" s="648" t="s">
        <v>1</v>
      </c>
    </row>
    <row r="10" spans="1:10" ht="14.4" customHeight="1" x14ac:dyDescent="0.3">
      <c r="A10" s="644" t="s">
        <v>552</v>
      </c>
      <c r="B10" s="645" t="s">
        <v>348</v>
      </c>
      <c r="C10" s="646" t="s">
        <v>554</v>
      </c>
      <c r="D10" s="646" t="s">
        <v>554</v>
      </c>
      <c r="E10" s="646"/>
      <c r="F10" s="646">
        <v>0</v>
      </c>
      <c r="G10" s="646">
        <v>3.6666665511754997</v>
      </c>
      <c r="H10" s="646">
        <v>-3.6666665511754997</v>
      </c>
      <c r="I10" s="647">
        <v>0</v>
      </c>
      <c r="J10" s="648" t="s">
        <v>1</v>
      </c>
    </row>
    <row r="11" spans="1:10" ht="14.4" customHeight="1" x14ac:dyDescent="0.3">
      <c r="A11" s="644" t="s">
        <v>552</v>
      </c>
      <c r="B11" s="645" t="s">
        <v>349</v>
      </c>
      <c r="C11" s="646">
        <v>126.7567</v>
      </c>
      <c r="D11" s="646">
        <v>75.008610000000004</v>
      </c>
      <c r="E11" s="646"/>
      <c r="F11" s="646">
        <v>92.487340000000003</v>
      </c>
      <c r="G11" s="646">
        <v>91.504571468188331</v>
      </c>
      <c r="H11" s="646">
        <v>0.98276853181167212</v>
      </c>
      <c r="I11" s="647">
        <v>1.0107401031013334</v>
      </c>
      <c r="J11" s="648" t="s">
        <v>1</v>
      </c>
    </row>
    <row r="12" spans="1:10" ht="14.4" customHeight="1" x14ac:dyDescent="0.3">
      <c r="A12" s="644" t="s">
        <v>552</v>
      </c>
      <c r="B12" s="645" t="s">
        <v>350</v>
      </c>
      <c r="C12" s="646">
        <v>90.692060000000012</v>
      </c>
      <c r="D12" s="646">
        <v>7.8741600000000007</v>
      </c>
      <c r="E12" s="646"/>
      <c r="F12" s="646">
        <v>2.7367900000000001</v>
      </c>
      <c r="G12" s="646">
        <v>5.101457954432167</v>
      </c>
      <c r="H12" s="646">
        <v>-2.3646679544321669</v>
      </c>
      <c r="I12" s="647">
        <v>0.53647212707541103</v>
      </c>
      <c r="J12" s="648" t="s">
        <v>1</v>
      </c>
    </row>
    <row r="13" spans="1:10" ht="14.4" customHeight="1" x14ac:dyDescent="0.3">
      <c r="A13" s="644" t="s">
        <v>552</v>
      </c>
      <c r="B13" s="645" t="s">
        <v>351</v>
      </c>
      <c r="C13" s="646">
        <v>58.514009999999999</v>
      </c>
      <c r="D13" s="646">
        <v>35.504150000000003</v>
      </c>
      <c r="E13" s="646"/>
      <c r="F13" s="646">
        <v>56.834240000000001</v>
      </c>
      <c r="G13" s="646">
        <v>46.175692818426</v>
      </c>
      <c r="H13" s="646">
        <v>10.658547181574001</v>
      </c>
      <c r="I13" s="647">
        <v>1.2308259287735213</v>
      </c>
      <c r="J13" s="648" t="s">
        <v>1</v>
      </c>
    </row>
    <row r="14" spans="1:10" ht="14.4" customHeight="1" x14ac:dyDescent="0.3">
      <c r="A14" s="644" t="s">
        <v>552</v>
      </c>
      <c r="B14" s="645" t="s">
        <v>556</v>
      </c>
      <c r="C14" s="646">
        <v>1348.4175</v>
      </c>
      <c r="D14" s="646">
        <v>1253.7472200000022</v>
      </c>
      <c r="E14" s="646"/>
      <c r="F14" s="646">
        <v>1327.5224400000009</v>
      </c>
      <c r="G14" s="646">
        <v>1264.0903462707756</v>
      </c>
      <c r="H14" s="646">
        <v>63.432093729225244</v>
      </c>
      <c r="I14" s="647">
        <v>1.0501800317646266</v>
      </c>
      <c r="J14" s="648" t="s">
        <v>557</v>
      </c>
    </row>
    <row r="16" spans="1:10" ht="14.4" customHeight="1" x14ac:dyDescent="0.3">
      <c r="A16" s="644" t="s">
        <v>552</v>
      </c>
      <c r="B16" s="645" t="s">
        <v>553</v>
      </c>
      <c r="C16" s="646" t="s">
        <v>554</v>
      </c>
      <c r="D16" s="646" t="s">
        <v>554</v>
      </c>
      <c r="E16" s="646"/>
      <c r="F16" s="646" t="s">
        <v>554</v>
      </c>
      <c r="G16" s="646" t="s">
        <v>554</v>
      </c>
      <c r="H16" s="646" t="s">
        <v>554</v>
      </c>
      <c r="I16" s="647" t="s">
        <v>554</v>
      </c>
      <c r="J16" s="648" t="s">
        <v>74</v>
      </c>
    </row>
    <row r="17" spans="1:10" ht="14.4" customHeight="1" x14ac:dyDescent="0.3">
      <c r="A17" s="644" t="s">
        <v>558</v>
      </c>
      <c r="B17" s="645" t="s">
        <v>559</v>
      </c>
      <c r="C17" s="646" t="s">
        <v>554</v>
      </c>
      <c r="D17" s="646" t="s">
        <v>554</v>
      </c>
      <c r="E17" s="646"/>
      <c r="F17" s="646" t="s">
        <v>554</v>
      </c>
      <c r="G17" s="646" t="s">
        <v>554</v>
      </c>
      <c r="H17" s="646" t="s">
        <v>554</v>
      </c>
      <c r="I17" s="647" t="s">
        <v>554</v>
      </c>
      <c r="J17" s="648" t="s">
        <v>0</v>
      </c>
    </row>
    <row r="18" spans="1:10" ht="14.4" customHeight="1" x14ac:dyDescent="0.3">
      <c r="A18" s="644" t="s">
        <v>558</v>
      </c>
      <c r="B18" s="645" t="s">
        <v>345</v>
      </c>
      <c r="C18" s="646">
        <v>185.87876</v>
      </c>
      <c r="D18" s="646">
        <v>162.40381000000002</v>
      </c>
      <c r="E18" s="646"/>
      <c r="F18" s="646">
        <v>153.20303999999999</v>
      </c>
      <c r="G18" s="646">
        <v>166.33332809423649</v>
      </c>
      <c r="H18" s="646">
        <v>-13.130288094236505</v>
      </c>
      <c r="I18" s="647">
        <v>0.92106038973261262</v>
      </c>
      <c r="J18" s="648" t="s">
        <v>1</v>
      </c>
    </row>
    <row r="19" spans="1:10" ht="14.4" customHeight="1" x14ac:dyDescent="0.3">
      <c r="A19" s="644" t="s">
        <v>558</v>
      </c>
      <c r="B19" s="645" t="s">
        <v>346</v>
      </c>
      <c r="C19" s="646">
        <v>13.015080000000001</v>
      </c>
      <c r="D19" s="646">
        <v>10.524519999999999</v>
      </c>
      <c r="E19" s="646"/>
      <c r="F19" s="646">
        <v>14.00742</v>
      </c>
      <c r="G19" s="646">
        <v>11.407342130073166</v>
      </c>
      <c r="H19" s="646">
        <v>2.6000778699268334</v>
      </c>
      <c r="I19" s="647">
        <v>1.2279302084814525</v>
      </c>
      <c r="J19" s="648" t="s">
        <v>1</v>
      </c>
    </row>
    <row r="20" spans="1:10" ht="14.4" customHeight="1" x14ac:dyDescent="0.3">
      <c r="A20" s="644" t="s">
        <v>558</v>
      </c>
      <c r="B20" s="645" t="s">
        <v>348</v>
      </c>
      <c r="C20" s="646" t="s">
        <v>554</v>
      </c>
      <c r="D20" s="646" t="s">
        <v>554</v>
      </c>
      <c r="E20" s="646"/>
      <c r="F20" s="646">
        <v>0</v>
      </c>
      <c r="G20" s="646">
        <v>3.6666665511754997</v>
      </c>
      <c r="H20" s="646">
        <v>-3.6666665511754997</v>
      </c>
      <c r="I20" s="647">
        <v>0</v>
      </c>
      <c r="J20" s="648" t="s">
        <v>1</v>
      </c>
    </row>
    <row r="21" spans="1:10" ht="14.4" customHeight="1" x14ac:dyDescent="0.3">
      <c r="A21" s="644" t="s">
        <v>558</v>
      </c>
      <c r="B21" s="645" t="s">
        <v>349</v>
      </c>
      <c r="C21" s="646">
        <v>57.335030000000003</v>
      </c>
      <c r="D21" s="646">
        <v>26.798870000000001</v>
      </c>
      <c r="E21" s="646"/>
      <c r="F21" s="646">
        <v>24.20138</v>
      </c>
      <c r="G21" s="646">
        <v>55.1816191948515</v>
      </c>
      <c r="H21" s="646">
        <v>-30.980239194851499</v>
      </c>
      <c r="I21" s="647">
        <v>0.43857683687284793</v>
      </c>
      <c r="J21" s="648" t="s">
        <v>1</v>
      </c>
    </row>
    <row r="22" spans="1:10" ht="14.4" customHeight="1" x14ac:dyDescent="0.3">
      <c r="A22" s="644" t="s">
        <v>558</v>
      </c>
      <c r="B22" s="645" t="s">
        <v>350</v>
      </c>
      <c r="C22" s="646">
        <v>0</v>
      </c>
      <c r="D22" s="646">
        <v>0.49396000000000001</v>
      </c>
      <c r="E22" s="646"/>
      <c r="F22" s="646">
        <v>0</v>
      </c>
      <c r="G22" s="646">
        <v>0.98618248888283333</v>
      </c>
      <c r="H22" s="646">
        <v>-0.98618248888283333</v>
      </c>
      <c r="I22" s="647">
        <v>0</v>
      </c>
      <c r="J22" s="648" t="s">
        <v>1</v>
      </c>
    </row>
    <row r="23" spans="1:10" ht="14.4" customHeight="1" x14ac:dyDescent="0.3">
      <c r="A23" s="644" t="s">
        <v>558</v>
      </c>
      <c r="B23" s="645" t="s">
        <v>351</v>
      </c>
      <c r="C23" s="646">
        <v>1.4812000000000001</v>
      </c>
      <c r="D23" s="646">
        <v>1.4812000000000001</v>
      </c>
      <c r="E23" s="646"/>
      <c r="F23" s="646">
        <v>2.8979999999999997</v>
      </c>
      <c r="G23" s="646">
        <v>1.9814249683065002</v>
      </c>
      <c r="H23" s="646">
        <v>0.91657503169349952</v>
      </c>
      <c r="I23" s="647">
        <v>1.4625837699405217</v>
      </c>
      <c r="J23" s="648" t="s">
        <v>1</v>
      </c>
    </row>
    <row r="24" spans="1:10" ht="14.4" customHeight="1" x14ac:dyDescent="0.3">
      <c r="A24" s="644" t="s">
        <v>558</v>
      </c>
      <c r="B24" s="645" t="s">
        <v>560</v>
      </c>
      <c r="C24" s="646">
        <v>257.71007000000003</v>
      </c>
      <c r="D24" s="646">
        <v>201.70236</v>
      </c>
      <c r="E24" s="646"/>
      <c r="F24" s="646">
        <v>194.30983999999998</v>
      </c>
      <c r="G24" s="646">
        <v>239.55656342752599</v>
      </c>
      <c r="H24" s="646">
        <v>-45.246723427526007</v>
      </c>
      <c r="I24" s="647">
        <v>0.81112300669142512</v>
      </c>
      <c r="J24" s="648" t="s">
        <v>561</v>
      </c>
    </row>
    <row r="25" spans="1:10" ht="14.4" customHeight="1" x14ac:dyDescent="0.3">
      <c r="A25" s="644" t="s">
        <v>554</v>
      </c>
      <c r="B25" s="645" t="s">
        <v>554</v>
      </c>
      <c r="C25" s="646" t="s">
        <v>554</v>
      </c>
      <c r="D25" s="646" t="s">
        <v>554</v>
      </c>
      <c r="E25" s="646"/>
      <c r="F25" s="646" t="s">
        <v>554</v>
      </c>
      <c r="G25" s="646" t="s">
        <v>554</v>
      </c>
      <c r="H25" s="646" t="s">
        <v>554</v>
      </c>
      <c r="I25" s="647" t="s">
        <v>554</v>
      </c>
      <c r="J25" s="648" t="s">
        <v>562</v>
      </c>
    </row>
    <row r="26" spans="1:10" ht="14.4" customHeight="1" x14ac:dyDescent="0.3">
      <c r="A26" s="644" t="s">
        <v>563</v>
      </c>
      <c r="B26" s="645" t="s">
        <v>564</v>
      </c>
      <c r="C26" s="646" t="s">
        <v>554</v>
      </c>
      <c r="D26" s="646" t="s">
        <v>554</v>
      </c>
      <c r="E26" s="646"/>
      <c r="F26" s="646" t="s">
        <v>554</v>
      </c>
      <c r="G26" s="646" t="s">
        <v>554</v>
      </c>
      <c r="H26" s="646" t="s">
        <v>554</v>
      </c>
      <c r="I26" s="647" t="s">
        <v>554</v>
      </c>
      <c r="J26" s="648" t="s">
        <v>0</v>
      </c>
    </row>
    <row r="27" spans="1:10" ht="14.4" customHeight="1" x14ac:dyDescent="0.3">
      <c r="A27" s="644" t="s">
        <v>563</v>
      </c>
      <c r="B27" s="645" t="s">
        <v>345</v>
      </c>
      <c r="C27" s="646">
        <v>2.9413900000000002</v>
      </c>
      <c r="D27" s="646">
        <v>1.4379</v>
      </c>
      <c r="E27" s="646"/>
      <c r="F27" s="646">
        <v>1.11242</v>
      </c>
      <c r="G27" s="646">
        <v>1.1538360349845</v>
      </c>
      <c r="H27" s="646">
        <v>-4.1416034984500083E-2</v>
      </c>
      <c r="I27" s="647">
        <v>0.96410578823267867</v>
      </c>
      <c r="J27" s="648" t="s">
        <v>1</v>
      </c>
    </row>
    <row r="28" spans="1:10" ht="14.4" customHeight="1" x14ac:dyDescent="0.3">
      <c r="A28" s="644" t="s">
        <v>563</v>
      </c>
      <c r="B28" s="645" t="s">
        <v>565</v>
      </c>
      <c r="C28" s="646">
        <v>2.9413900000000002</v>
      </c>
      <c r="D28" s="646">
        <v>1.4379</v>
      </c>
      <c r="E28" s="646"/>
      <c r="F28" s="646">
        <v>1.11242</v>
      </c>
      <c r="G28" s="646">
        <v>1.1538360349845</v>
      </c>
      <c r="H28" s="646">
        <v>-4.1416034984500083E-2</v>
      </c>
      <c r="I28" s="647">
        <v>0.96410578823267867</v>
      </c>
      <c r="J28" s="648" t="s">
        <v>561</v>
      </c>
    </row>
    <row r="29" spans="1:10" ht="14.4" customHeight="1" x14ac:dyDescent="0.3">
      <c r="A29" s="644" t="s">
        <v>554</v>
      </c>
      <c r="B29" s="645" t="s">
        <v>554</v>
      </c>
      <c r="C29" s="646" t="s">
        <v>554</v>
      </c>
      <c r="D29" s="646" t="s">
        <v>554</v>
      </c>
      <c r="E29" s="646"/>
      <c r="F29" s="646" t="s">
        <v>554</v>
      </c>
      <c r="G29" s="646" t="s">
        <v>554</v>
      </c>
      <c r="H29" s="646" t="s">
        <v>554</v>
      </c>
      <c r="I29" s="647" t="s">
        <v>554</v>
      </c>
      <c r="J29" s="648" t="s">
        <v>562</v>
      </c>
    </row>
    <row r="30" spans="1:10" ht="14.4" customHeight="1" x14ac:dyDescent="0.3">
      <c r="A30" s="644" t="s">
        <v>566</v>
      </c>
      <c r="B30" s="645" t="s">
        <v>567</v>
      </c>
      <c r="C30" s="646" t="s">
        <v>554</v>
      </c>
      <c r="D30" s="646" t="s">
        <v>554</v>
      </c>
      <c r="E30" s="646"/>
      <c r="F30" s="646" t="s">
        <v>554</v>
      </c>
      <c r="G30" s="646" t="s">
        <v>554</v>
      </c>
      <c r="H30" s="646" t="s">
        <v>554</v>
      </c>
      <c r="I30" s="647" t="s">
        <v>554</v>
      </c>
      <c r="J30" s="648" t="s">
        <v>0</v>
      </c>
    </row>
    <row r="31" spans="1:10" ht="14.4" customHeight="1" x14ac:dyDescent="0.3">
      <c r="A31" s="644" t="s">
        <v>566</v>
      </c>
      <c r="B31" s="645" t="s">
        <v>345</v>
      </c>
      <c r="C31" s="646">
        <v>423.06962999999996</v>
      </c>
      <c r="D31" s="646">
        <v>525.36743000000104</v>
      </c>
      <c r="E31" s="646"/>
      <c r="F31" s="646">
        <v>568.64764000000105</v>
      </c>
      <c r="G31" s="646">
        <v>462.67515145281328</v>
      </c>
      <c r="H31" s="646">
        <v>105.97248854718777</v>
      </c>
      <c r="I31" s="647">
        <v>1.2290429650575163</v>
      </c>
      <c r="J31" s="648" t="s">
        <v>1</v>
      </c>
    </row>
    <row r="32" spans="1:10" ht="14.4" customHeight="1" x14ac:dyDescent="0.3">
      <c r="A32" s="644" t="s">
        <v>566</v>
      </c>
      <c r="B32" s="645" t="s">
        <v>346</v>
      </c>
      <c r="C32" s="646">
        <v>85.505700000000004</v>
      </c>
      <c r="D32" s="646">
        <v>76.659549999999996</v>
      </c>
      <c r="E32" s="646"/>
      <c r="F32" s="646">
        <v>77.178339999999992</v>
      </c>
      <c r="G32" s="646">
        <v>81.532607305534825</v>
      </c>
      <c r="H32" s="646">
        <v>-4.3542673055348331</v>
      </c>
      <c r="I32" s="647">
        <v>0.94659477417154492</v>
      </c>
      <c r="J32" s="648" t="s">
        <v>1</v>
      </c>
    </row>
    <row r="33" spans="1:10" ht="14.4" customHeight="1" x14ac:dyDescent="0.3">
      <c r="A33" s="644" t="s">
        <v>566</v>
      </c>
      <c r="B33" s="645" t="s">
        <v>555</v>
      </c>
      <c r="C33" s="646">
        <v>0</v>
      </c>
      <c r="D33" s="646" t="s">
        <v>554</v>
      </c>
      <c r="E33" s="646"/>
      <c r="F33" s="646" t="s">
        <v>554</v>
      </c>
      <c r="G33" s="646" t="s">
        <v>554</v>
      </c>
      <c r="H33" s="646" t="s">
        <v>554</v>
      </c>
      <c r="I33" s="647" t="s">
        <v>554</v>
      </c>
      <c r="J33" s="648" t="s">
        <v>1</v>
      </c>
    </row>
    <row r="34" spans="1:10" ht="14.4" customHeight="1" x14ac:dyDescent="0.3">
      <c r="A34" s="644" t="s">
        <v>566</v>
      </c>
      <c r="B34" s="645" t="s">
        <v>347</v>
      </c>
      <c r="C34" s="646">
        <v>70.561129999999991</v>
      </c>
      <c r="D34" s="646">
        <v>67.889240000000001</v>
      </c>
      <c r="E34" s="646"/>
      <c r="F34" s="646">
        <v>83.266850000000005</v>
      </c>
      <c r="G34" s="646">
        <v>105.37632050982167</v>
      </c>
      <c r="H34" s="646">
        <v>-22.109470509821662</v>
      </c>
      <c r="I34" s="647">
        <v>0.79018559005615563</v>
      </c>
      <c r="J34" s="648" t="s">
        <v>1</v>
      </c>
    </row>
    <row r="35" spans="1:10" ht="14.4" customHeight="1" x14ac:dyDescent="0.3">
      <c r="A35" s="644" t="s">
        <v>566</v>
      </c>
      <c r="B35" s="645" t="s">
        <v>349</v>
      </c>
      <c r="C35" s="646">
        <v>68.986549999999994</v>
      </c>
      <c r="D35" s="646">
        <v>48.209739999999996</v>
      </c>
      <c r="E35" s="646"/>
      <c r="F35" s="646">
        <v>68.285960000000003</v>
      </c>
      <c r="G35" s="646">
        <v>36.322952273336831</v>
      </c>
      <c r="H35" s="646">
        <v>31.963007726663172</v>
      </c>
      <c r="I35" s="647">
        <v>1.8799672308059026</v>
      </c>
      <c r="J35" s="648" t="s">
        <v>1</v>
      </c>
    </row>
    <row r="36" spans="1:10" ht="14.4" customHeight="1" x14ac:dyDescent="0.3">
      <c r="A36" s="644" t="s">
        <v>566</v>
      </c>
      <c r="B36" s="645" t="s">
        <v>350</v>
      </c>
      <c r="C36" s="646">
        <v>90.692060000000012</v>
      </c>
      <c r="D36" s="646">
        <v>7.3802000000000003</v>
      </c>
      <c r="E36" s="646"/>
      <c r="F36" s="646">
        <v>2.7367900000000001</v>
      </c>
      <c r="G36" s="646">
        <v>4.1152754655493338</v>
      </c>
      <c r="H36" s="646">
        <v>-1.3784854655493337</v>
      </c>
      <c r="I36" s="647">
        <v>0.6650320307621681</v>
      </c>
      <c r="J36" s="648" t="s">
        <v>1</v>
      </c>
    </row>
    <row r="37" spans="1:10" ht="14.4" customHeight="1" x14ac:dyDescent="0.3">
      <c r="A37" s="644" t="s">
        <v>566</v>
      </c>
      <c r="B37" s="645" t="s">
        <v>351</v>
      </c>
      <c r="C37" s="646">
        <v>25.08896</v>
      </c>
      <c r="D37" s="646">
        <v>17.33783</v>
      </c>
      <c r="E37" s="646"/>
      <c r="F37" s="646">
        <v>26.172910000000002</v>
      </c>
      <c r="G37" s="646">
        <v>20.584190101790501</v>
      </c>
      <c r="H37" s="646">
        <v>5.5887198982095008</v>
      </c>
      <c r="I37" s="647">
        <v>1.2715054549424982</v>
      </c>
      <c r="J37" s="648" t="s">
        <v>1</v>
      </c>
    </row>
    <row r="38" spans="1:10" ht="14.4" customHeight="1" x14ac:dyDescent="0.3">
      <c r="A38" s="644" t="s">
        <v>566</v>
      </c>
      <c r="B38" s="645" t="s">
        <v>568</v>
      </c>
      <c r="C38" s="646">
        <v>763.90402999999992</v>
      </c>
      <c r="D38" s="646">
        <v>742.84399000000099</v>
      </c>
      <c r="E38" s="646"/>
      <c r="F38" s="646">
        <v>826.28849000000105</v>
      </c>
      <c r="G38" s="646">
        <v>710.60649710884627</v>
      </c>
      <c r="H38" s="646">
        <v>115.68199289115478</v>
      </c>
      <c r="I38" s="647">
        <v>1.1627933228331226</v>
      </c>
      <c r="J38" s="648" t="s">
        <v>561</v>
      </c>
    </row>
    <row r="39" spans="1:10" ht="14.4" customHeight="1" x14ac:dyDescent="0.3">
      <c r="A39" s="644" t="s">
        <v>554</v>
      </c>
      <c r="B39" s="645" t="s">
        <v>554</v>
      </c>
      <c r="C39" s="646" t="s">
        <v>554</v>
      </c>
      <c r="D39" s="646" t="s">
        <v>554</v>
      </c>
      <c r="E39" s="646"/>
      <c r="F39" s="646" t="s">
        <v>554</v>
      </c>
      <c r="G39" s="646" t="s">
        <v>554</v>
      </c>
      <c r="H39" s="646" t="s">
        <v>554</v>
      </c>
      <c r="I39" s="647" t="s">
        <v>554</v>
      </c>
      <c r="J39" s="648" t="s">
        <v>562</v>
      </c>
    </row>
    <row r="40" spans="1:10" ht="14.4" customHeight="1" x14ac:dyDescent="0.3">
      <c r="A40" s="644" t="s">
        <v>569</v>
      </c>
      <c r="B40" s="645" t="s">
        <v>570</v>
      </c>
      <c r="C40" s="646" t="s">
        <v>554</v>
      </c>
      <c r="D40" s="646" t="s">
        <v>554</v>
      </c>
      <c r="E40" s="646"/>
      <c r="F40" s="646" t="s">
        <v>554</v>
      </c>
      <c r="G40" s="646" t="s">
        <v>554</v>
      </c>
      <c r="H40" s="646" t="s">
        <v>554</v>
      </c>
      <c r="I40" s="647" t="s">
        <v>554</v>
      </c>
      <c r="J40" s="648" t="s">
        <v>0</v>
      </c>
    </row>
    <row r="41" spans="1:10" ht="14.4" customHeight="1" x14ac:dyDescent="0.3">
      <c r="A41" s="644" t="s">
        <v>569</v>
      </c>
      <c r="B41" s="645" t="s">
        <v>345</v>
      </c>
      <c r="C41" s="646">
        <v>279.61504000000002</v>
      </c>
      <c r="D41" s="646">
        <v>291.07785000000104</v>
      </c>
      <c r="E41" s="646"/>
      <c r="F41" s="646">
        <v>278.04836</v>
      </c>
      <c r="G41" s="646">
        <v>289.16337195109003</v>
      </c>
      <c r="H41" s="646">
        <v>-11.115011951090025</v>
      </c>
      <c r="I41" s="647">
        <v>0.96156148036283773</v>
      </c>
      <c r="J41" s="648" t="s">
        <v>1</v>
      </c>
    </row>
    <row r="42" spans="1:10" ht="14.4" customHeight="1" x14ac:dyDescent="0.3">
      <c r="A42" s="644" t="s">
        <v>569</v>
      </c>
      <c r="B42" s="645" t="s">
        <v>346</v>
      </c>
      <c r="C42" s="646">
        <v>11.868</v>
      </c>
      <c r="D42" s="646">
        <v>0</v>
      </c>
      <c r="E42" s="646"/>
      <c r="F42" s="646" t="s">
        <v>554</v>
      </c>
      <c r="G42" s="646" t="s">
        <v>554</v>
      </c>
      <c r="H42" s="646" t="s">
        <v>554</v>
      </c>
      <c r="I42" s="647" t="s">
        <v>554</v>
      </c>
      <c r="J42" s="648" t="s">
        <v>1</v>
      </c>
    </row>
    <row r="43" spans="1:10" ht="14.4" customHeight="1" x14ac:dyDescent="0.3">
      <c r="A43" s="644" t="s">
        <v>569</v>
      </c>
      <c r="B43" s="645" t="s">
        <v>349</v>
      </c>
      <c r="C43" s="646">
        <v>0.43512000000000001</v>
      </c>
      <c r="D43" s="646">
        <v>0</v>
      </c>
      <c r="E43" s="646"/>
      <c r="F43" s="646" t="s">
        <v>554</v>
      </c>
      <c r="G43" s="646" t="s">
        <v>554</v>
      </c>
      <c r="H43" s="646" t="s">
        <v>554</v>
      </c>
      <c r="I43" s="647" t="s">
        <v>554</v>
      </c>
      <c r="J43" s="648" t="s">
        <v>1</v>
      </c>
    </row>
    <row r="44" spans="1:10" ht="14.4" customHeight="1" x14ac:dyDescent="0.3">
      <c r="A44" s="644" t="s">
        <v>569</v>
      </c>
      <c r="B44" s="645" t="s">
        <v>351</v>
      </c>
      <c r="C44" s="646">
        <v>31.943850000000001</v>
      </c>
      <c r="D44" s="646">
        <v>16.685120000000001</v>
      </c>
      <c r="E44" s="646"/>
      <c r="F44" s="646">
        <v>27.76333</v>
      </c>
      <c r="G44" s="646">
        <v>23.610077748329001</v>
      </c>
      <c r="H44" s="646">
        <v>4.1532522516709989</v>
      </c>
      <c r="I44" s="647">
        <v>1.1759101471813216</v>
      </c>
      <c r="J44" s="648" t="s">
        <v>1</v>
      </c>
    </row>
    <row r="45" spans="1:10" ht="14.4" customHeight="1" x14ac:dyDescent="0.3">
      <c r="A45" s="644" t="s">
        <v>569</v>
      </c>
      <c r="B45" s="645" t="s">
        <v>571</v>
      </c>
      <c r="C45" s="646">
        <v>323.86201</v>
      </c>
      <c r="D45" s="646">
        <v>307.76297000000102</v>
      </c>
      <c r="E45" s="646"/>
      <c r="F45" s="646">
        <v>305.81169</v>
      </c>
      <c r="G45" s="646">
        <v>312.77344969941902</v>
      </c>
      <c r="H45" s="646">
        <v>-6.9617596994190194</v>
      </c>
      <c r="I45" s="647">
        <v>0.97774184571577483</v>
      </c>
      <c r="J45" s="648" t="s">
        <v>561</v>
      </c>
    </row>
    <row r="46" spans="1:10" ht="14.4" customHeight="1" x14ac:dyDescent="0.3">
      <c r="A46" s="644" t="s">
        <v>554</v>
      </c>
      <c r="B46" s="645" t="s">
        <v>554</v>
      </c>
      <c r="C46" s="646" t="s">
        <v>554</v>
      </c>
      <c r="D46" s="646" t="s">
        <v>554</v>
      </c>
      <c r="E46" s="646"/>
      <c r="F46" s="646" t="s">
        <v>554</v>
      </c>
      <c r="G46" s="646" t="s">
        <v>554</v>
      </c>
      <c r="H46" s="646" t="s">
        <v>554</v>
      </c>
      <c r="I46" s="647" t="s">
        <v>554</v>
      </c>
      <c r="J46" s="648" t="s">
        <v>562</v>
      </c>
    </row>
    <row r="47" spans="1:10" ht="14.4" customHeight="1" x14ac:dyDescent="0.3">
      <c r="A47" s="644" t="s">
        <v>572</v>
      </c>
      <c r="B47" s="645" t="s">
        <v>573</v>
      </c>
      <c r="C47" s="646" t="s">
        <v>554</v>
      </c>
      <c r="D47" s="646" t="s">
        <v>554</v>
      </c>
      <c r="E47" s="646"/>
      <c r="F47" s="646" t="s">
        <v>554</v>
      </c>
      <c r="G47" s="646" t="s">
        <v>554</v>
      </c>
      <c r="H47" s="646" t="s">
        <v>554</v>
      </c>
      <c r="I47" s="647" t="s">
        <v>554</v>
      </c>
      <c r="J47" s="648" t="s">
        <v>0</v>
      </c>
    </row>
    <row r="48" spans="1:10" ht="14.4" customHeight="1" x14ac:dyDescent="0.3">
      <c r="A48" s="644" t="s">
        <v>572</v>
      </c>
      <c r="B48" s="645" t="s">
        <v>345</v>
      </c>
      <c r="C48" s="646">
        <v>0</v>
      </c>
      <c r="D48" s="646" t="s">
        <v>554</v>
      </c>
      <c r="E48" s="646"/>
      <c r="F48" s="646" t="s">
        <v>554</v>
      </c>
      <c r="G48" s="646" t="s">
        <v>554</v>
      </c>
      <c r="H48" s="646" t="s">
        <v>554</v>
      </c>
      <c r="I48" s="647" t="s">
        <v>554</v>
      </c>
      <c r="J48" s="648" t="s">
        <v>1</v>
      </c>
    </row>
    <row r="49" spans="1:10" ht="14.4" customHeight="1" x14ac:dyDescent="0.3">
      <c r="A49" s="644" t="s">
        <v>572</v>
      </c>
      <c r="B49" s="645" t="s">
        <v>574</v>
      </c>
      <c r="C49" s="646">
        <v>0</v>
      </c>
      <c r="D49" s="646" t="s">
        <v>554</v>
      </c>
      <c r="E49" s="646"/>
      <c r="F49" s="646" t="s">
        <v>554</v>
      </c>
      <c r="G49" s="646" t="s">
        <v>554</v>
      </c>
      <c r="H49" s="646" t="s">
        <v>554</v>
      </c>
      <c r="I49" s="647" t="s">
        <v>554</v>
      </c>
      <c r="J49" s="648" t="s">
        <v>561</v>
      </c>
    </row>
    <row r="50" spans="1:10" ht="14.4" customHeight="1" x14ac:dyDescent="0.3">
      <c r="A50" s="644" t="s">
        <v>554</v>
      </c>
      <c r="B50" s="645" t="s">
        <v>554</v>
      </c>
      <c r="C50" s="646" t="s">
        <v>554</v>
      </c>
      <c r="D50" s="646" t="s">
        <v>554</v>
      </c>
      <c r="E50" s="646"/>
      <c r="F50" s="646" t="s">
        <v>554</v>
      </c>
      <c r="G50" s="646" t="s">
        <v>554</v>
      </c>
      <c r="H50" s="646" t="s">
        <v>554</v>
      </c>
      <c r="I50" s="647" t="s">
        <v>554</v>
      </c>
      <c r="J50" s="648" t="s">
        <v>562</v>
      </c>
    </row>
    <row r="51" spans="1:10" ht="14.4" customHeight="1" x14ac:dyDescent="0.3">
      <c r="A51" s="644" t="s">
        <v>552</v>
      </c>
      <c r="B51" s="645" t="s">
        <v>556</v>
      </c>
      <c r="C51" s="646">
        <v>1348.4175</v>
      </c>
      <c r="D51" s="646">
        <v>1253.747220000002</v>
      </c>
      <c r="E51" s="646"/>
      <c r="F51" s="646">
        <v>1327.5224400000011</v>
      </c>
      <c r="G51" s="646">
        <v>1264.0903462707759</v>
      </c>
      <c r="H51" s="646">
        <v>63.432093729225244</v>
      </c>
      <c r="I51" s="647">
        <v>1.0501800317646266</v>
      </c>
      <c r="J51" s="648" t="s">
        <v>557</v>
      </c>
    </row>
  </sheetData>
  <mergeCells count="3">
    <mergeCell ref="F3:I3"/>
    <mergeCell ref="C4:D4"/>
    <mergeCell ref="A1:I1"/>
  </mergeCells>
  <conditionalFormatting sqref="F15 F52:F65537">
    <cfRule type="cellIs" dxfId="72" priority="18" stopIfTrue="1" operator="greaterThan">
      <formula>1</formula>
    </cfRule>
  </conditionalFormatting>
  <conditionalFormatting sqref="H5:H14">
    <cfRule type="expression" dxfId="71" priority="14">
      <formula>$H5&gt;0</formula>
    </cfRule>
  </conditionalFormatting>
  <conditionalFormatting sqref="I5:I14">
    <cfRule type="expression" dxfId="70" priority="15">
      <formula>$I5&gt;1</formula>
    </cfRule>
  </conditionalFormatting>
  <conditionalFormatting sqref="B5:B14">
    <cfRule type="expression" dxfId="69" priority="11">
      <formula>OR($J5="NS",$J5="SumaNS",$J5="Účet")</formula>
    </cfRule>
  </conditionalFormatting>
  <conditionalFormatting sqref="B5:D14 F5:I14">
    <cfRule type="expression" dxfId="68" priority="17">
      <formula>AND($J5&lt;&gt;"",$J5&lt;&gt;"mezeraKL")</formula>
    </cfRule>
  </conditionalFormatting>
  <conditionalFormatting sqref="B5:D14 F5:I14">
    <cfRule type="expression" dxfId="67" priority="12">
      <formula>OR($J5="KL",$J5="SumaKL")</formula>
    </cfRule>
    <cfRule type="expression" priority="16" stopIfTrue="1">
      <formula>OR($J5="mezeraNS",$J5="mezeraKL")</formula>
    </cfRule>
  </conditionalFormatting>
  <conditionalFormatting sqref="F5:I14 B5:D14">
    <cfRule type="expression" dxfId="66" priority="13">
      <formula>OR($J5="SumaNS",$J5="NS")</formula>
    </cfRule>
  </conditionalFormatting>
  <conditionalFormatting sqref="A5:A14">
    <cfRule type="expression" dxfId="65" priority="9">
      <formula>AND($J5&lt;&gt;"mezeraKL",$J5&lt;&gt;"")</formula>
    </cfRule>
  </conditionalFormatting>
  <conditionalFormatting sqref="A5:A14">
    <cfRule type="expression" dxfId="64" priority="10">
      <formula>AND($J5&lt;&gt;"",$J5&lt;&gt;"mezeraKL")</formula>
    </cfRule>
  </conditionalFormatting>
  <conditionalFormatting sqref="H16:H51">
    <cfRule type="expression" dxfId="63" priority="5">
      <formula>$H16&gt;0</formula>
    </cfRule>
  </conditionalFormatting>
  <conditionalFormatting sqref="A16:A51">
    <cfRule type="expression" dxfId="62" priority="2">
      <formula>AND($J16&lt;&gt;"mezeraKL",$J16&lt;&gt;"")</formula>
    </cfRule>
  </conditionalFormatting>
  <conditionalFormatting sqref="I16:I51">
    <cfRule type="expression" dxfId="61" priority="6">
      <formula>$I16&gt;1</formula>
    </cfRule>
  </conditionalFormatting>
  <conditionalFormatting sqref="B16:B51">
    <cfRule type="expression" dxfId="60" priority="1">
      <formula>OR($J16="NS",$J16="SumaNS",$J16="Účet")</formula>
    </cfRule>
  </conditionalFormatting>
  <conditionalFormatting sqref="A16:D51 F16:I51">
    <cfRule type="expression" dxfId="59" priority="8">
      <formula>AND($J16&lt;&gt;"",$J16&lt;&gt;"mezeraKL")</formula>
    </cfRule>
  </conditionalFormatting>
  <conditionalFormatting sqref="B16:D51 F16:I51">
    <cfRule type="expression" dxfId="58" priority="3">
      <formula>OR($J16="KL",$J16="SumaKL")</formula>
    </cfRule>
    <cfRule type="expression" priority="7" stopIfTrue="1">
      <formula>OR($J16="mezeraNS",$J16="mezeraKL")</formula>
    </cfRule>
  </conditionalFormatting>
  <conditionalFormatting sqref="B16:D51 F16:I51">
    <cfRule type="expression" dxfId="57" priority="4">
      <formula>OR($J16="SumaNS",$J16="NS")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49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54" hidden="1" customWidth="1" outlineLevel="1"/>
    <col min="2" max="2" width="28.33203125" style="254" hidden="1" customWidth="1" outlineLevel="1"/>
    <col min="3" max="3" width="5.33203125" style="339" bestFit="1" customWidth="1" collapsed="1"/>
    <col min="4" max="4" width="18.77734375" style="343" customWidth="1"/>
    <col min="5" max="5" width="9" style="339" bestFit="1" customWidth="1"/>
    <col min="6" max="6" width="18.77734375" style="343" customWidth="1"/>
    <col min="7" max="7" width="5" style="339" customWidth="1"/>
    <col min="8" max="8" width="12.44140625" style="339" hidden="1" customWidth="1" outlineLevel="1"/>
    <col min="9" max="9" width="8.5546875" style="339" hidden="1" customWidth="1" outlineLevel="1"/>
    <col min="10" max="10" width="25.77734375" style="339" customWidth="1" collapsed="1"/>
    <col min="11" max="11" width="8.77734375" style="339" customWidth="1"/>
    <col min="12" max="13" width="7.77734375" style="337" customWidth="1"/>
    <col min="14" max="14" width="11.109375" style="337" customWidth="1"/>
    <col min="15" max="16384" width="8.88671875" style="254"/>
  </cols>
  <sheetData>
    <row r="1" spans="1:14" ht="18.600000000000001" customHeight="1" thickBot="1" x14ac:dyDescent="0.4">
      <c r="A1" s="514" t="s">
        <v>207</v>
      </c>
      <c r="B1" s="479"/>
      <c r="C1" s="479"/>
      <c r="D1" s="479"/>
      <c r="E1" s="479"/>
      <c r="F1" s="479"/>
      <c r="G1" s="479"/>
      <c r="H1" s="479"/>
      <c r="I1" s="479"/>
      <c r="J1" s="479"/>
      <c r="K1" s="479"/>
      <c r="L1" s="479"/>
      <c r="M1" s="479"/>
      <c r="N1" s="479"/>
    </row>
    <row r="2" spans="1:14" ht="14.4" customHeight="1" thickBot="1" x14ac:dyDescent="0.35">
      <c r="A2" s="383" t="s">
        <v>334</v>
      </c>
      <c r="B2" s="66"/>
      <c r="C2" s="341"/>
      <c r="D2" s="341"/>
      <c r="E2" s="341"/>
      <c r="F2" s="341"/>
      <c r="G2" s="341"/>
      <c r="H2" s="341"/>
      <c r="I2" s="341"/>
      <c r="J2" s="341"/>
      <c r="K2" s="341"/>
      <c r="L2" s="342"/>
      <c r="M2" s="342"/>
      <c r="N2" s="342"/>
    </row>
    <row r="3" spans="1:14" ht="14.4" customHeight="1" thickBot="1" x14ac:dyDescent="0.35">
      <c r="A3" s="66"/>
      <c r="B3" s="66"/>
      <c r="C3" s="510"/>
      <c r="D3" s="511"/>
      <c r="E3" s="511"/>
      <c r="F3" s="511"/>
      <c r="G3" s="511"/>
      <c r="H3" s="511"/>
      <c r="I3" s="511"/>
      <c r="J3" s="512" t="s">
        <v>160</v>
      </c>
      <c r="K3" s="513"/>
      <c r="L3" s="207">
        <f>IF(M3&lt;&gt;0,N3/M3,0)</f>
        <v>158.2130541978614</v>
      </c>
      <c r="M3" s="207">
        <f>SUBTOTAL(9,M5:M1048576)</f>
        <v>8031.4999999999991</v>
      </c>
      <c r="N3" s="208">
        <f>SUBTOTAL(9,N5:N1048576)</f>
        <v>1270688.1447901237</v>
      </c>
    </row>
    <row r="4" spans="1:14" s="338" customFormat="1" ht="14.4" customHeight="1" thickBot="1" x14ac:dyDescent="0.35">
      <c r="A4" s="649" t="s">
        <v>4</v>
      </c>
      <c r="B4" s="650" t="s">
        <v>5</v>
      </c>
      <c r="C4" s="650" t="s">
        <v>0</v>
      </c>
      <c r="D4" s="650" t="s">
        <v>6</v>
      </c>
      <c r="E4" s="650" t="s">
        <v>7</v>
      </c>
      <c r="F4" s="650" t="s">
        <v>1</v>
      </c>
      <c r="G4" s="650" t="s">
        <v>8</v>
      </c>
      <c r="H4" s="650" t="s">
        <v>9</v>
      </c>
      <c r="I4" s="650" t="s">
        <v>10</v>
      </c>
      <c r="J4" s="651" t="s">
        <v>11</v>
      </c>
      <c r="K4" s="651" t="s">
        <v>12</v>
      </c>
      <c r="L4" s="652" t="s">
        <v>185</v>
      </c>
      <c r="M4" s="652" t="s">
        <v>13</v>
      </c>
      <c r="N4" s="653" t="s">
        <v>202</v>
      </c>
    </row>
    <row r="5" spans="1:14" ht="14.4" customHeight="1" x14ac:dyDescent="0.3">
      <c r="A5" s="654" t="s">
        <v>552</v>
      </c>
      <c r="B5" s="655" t="s">
        <v>553</v>
      </c>
      <c r="C5" s="656" t="s">
        <v>558</v>
      </c>
      <c r="D5" s="657" t="s">
        <v>1750</v>
      </c>
      <c r="E5" s="656" t="s">
        <v>575</v>
      </c>
      <c r="F5" s="657" t="s">
        <v>1754</v>
      </c>
      <c r="G5" s="656"/>
      <c r="H5" s="656" t="s">
        <v>576</v>
      </c>
      <c r="I5" s="656" t="s">
        <v>576</v>
      </c>
      <c r="J5" s="656" t="s">
        <v>577</v>
      </c>
      <c r="K5" s="656" t="s">
        <v>578</v>
      </c>
      <c r="L5" s="658">
        <v>553.99000000000012</v>
      </c>
      <c r="M5" s="658">
        <v>1.2</v>
      </c>
      <c r="N5" s="659">
        <v>664.78800000000012</v>
      </c>
    </row>
    <row r="6" spans="1:14" ht="14.4" customHeight="1" x14ac:dyDescent="0.3">
      <c r="A6" s="660" t="s">
        <v>552</v>
      </c>
      <c r="B6" s="661" t="s">
        <v>553</v>
      </c>
      <c r="C6" s="662" t="s">
        <v>558</v>
      </c>
      <c r="D6" s="663" t="s">
        <v>1750</v>
      </c>
      <c r="E6" s="662" t="s">
        <v>575</v>
      </c>
      <c r="F6" s="663" t="s">
        <v>1754</v>
      </c>
      <c r="G6" s="662"/>
      <c r="H6" s="662" t="s">
        <v>579</v>
      </c>
      <c r="I6" s="662" t="s">
        <v>579</v>
      </c>
      <c r="J6" s="662" t="s">
        <v>580</v>
      </c>
      <c r="K6" s="662" t="s">
        <v>581</v>
      </c>
      <c r="L6" s="664">
        <v>100.72961693194846</v>
      </c>
      <c r="M6" s="664">
        <v>3</v>
      </c>
      <c r="N6" s="665">
        <v>302.18885079584538</v>
      </c>
    </row>
    <row r="7" spans="1:14" ht="14.4" customHeight="1" x14ac:dyDescent="0.3">
      <c r="A7" s="660" t="s">
        <v>552</v>
      </c>
      <c r="B7" s="661" t="s">
        <v>553</v>
      </c>
      <c r="C7" s="662" t="s">
        <v>558</v>
      </c>
      <c r="D7" s="663" t="s">
        <v>1750</v>
      </c>
      <c r="E7" s="662" t="s">
        <v>575</v>
      </c>
      <c r="F7" s="663" t="s">
        <v>1754</v>
      </c>
      <c r="G7" s="662" t="s">
        <v>582</v>
      </c>
      <c r="H7" s="662" t="s">
        <v>583</v>
      </c>
      <c r="I7" s="662" t="s">
        <v>583</v>
      </c>
      <c r="J7" s="662" t="s">
        <v>584</v>
      </c>
      <c r="K7" s="662" t="s">
        <v>585</v>
      </c>
      <c r="L7" s="664">
        <v>171.6</v>
      </c>
      <c r="M7" s="664">
        <v>5</v>
      </c>
      <c r="N7" s="665">
        <v>858</v>
      </c>
    </row>
    <row r="8" spans="1:14" ht="14.4" customHeight="1" x14ac:dyDescent="0.3">
      <c r="A8" s="660" t="s">
        <v>552</v>
      </c>
      <c r="B8" s="661" t="s">
        <v>553</v>
      </c>
      <c r="C8" s="662" t="s">
        <v>558</v>
      </c>
      <c r="D8" s="663" t="s">
        <v>1750</v>
      </c>
      <c r="E8" s="662" t="s">
        <v>575</v>
      </c>
      <c r="F8" s="663" t="s">
        <v>1754</v>
      </c>
      <c r="G8" s="662" t="s">
        <v>582</v>
      </c>
      <c r="H8" s="662" t="s">
        <v>586</v>
      </c>
      <c r="I8" s="662" t="s">
        <v>586</v>
      </c>
      <c r="J8" s="662" t="s">
        <v>587</v>
      </c>
      <c r="K8" s="662" t="s">
        <v>588</v>
      </c>
      <c r="L8" s="664">
        <v>173.69</v>
      </c>
      <c r="M8" s="664">
        <v>1</v>
      </c>
      <c r="N8" s="665">
        <v>173.69</v>
      </c>
    </row>
    <row r="9" spans="1:14" ht="14.4" customHeight="1" x14ac:dyDescent="0.3">
      <c r="A9" s="660" t="s">
        <v>552</v>
      </c>
      <c r="B9" s="661" t="s">
        <v>553</v>
      </c>
      <c r="C9" s="662" t="s">
        <v>558</v>
      </c>
      <c r="D9" s="663" t="s">
        <v>1750</v>
      </c>
      <c r="E9" s="662" t="s">
        <v>575</v>
      </c>
      <c r="F9" s="663" t="s">
        <v>1754</v>
      </c>
      <c r="G9" s="662" t="s">
        <v>582</v>
      </c>
      <c r="H9" s="662" t="s">
        <v>589</v>
      </c>
      <c r="I9" s="662" t="s">
        <v>589</v>
      </c>
      <c r="J9" s="662" t="s">
        <v>584</v>
      </c>
      <c r="K9" s="662" t="s">
        <v>590</v>
      </c>
      <c r="L9" s="664">
        <v>93.856428571428594</v>
      </c>
      <c r="M9" s="664">
        <v>14</v>
      </c>
      <c r="N9" s="665">
        <v>1313.9900000000002</v>
      </c>
    </row>
    <row r="10" spans="1:14" ht="14.4" customHeight="1" x14ac:dyDescent="0.3">
      <c r="A10" s="660" t="s">
        <v>552</v>
      </c>
      <c r="B10" s="661" t="s">
        <v>553</v>
      </c>
      <c r="C10" s="662" t="s">
        <v>558</v>
      </c>
      <c r="D10" s="663" t="s">
        <v>1750</v>
      </c>
      <c r="E10" s="662" t="s">
        <v>575</v>
      </c>
      <c r="F10" s="663" t="s">
        <v>1754</v>
      </c>
      <c r="G10" s="662" t="s">
        <v>582</v>
      </c>
      <c r="H10" s="662" t="s">
        <v>591</v>
      </c>
      <c r="I10" s="662" t="s">
        <v>592</v>
      </c>
      <c r="J10" s="662" t="s">
        <v>593</v>
      </c>
      <c r="K10" s="662" t="s">
        <v>594</v>
      </c>
      <c r="L10" s="664">
        <v>40.069999999999986</v>
      </c>
      <c r="M10" s="664">
        <v>2</v>
      </c>
      <c r="N10" s="665">
        <v>80.139999999999972</v>
      </c>
    </row>
    <row r="11" spans="1:14" ht="14.4" customHeight="1" x14ac:dyDescent="0.3">
      <c r="A11" s="660" t="s">
        <v>552</v>
      </c>
      <c r="B11" s="661" t="s">
        <v>553</v>
      </c>
      <c r="C11" s="662" t="s">
        <v>558</v>
      </c>
      <c r="D11" s="663" t="s">
        <v>1750</v>
      </c>
      <c r="E11" s="662" t="s">
        <v>575</v>
      </c>
      <c r="F11" s="663" t="s">
        <v>1754</v>
      </c>
      <c r="G11" s="662" t="s">
        <v>582</v>
      </c>
      <c r="H11" s="662" t="s">
        <v>595</v>
      </c>
      <c r="I11" s="662" t="s">
        <v>596</v>
      </c>
      <c r="J11" s="662" t="s">
        <v>597</v>
      </c>
      <c r="K11" s="662" t="s">
        <v>598</v>
      </c>
      <c r="L11" s="664">
        <v>53.749999999999986</v>
      </c>
      <c r="M11" s="664">
        <v>1</v>
      </c>
      <c r="N11" s="665">
        <v>53.749999999999986</v>
      </c>
    </row>
    <row r="12" spans="1:14" ht="14.4" customHeight="1" x14ac:dyDescent="0.3">
      <c r="A12" s="660" t="s">
        <v>552</v>
      </c>
      <c r="B12" s="661" t="s">
        <v>553</v>
      </c>
      <c r="C12" s="662" t="s">
        <v>558</v>
      </c>
      <c r="D12" s="663" t="s">
        <v>1750</v>
      </c>
      <c r="E12" s="662" t="s">
        <v>575</v>
      </c>
      <c r="F12" s="663" t="s">
        <v>1754</v>
      </c>
      <c r="G12" s="662" t="s">
        <v>582</v>
      </c>
      <c r="H12" s="662" t="s">
        <v>599</v>
      </c>
      <c r="I12" s="662" t="s">
        <v>600</v>
      </c>
      <c r="J12" s="662" t="s">
        <v>601</v>
      </c>
      <c r="K12" s="662" t="s">
        <v>602</v>
      </c>
      <c r="L12" s="664">
        <v>87.029999380682938</v>
      </c>
      <c r="M12" s="664">
        <v>2</v>
      </c>
      <c r="N12" s="665">
        <v>174.05999876136588</v>
      </c>
    </row>
    <row r="13" spans="1:14" ht="14.4" customHeight="1" x14ac:dyDescent="0.3">
      <c r="A13" s="660" t="s">
        <v>552</v>
      </c>
      <c r="B13" s="661" t="s">
        <v>553</v>
      </c>
      <c r="C13" s="662" t="s">
        <v>558</v>
      </c>
      <c r="D13" s="663" t="s">
        <v>1750</v>
      </c>
      <c r="E13" s="662" t="s">
        <v>575</v>
      </c>
      <c r="F13" s="663" t="s">
        <v>1754</v>
      </c>
      <c r="G13" s="662" t="s">
        <v>582</v>
      </c>
      <c r="H13" s="662" t="s">
        <v>603</v>
      </c>
      <c r="I13" s="662" t="s">
        <v>604</v>
      </c>
      <c r="J13" s="662" t="s">
        <v>605</v>
      </c>
      <c r="K13" s="662" t="s">
        <v>606</v>
      </c>
      <c r="L13" s="664">
        <v>102.00897359104239</v>
      </c>
      <c r="M13" s="664">
        <v>22</v>
      </c>
      <c r="N13" s="665">
        <v>2244.1974190029327</v>
      </c>
    </row>
    <row r="14" spans="1:14" ht="14.4" customHeight="1" x14ac:dyDescent="0.3">
      <c r="A14" s="660" t="s">
        <v>552</v>
      </c>
      <c r="B14" s="661" t="s">
        <v>553</v>
      </c>
      <c r="C14" s="662" t="s">
        <v>558</v>
      </c>
      <c r="D14" s="663" t="s">
        <v>1750</v>
      </c>
      <c r="E14" s="662" t="s">
        <v>575</v>
      </c>
      <c r="F14" s="663" t="s">
        <v>1754</v>
      </c>
      <c r="G14" s="662" t="s">
        <v>582</v>
      </c>
      <c r="H14" s="662" t="s">
        <v>607</v>
      </c>
      <c r="I14" s="662" t="s">
        <v>608</v>
      </c>
      <c r="J14" s="662" t="s">
        <v>609</v>
      </c>
      <c r="K14" s="662" t="s">
        <v>610</v>
      </c>
      <c r="L14" s="664">
        <v>167.60863507345923</v>
      </c>
      <c r="M14" s="664">
        <v>2</v>
      </c>
      <c r="N14" s="665">
        <v>335.21727014691845</v>
      </c>
    </row>
    <row r="15" spans="1:14" ht="14.4" customHeight="1" x14ac:dyDescent="0.3">
      <c r="A15" s="660" t="s">
        <v>552</v>
      </c>
      <c r="B15" s="661" t="s">
        <v>553</v>
      </c>
      <c r="C15" s="662" t="s">
        <v>558</v>
      </c>
      <c r="D15" s="663" t="s">
        <v>1750</v>
      </c>
      <c r="E15" s="662" t="s">
        <v>575</v>
      </c>
      <c r="F15" s="663" t="s">
        <v>1754</v>
      </c>
      <c r="G15" s="662" t="s">
        <v>582</v>
      </c>
      <c r="H15" s="662" t="s">
        <v>611</v>
      </c>
      <c r="I15" s="662" t="s">
        <v>612</v>
      </c>
      <c r="J15" s="662" t="s">
        <v>613</v>
      </c>
      <c r="K15" s="662" t="s">
        <v>614</v>
      </c>
      <c r="L15" s="664">
        <v>64.564699061717306</v>
      </c>
      <c r="M15" s="664">
        <v>4</v>
      </c>
      <c r="N15" s="665">
        <v>258.25879624686922</v>
      </c>
    </row>
    <row r="16" spans="1:14" ht="14.4" customHeight="1" x14ac:dyDescent="0.3">
      <c r="A16" s="660" t="s">
        <v>552</v>
      </c>
      <c r="B16" s="661" t="s">
        <v>553</v>
      </c>
      <c r="C16" s="662" t="s">
        <v>558</v>
      </c>
      <c r="D16" s="663" t="s">
        <v>1750</v>
      </c>
      <c r="E16" s="662" t="s">
        <v>575</v>
      </c>
      <c r="F16" s="663" t="s">
        <v>1754</v>
      </c>
      <c r="G16" s="662" t="s">
        <v>582</v>
      </c>
      <c r="H16" s="662" t="s">
        <v>615</v>
      </c>
      <c r="I16" s="662" t="s">
        <v>616</v>
      </c>
      <c r="J16" s="662" t="s">
        <v>617</v>
      </c>
      <c r="K16" s="662" t="s">
        <v>618</v>
      </c>
      <c r="L16" s="664">
        <v>79.369476104443976</v>
      </c>
      <c r="M16" s="664">
        <v>1</v>
      </c>
      <c r="N16" s="665">
        <v>79.369476104443976</v>
      </c>
    </row>
    <row r="17" spans="1:14" ht="14.4" customHeight="1" x14ac:dyDescent="0.3">
      <c r="A17" s="660" t="s">
        <v>552</v>
      </c>
      <c r="B17" s="661" t="s">
        <v>553</v>
      </c>
      <c r="C17" s="662" t="s">
        <v>558</v>
      </c>
      <c r="D17" s="663" t="s">
        <v>1750</v>
      </c>
      <c r="E17" s="662" t="s">
        <v>575</v>
      </c>
      <c r="F17" s="663" t="s">
        <v>1754</v>
      </c>
      <c r="G17" s="662" t="s">
        <v>582</v>
      </c>
      <c r="H17" s="662" t="s">
        <v>619</v>
      </c>
      <c r="I17" s="662" t="s">
        <v>620</v>
      </c>
      <c r="J17" s="662" t="s">
        <v>621</v>
      </c>
      <c r="K17" s="662" t="s">
        <v>622</v>
      </c>
      <c r="L17" s="664">
        <v>81.199999999999989</v>
      </c>
      <c r="M17" s="664">
        <v>13</v>
      </c>
      <c r="N17" s="665">
        <v>1055.5999999999999</v>
      </c>
    </row>
    <row r="18" spans="1:14" ht="14.4" customHeight="1" x14ac:dyDescent="0.3">
      <c r="A18" s="660" t="s">
        <v>552</v>
      </c>
      <c r="B18" s="661" t="s">
        <v>553</v>
      </c>
      <c r="C18" s="662" t="s">
        <v>558</v>
      </c>
      <c r="D18" s="663" t="s">
        <v>1750</v>
      </c>
      <c r="E18" s="662" t="s">
        <v>575</v>
      </c>
      <c r="F18" s="663" t="s">
        <v>1754</v>
      </c>
      <c r="G18" s="662" t="s">
        <v>582</v>
      </c>
      <c r="H18" s="662" t="s">
        <v>623</v>
      </c>
      <c r="I18" s="662" t="s">
        <v>624</v>
      </c>
      <c r="J18" s="662" t="s">
        <v>625</v>
      </c>
      <c r="K18" s="662" t="s">
        <v>626</v>
      </c>
      <c r="L18" s="664">
        <v>131.00930643074255</v>
      </c>
      <c r="M18" s="664">
        <v>1</v>
      </c>
      <c r="N18" s="665">
        <v>131.00930643074255</v>
      </c>
    </row>
    <row r="19" spans="1:14" ht="14.4" customHeight="1" x14ac:dyDescent="0.3">
      <c r="A19" s="660" t="s">
        <v>552</v>
      </c>
      <c r="B19" s="661" t="s">
        <v>553</v>
      </c>
      <c r="C19" s="662" t="s">
        <v>558</v>
      </c>
      <c r="D19" s="663" t="s">
        <v>1750</v>
      </c>
      <c r="E19" s="662" t="s">
        <v>575</v>
      </c>
      <c r="F19" s="663" t="s">
        <v>1754</v>
      </c>
      <c r="G19" s="662" t="s">
        <v>582</v>
      </c>
      <c r="H19" s="662" t="s">
        <v>627</v>
      </c>
      <c r="I19" s="662" t="s">
        <v>628</v>
      </c>
      <c r="J19" s="662" t="s">
        <v>629</v>
      </c>
      <c r="K19" s="662" t="s">
        <v>630</v>
      </c>
      <c r="L19" s="664">
        <v>27.749932690444048</v>
      </c>
      <c r="M19" s="664">
        <v>40</v>
      </c>
      <c r="N19" s="665">
        <v>1109.9973076177619</v>
      </c>
    </row>
    <row r="20" spans="1:14" ht="14.4" customHeight="1" x14ac:dyDescent="0.3">
      <c r="A20" s="660" t="s">
        <v>552</v>
      </c>
      <c r="B20" s="661" t="s">
        <v>553</v>
      </c>
      <c r="C20" s="662" t="s">
        <v>558</v>
      </c>
      <c r="D20" s="663" t="s">
        <v>1750</v>
      </c>
      <c r="E20" s="662" t="s">
        <v>575</v>
      </c>
      <c r="F20" s="663" t="s">
        <v>1754</v>
      </c>
      <c r="G20" s="662" t="s">
        <v>582</v>
      </c>
      <c r="H20" s="662" t="s">
        <v>631</v>
      </c>
      <c r="I20" s="662" t="s">
        <v>632</v>
      </c>
      <c r="J20" s="662" t="s">
        <v>633</v>
      </c>
      <c r="K20" s="662" t="s">
        <v>634</v>
      </c>
      <c r="L20" s="664">
        <v>77.695336180221275</v>
      </c>
      <c r="M20" s="664">
        <v>7</v>
      </c>
      <c r="N20" s="665">
        <v>543.86735326154894</v>
      </c>
    </row>
    <row r="21" spans="1:14" ht="14.4" customHeight="1" x14ac:dyDescent="0.3">
      <c r="A21" s="660" t="s">
        <v>552</v>
      </c>
      <c r="B21" s="661" t="s">
        <v>553</v>
      </c>
      <c r="C21" s="662" t="s">
        <v>558</v>
      </c>
      <c r="D21" s="663" t="s">
        <v>1750</v>
      </c>
      <c r="E21" s="662" t="s">
        <v>575</v>
      </c>
      <c r="F21" s="663" t="s">
        <v>1754</v>
      </c>
      <c r="G21" s="662" t="s">
        <v>582</v>
      </c>
      <c r="H21" s="662" t="s">
        <v>635</v>
      </c>
      <c r="I21" s="662" t="s">
        <v>636</v>
      </c>
      <c r="J21" s="662" t="s">
        <v>637</v>
      </c>
      <c r="K21" s="662" t="s">
        <v>638</v>
      </c>
      <c r="L21" s="664">
        <v>59.210000000000029</v>
      </c>
      <c r="M21" s="664">
        <v>1</v>
      </c>
      <c r="N21" s="665">
        <v>59.210000000000029</v>
      </c>
    </row>
    <row r="22" spans="1:14" ht="14.4" customHeight="1" x14ac:dyDescent="0.3">
      <c r="A22" s="660" t="s">
        <v>552</v>
      </c>
      <c r="B22" s="661" t="s">
        <v>553</v>
      </c>
      <c r="C22" s="662" t="s">
        <v>558</v>
      </c>
      <c r="D22" s="663" t="s">
        <v>1750</v>
      </c>
      <c r="E22" s="662" t="s">
        <v>575</v>
      </c>
      <c r="F22" s="663" t="s">
        <v>1754</v>
      </c>
      <c r="G22" s="662" t="s">
        <v>582</v>
      </c>
      <c r="H22" s="662" t="s">
        <v>639</v>
      </c>
      <c r="I22" s="662" t="s">
        <v>640</v>
      </c>
      <c r="J22" s="662" t="s">
        <v>641</v>
      </c>
      <c r="K22" s="662" t="s">
        <v>642</v>
      </c>
      <c r="L22" s="664">
        <v>176.31</v>
      </c>
      <c r="M22" s="664">
        <v>1</v>
      </c>
      <c r="N22" s="665">
        <v>176.31</v>
      </c>
    </row>
    <row r="23" spans="1:14" ht="14.4" customHeight="1" x14ac:dyDescent="0.3">
      <c r="A23" s="660" t="s">
        <v>552</v>
      </c>
      <c r="B23" s="661" t="s">
        <v>553</v>
      </c>
      <c r="C23" s="662" t="s">
        <v>558</v>
      </c>
      <c r="D23" s="663" t="s">
        <v>1750</v>
      </c>
      <c r="E23" s="662" t="s">
        <v>575</v>
      </c>
      <c r="F23" s="663" t="s">
        <v>1754</v>
      </c>
      <c r="G23" s="662" t="s">
        <v>582</v>
      </c>
      <c r="H23" s="662" t="s">
        <v>643</v>
      </c>
      <c r="I23" s="662" t="s">
        <v>644</v>
      </c>
      <c r="J23" s="662" t="s">
        <v>645</v>
      </c>
      <c r="K23" s="662" t="s">
        <v>646</v>
      </c>
      <c r="L23" s="664">
        <v>50.594999119656251</v>
      </c>
      <c r="M23" s="664">
        <v>2</v>
      </c>
      <c r="N23" s="665">
        <v>101.1899982393125</v>
      </c>
    </row>
    <row r="24" spans="1:14" ht="14.4" customHeight="1" x14ac:dyDescent="0.3">
      <c r="A24" s="660" t="s">
        <v>552</v>
      </c>
      <c r="B24" s="661" t="s">
        <v>553</v>
      </c>
      <c r="C24" s="662" t="s">
        <v>558</v>
      </c>
      <c r="D24" s="663" t="s">
        <v>1750</v>
      </c>
      <c r="E24" s="662" t="s">
        <v>575</v>
      </c>
      <c r="F24" s="663" t="s">
        <v>1754</v>
      </c>
      <c r="G24" s="662" t="s">
        <v>582</v>
      </c>
      <c r="H24" s="662" t="s">
        <v>647</v>
      </c>
      <c r="I24" s="662" t="s">
        <v>648</v>
      </c>
      <c r="J24" s="662" t="s">
        <v>649</v>
      </c>
      <c r="K24" s="662" t="s">
        <v>650</v>
      </c>
      <c r="L24" s="664">
        <v>66.150000000000006</v>
      </c>
      <c r="M24" s="664">
        <v>13</v>
      </c>
      <c r="N24" s="665">
        <v>859.95</v>
      </c>
    </row>
    <row r="25" spans="1:14" ht="14.4" customHeight="1" x14ac:dyDescent="0.3">
      <c r="A25" s="660" t="s">
        <v>552</v>
      </c>
      <c r="B25" s="661" t="s">
        <v>553</v>
      </c>
      <c r="C25" s="662" t="s">
        <v>558</v>
      </c>
      <c r="D25" s="663" t="s">
        <v>1750</v>
      </c>
      <c r="E25" s="662" t="s">
        <v>575</v>
      </c>
      <c r="F25" s="663" t="s">
        <v>1754</v>
      </c>
      <c r="G25" s="662" t="s">
        <v>582</v>
      </c>
      <c r="H25" s="662" t="s">
        <v>651</v>
      </c>
      <c r="I25" s="662" t="s">
        <v>652</v>
      </c>
      <c r="J25" s="662" t="s">
        <v>653</v>
      </c>
      <c r="K25" s="662" t="s">
        <v>654</v>
      </c>
      <c r="L25" s="664">
        <v>58.319558406944168</v>
      </c>
      <c r="M25" s="664">
        <v>4</v>
      </c>
      <c r="N25" s="665">
        <v>233.27823362777667</v>
      </c>
    </row>
    <row r="26" spans="1:14" ht="14.4" customHeight="1" x14ac:dyDescent="0.3">
      <c r="A26" s="660" t="s">
        <v>552</v>
      </c>
      <c r="B26" s="661" t="s">
        <v>553</v>
      </c>
      <c r="C26" s="662" t="s">
        <v>558</v>
      </c>
      <c r="D26" s="663" t="s">
        <v>1750</v>
      </c>
      <c r="E26" s="662" t="s">
        <v>575</v>
      </c>
      <c r="F26" s="663" t="s">
        <v>1754</v>
      </c>
      <c r="G26" s="662" t="s">
        <v>582</v>
      </c>
      <c r="H26" s="662" t="s">
        <v>655</v>
      </c>
      <c r="I26" s="662" t="s">
        <v>656</v>
      </c>
      <c r="J26" s="662" t="s">
        <v>657</v>
      </c>
      <c r="K26" s="662" t="s">
        <v>658</v>
      </c>
      <c r="L26" s="664">
        <v>360.48799999999994</v>
      </c>
      <c r="M26" s="664">
        <v>10</v>
      </c>
      <c r="N26" s="665">
        <v>3604.8799999999997</v>
      </c>
    </row>
    <row r="27" spans="1:14" ht="14.4" customHeight="1" x14ac:dyDescent="0.3">
      <c r="A27" s="660" t="s">
        <v>552</v>
      </c>
      <c r="B27" s="661" t="s">
        <v>553</v>
      </c>
      <c r="C27" s="662" t="s">
        <v>558</v>
      </c>
      <c r="D27" s="663" t="s">
        <v>1750</v>
      </c>
      <c r="E27" s="662" t="s">
        <v>575</v>
      </c>
      <c r="F27" s="663" t="s">
        <v>1754</v>
      </c>
      <c r="G27" s="662" t="s">
        <v>582</v>
      </c>
      <c r="H27" s="662" t="s">
        <v>659</v>
      </c>
      <c r="I27" s="662" t="s">
        <v>660</v>
      </c>
      <c r="J27" s="662" t="s">
        <v>661</v>
      </c>
      <c r="K27" s="662" t="s">
        <v>662</v>
      </c>
      <c r="L27" s="664">
        <v>57.72981970144253</v>
      </c>
      <c r="M27" s="664">
        <v>14</v>
      </c>
      <c r="N27" s="665">
        <v>808.21747582019543</v>
      </c>
    </row>
    <row r="28" spans="1:14" ht="14.4" customHeight="1" x14ac:dyDescent="0.3">
      <c r="A28" s="660" t="s">
        <v>552</v>
      </c>
      <c r="B28" s="661" t="s">
        <v>553</v>
      </c>
      <c r="C28" s="662" t="s">
        <v>558</v>
      </c>
      <c r="D28" s="663" t="s">
        <v>1750</v>
      </c>
      <c r="E28" s="662" t="s">
        <v>575</v>
      </c>
      <c r="F28" s="663" t="s">
        <v>1754</v>
      </c>
      <c r="G28" s="662" t="s">
        <v>582</v>
      </c>
      <c r="H28" s="662" t="s">
        <v>663</v>
      </c>
      <c r="I28" s="662" t="s">
        <v>664</v>
      </c>
      <c r="J28" s="662" t="s">
        <v>665</v>
      </c>
      <c r="K28" s="662" t="s">
        <v>666</v>
      </c>
      <c r="L28" s="664">
        <v>62.193187773674062</v>
      </c>
      <c r="M28" s="664">
        <v>9</v>
      </c>
      <c r="N28" s="665">
        <v>559.73868996306658</v>
      </c>
    </row>
    <row r="29" spans="1:14" ht="14.4" customHeight="1" x14ac:dyDescent="0.3">
      <c r="A29" s="660" t="s">
        <v>552</v>
      </c>
      <c r="B29" s="661" t="s">
        <v>553</v>
      </c>
      <c r="C29" s="662" t="s">
        <v>558</v>
      </c>
      <c r="D29" s="663" t="s">
        <v>1750</v>
      </c>
      <c r="E29" s="662" t="s">
        <v>575</v>
      </c>
      <c r="F29" s="663" t="s">
        <v>1754</v>
      </c>
      <c r="G29" s="662" t="s">
        <v>582</v>
      </c>
      <c r="H29" s="662" t="s">
        <v>667</v>
      </c>
      <c r="I29" s="662" t="s">
        <v>668</v>
      </c>
      <c r="J29" s="662" t="s">
        <v>669</v>
      </c>
      <c r="K29" s="662" t="s">
        <v>670</v>
      </c>
      <c r="L29" s="664">
        <v>248.70000000000005</v>
      </c>
      <c r="M29" s="664">
        <v>2</v>
      </c>
      <c r="N29" s="665">
        <v>497.40000000000009</v>
      </c>
    </row>
    <row r="30" spans="1:14" ht="14.4" customHeight="1" x14ac:dyDescent="0.3">
      <c r="A30" s="660" t="s">
        <v>552</v>
      </c>
      <c r="B30" s="661" t="s">
        <v>553</v>
      </c>
      <c r="C30" s="662" t="s">
        <v>558</v>
      </c>
      <c r="D30" s="663" t="s">
        <v>1750</v>
      </c>
      <c r="E30" s="662" t="s">
        <v>575</v>
      </c>
      <c r="F30" s="663" t="s">
        <v>1754</v>
      </c>
      <c r="G30" s="662" t="s">
        <v>582</v>
      </c>
      <c r="H30" s="662" t="s">
        <v>671</v>
      </c>
      <c r="I30" s="662" t="s">
        <v>672</v>
      </c>
      <c r="J30" s="662" t="s">
        <v>673</v>
      </c>
      <c r="K30" s="662" t="s">
        <v>674</v>
      </c>
      <c r="L30" s="664">
        <v>43.19</v>
      </c>
      <c r="M30" s="664">
        <v>2</v>
      </c>
      <c r="N30" s="665">
        <v>86.38</v>
      </c>
    </row>
    <row r="31" spans="1:14" ht="14.4" customHeight="1" x14ac:dyDescent="0.3">
      <c r="A31" s="660" t="s">
        <v>552</v>
      </c>
      <c r="B31" s="661" t="s">
        <v>553</v>
      </c>
      <c r="C31" s="662" t="s">
        <v>558</v>
      </c>
      <c r="D31" s="663" t="s">
        <v>1750</v>
      </c>
      <c r="E31" s="662" t="s">
        <v>575</v>
      </c>
      <c r="F31" s="663" t="s">
        <v>1754</v>
      </c>
      <c r="G31" s="662" t="s">
        <v>582</v>
      </c>
      <c r="H31" s="662" t="s">
        <v>675</v>
      </c>
      <c r="I31" s="662" t="s">
        <v>675</v>
      </c>
      <c r="J31" s="662" t="s">
        <v>676</v>
      </c>
      <c r="K31" s="662" t="s">
        <v>677</v>
      </c>
      <c r="L31" s="664">
        <v>36.552857142857142</v>
      </c>
      <c r="M31" s="664">
        <v>14</v>
      </c>
      <c r="N31" s="665">
        <v>511.74</v>
      </c>
    </row>
    <row r="32" spans="1:14" ht="14.4" customHeight="1" x14ac:dyDescent="0.3">
      <c r="A32" s="660" t="s">
        <v>552</v>
      </c>
      <c r="B32" s="661" t="s">
        <v>553</v>
      </c>
      <c r="C32" s="662" t="s">
        <v>558</v>
      </c>
      <c r="D32" s="663" t="s">
        <v>1750</v>
      </c>
      <c r="E32" s="662" t="s">
        <v>575</v>
      </c>
      <c r="F32" s="663" t="s">
        <v>1754</v>
      </c>
      <c r="G32" s="662" t="s">
        <v>582</v>
      </c>
      <c r="H32" s="662" t="s">
        <v>678</v>
      </c>
      <c r="I32" s="662" t="s">
        <v>679</v>
      </c>
      <c r="J32" s="662" t="s">
        <v>680</v>
      </c>
      <c r="K32" s="662" t="s">
        <v>681</v>
      </c>
      <c r="L32" s="664">
        <v>227.78283280416599</v>
      </c>
      <c r="M32" s="664">
        <v>3</v>
      </c>
      <c r="N32" s="665">
        <v>683.34849841249797</v>
      </c>
    </row>
    <row r="33" spans="1:14" ht="14.4" customHeight="1" x14ac:dyDescent="0.3">
      <c r="A33" s="660" t="s">
        <v>552</v>
      </c>
      <c r="B33" s="661" t="s">
        <v>553</v>
      </c>
      <c r="C33" s="662" t="s">
        <v>558</v>
      </c>
      <c r="D33" s="663" t="s">
        <v>1750</v>
      </c>
      <c r="E33" s="662" t="s">
        <v>575</v>
      </c>
      <c r="F33" s="663" t="s">
        <v>1754</v>
      </c>
      <c r="G33" s="662" t="s">
        <v>582</v>
      </c>
      <c r="H33" s="662" t="s">
        <v>682</v>
      </c>
      <c r="I33" s="662" t="s">
        <v>683</v>
      </c>
      <c r="J33" s="662" t="s">
        <v>684</v>
      </c>
      <c r="K33" s="662" t="s">
        <v>685</v>
      </c>
      <c r="L33" s="664">
        <v>181.91333333333333</v>
      </c>
      <c r="M33" s="664">
        <v>3</v>
      </c>
      <c r="N33" s="665">
        <v>545.74</v>
      </c>
    </row>
    <row r="34" spans="1:14" ht="14.4" customHeight="1" x14ac:dyDescent="0.3">
      <c r="A34" s="660" t="s">
        <v>552</v>
      </c>
      <c r="B34" s="661" t="s">
        <v>553</v>
      </c>
      <c r="C34" s="662" t="s">
        <v>558</v>
      </c>
      <c r="D34" s="663" t="s">
        <v>1750</v>
      </c>
      <c r="E34" s="662" t="s">
        <v>575</v>
      </c>
      <c r="F34" s="663" t="s">
        <v>1754</v>
      </c>
      <c r="G34" s="662" t="s">
        <v>582</v>
      </c>
      <c r="H34" s="662" t="s">
        <v>686</v>
      </c>
      <c r="I34" s="662" t="s">
        <v>687</v>
      </c>
      <c r="J34" s="662" t="s">
        <v>688</v>
      </c>
      <c r="K34" s="662" t="s">
        <v>689</v>
      </c>
      <c r="L34" s="664">
        <v>158.02000000000001</v>
      </c>
      <c r="M34" s="664">
        <v>2</v>
      </c>
      <c r="N34" s="665">
        <v>316.04000000000002</v>
      </c>
    </row>
    <row r="35" spans="1:14" ht="14.4" customHeight="1" x14ac:dyDescent="0.3">
      <c r="A35" s="660" t="s">
        <v>552</v>
      </c>
      <c r="B35" s="661" t="s">
        <v>553</v>
      </c>
      <c r="C35" s="662" t="s">
        <v>558</v>
      </c>
      <c r="D35" s="663" t="s">
        <v>1750</v>
      </c>
      <c r="E35" s="662" t="s">
        <v>575</v>
      </c>
      <c r="F35" s="663" t="s">
        <v>1754</v>
      </c>
      <c r="G35" s="662" t="s">
        <v>582</v>
      </c>
      <c r="H35" s="662" t="s">
        <v>690</v>
      </c>
      <c r="I35" s="662" t="s">
        <v>691</v>
      </c>
      <c r="J35" s="662" t="s">
        <v>692</v>
      </c>
      <c r="K35" s="662" t="s">
        <v>693</v>
      </c>
      <c r="L35" s="664">
        <v>117.7000000000001</v>
      </c>
      <c r="M35" s="664">
        <v>1</v>
      </c>
      <c r="N35" s="665">
        <v>117.7000000000001</v>
      </c>
    </row>
    <row r="36" spans="1:14" ht="14.4" customHeight="1" x14ac:dyDescent="0.3">
      <c r="A36" s="660" t="s">
        <v>552</v>
      </c>
      <c r="B36" s="661" t="s">
        <v>553</v>
      </c>
      <c r="C36" s="662" t="s">
        <v>558</v>
      </c>
      <c r="D36" s="663" t="s">
        <v>1750</v>
      </c>
      <c r="E36" s="662" t="s">
        <v>575</v>
      </c>
      <c r="F36" s="663" t="s">
        <v>1754</v>
      </c>
      <c r="G36" s="662" t="s">
        <v>582</v>
      </c>
      <c r="H36" s="662" t="s">
        <v>694</v>
      </c>
      <c r="I36" s="662" t="s">
        <v>694</v>
      </c>
      <c r="J36" s="662" t="s">
        <v>695</v>
      </c>
      <c r="K36" s="662" t="s">
        <v>696</v>
      </c>
      <c r="L36" s="664">
        <v>67.117894070465397</v>
      </c>
      <c r="M36" s="664">
        <v>5</v>
      </c>
      <c r="N36" s="665">
        <v>335.589470352327</v>
      </c>
    </row>
    <row r="37" spans="1:14" ht="14.4" customHeight="1" x14ac:dyDescent="0.3">
      <c r="A37" s="660" t="s">
        <v>552</v>
      </c>
      <c r="B37" s="661" t="s">
        <v>553</v>
      </c>
      <c r="C37" s="662" t="s">
        <v>558</v>
      </c>
      <c r="D37" s="663" t="s">
        <v>1750</v>
      </c>
      <c r="E37" s="662" t="s">
        <v>575</v>
      </c>
      <c r="F37" s="663" t="s">
        <v>1754</v>
      </c>
      <c r="G37" s="662" t="s">
        <v>582</v>
      </c>
      <c r="H37" s="662" t="s">
        <v>697</v>
      </c>
      <c r="I37" s="662" t="s">
        <v>698</v>
      </c>
      <c r="J37" s="662" t="s">
        <v>699</v>
      </c>
      <c r="K37" s="662" t="s">
        <v>700</v>
      </c>
      <c r="L37" s="664">
        <v>329.98547001820884</v>
      </c>
      <c r="M37" s="664">
        <v>6</v>
      </c>
      <c r="N37" s="665">
        <v>1979.9128201092531</v>
      </c>
    </row>
    <row r="38" spans="1:14" ht="14.4" customHeight="1" x14ac:dyDescent="0.3">
      <c r="A38" s="660" t="s">
        <v>552</v>
      </c>
      <c r="B38" s="661" t="s">
        <v>553</v>
      </c>
      <c r="C38" s="662" t="s">
        <v>558</v>
      </c>
      <c r="D38" s="663" t="s">
        <v>1750</v>
      </c>
      <c r="E38" s="662" t="s">
        <v>575</v>
      </c>
      <c r="F38" s="663" t="s">
        <v>1754</v>
      </c>
      <c r="G38" s="662" t="s">
        <v>582</v>
      </c>
      <c r="H38" s="662" t="s">
        <v>701</v>
      </c>
      <c r="I38" s="662" t="s">
        <v>702</v>
      </c>
      <c r="J38" s="662" t="s">
        <v>703</v>
      </c>
      <c r="K38" s="662" t="s">
        <v>700</v>
      </c>
      <c r="L38" s="664">
        <v>343.59577171313612</v>
      </c>
      <c r="M38" s="664">
        <v>5</v>
      </c>
      <c r="N38" s="665">
        <v>1717.9788585656806</v>
      </c>
    </row>
    <row r="39" spans="1:14" ht="14.4" customHeight="1" x14ac:dyDescent="0.3">
      <c r="A39" s="660" t="s">
        <v>552</v>
      </c>
      <c r="B39" s="661" t="s">
        <v>553</v>
      </c>
      <c r="C39" s="662" t="s">
        <v>558</v>
      </c>
      <c r="D39" s="663" t="s">
        <v>1750</v>
      </c>
      <c r="E39" s="662" t="s">
        <v>575</v>
      </c>
      <c r="F39" s="663" t="s">
        <v>1754</v>
      </c>
      <c r="G39" s="662" t="s">
        <v>582</v>
      </c>
      <c r="H39" s="662" t="s">
        <v>704</v>
      </c>
      <c r="I39" s="662" t="s">
        <v>705</v>
      </c>
      <c r="J39" s="662" t="s">
        <v>706</v>
      </c>
      <c r="K39" s="662" t="s">
        <v>707</v>
      </c>
      <c r="L39" s="664">
        <v>51.099503541317496</v>
      </c>
      <c r="M39" s="664">
        <v>1</v>
      </c>
      <c r="N39" s="665">
        <v>51.099503541317496</v>
      </c>
    </row>
    <row r="40" spans="1:14" ht="14.4" customHeight="1" x14ac:dyDescent="0.3">
      <c r="A40" s="660" t="s">
        <v>552</v>
      </c>
      <c r="B40" s="661" t="s">
        <v>553</v>
      </c>
      <c r="C40" s="662" t="s">
        <v>558</v>
      </c>
      <c r="D40" s="663" t="s">
        <v>1750</v>
      </c>
      <c r="E40" s="662" t="s">
        <v>575</v>
      </c>
      <c r="F40" s="663" t="s">
        <v>1754</v>
      </c>
      <c r="G40" s="662" t="s">
        <v>582</v>
      </c>
      <c r="H40" s="662" t="s">
        <v>708</v>
      </c>
      <c r="I40" s="662" t="s">
        <v>709</v>
      </c>
      <c r="J40" s="662" t="s">
        <v>710</v>
      </c>
      <c r="K40" s="662" t="s">
        <v>711</v>
      </c>
      <c r="L40" s="664">
        <v>331.02648108362655</v>
      </c>
      <c r="M40" s="664">
        <v>2</v>
      </c>
      <c r="N40" s="665">
        <v>662.0529621672531</v>
      </c>
    </row>
    <row r="41" spans="1:14" ht="14.4" customHeight="1" x14ac:dyDescent="0.3">
      <c r="A41" s="660" t="s">
        <v>552</v>
      </c>
      <c r="B41" s="661" t="s">
        <v>553</v>
      </c>
      <c r="C41" s="662" t="s">
        <v>558</v>
      </c>
      <c r="D41" s="663" t="s">
        <v>1750</v>
      </c>
      <c r="E41" s="662" t="s">
        <v>575</v>
      </c>
      <c r="F41" s="663" t="s">
        <v>1754</v>
      </c>
      <c r="G41" s="662" t="s">
        <v>582</v>
      </c>
      <c r="H41" s="662" t="s">
        <v>712</v>
      </c>
      <c r="I41" s="662" t="s">
        <v>713</v>
      </c>
      <c r="J41" s="662" t="s">
        <v>714</v>
      </c>
      <c r="K41" s="662" t="s">
        <v>715</v>
      </c>
      <c r="L41" s="664">
        <v>87.059999999999931</v>
      </c>
      <c r="M41" s="664">
        <v>2</v>
      </c>
      <c r="N41" s="665">
        <v>174.11999999999986</v>
      </c>
    </row>
    <row r="42" spans="1:14" ht="14.4" customHeight="1" x14ac:dyDescent="0.3">
      <c r="A42" s="660" t="s">
        <v>552</v>
      </c>
      <c r="B42" s="661" t="s">
        <v>553</v>
      </c>
      <c r="C42" s="662" t="s">
        <v>558</v>
      </c>
      <c r="D42" s="663" t="s">
        <v>1750</v>
      </c>
      <c r="E42" s="662" t="s">
        <v>575</v>
      </c>
      <c r="F42" s="663" t="s">
        <v>1754</v>
      </c>
      <c r="G42" s="662" t="s">
        <v>582</v>
      </c>
      <c r="H42" s="662" t="s">
        <v>716</v>
      </c>
      <c r="I42" s="662" t="s">
        <v>717</v>
      </c>
      <c r="J42" s="662" t="s">
        <v>661</v>
      </c>
      <c r="K42" s="662" t="s">
        <v>718</v>
      </c>
      <c r="L42" s="664">
        <v>21.51</v>
      </c>
      <c r="M42" s="664">
        <v>3</v>
      </c>
      <c r="N42" s="665">
        <v>64.53</v>
      </c>
    </row>
    <row r="43" spans="1:14" ht="14.4" customHeight="1" x14ac:dyDescent="0.3">
      <c r="A43" s="660" t="s">
        <v>552</v>
      </c>
      <c r="B43" s="661" t="s">
        <v>553</v>
      </c>
      <c r="C43" s="662" t="s">
        <v>558</v>
      </c>
      <c r="D43" s="663" t="s">
        <v>1750</v>
      </c>
      <c r="E43" s="662" t="s">
        <v>575</v>
      </c>
      <c r="F43" s="663" t="s">
        <v>1754</v>
      </c>
      <c r="G43" s="662" t="s">
        <v>582</v>
      </c>
      <c r="H43" s="662" t="s">
        <v>719</v>
      </c>
      <c r="I43" s="662" t="s">
        <v>720</v>
      </c>
      <c r="J43" s="662" t="s">
        <v>721</v>
      </c>
      <c r="K43" s="662" t="s">
        <v>722</v>
      </c>
      <c r="L43" s="664">
        <v>73.701944969149196</v>
      </c>
      <c r="M43" s="664">
        <v>10</v>
      </c>
      <c r="N43" s="665">
        <v>737.0194496914919</v>
      </c>
    </row>
    <row r="44" spans="1:14" ht="14.4" customHeight="1" x14ac:dyDescent="0.3">
      <c r="A44" s="660" t="s">
        <v>552</v>
      </c>
      <c r="B44" s="661" t="s">
        <v>553</v>
      </c>
      <c r="C44" s="662" t="s">
        <v>558</v>
      </c>
      <c r="D44" s="663" t="s">
        <v>1750</v>
      </c>
      <c r="E44" s="662" t="s">
        <v>575</v>
      </c>
      <c r="F44" s="663" t="s">
        <v>1754</v>
      </c>
      <c r="G44" s="662" t="s">
        <v>582</v>
      </c>
      <c r="H44" s="662" t="s">
        <v>723</v>
      </c>
      <c r="I44" s="662" t="s">
        <v>724</v>
      </c>
      <c r="J44" s="662" t="s">
        <v>725</v>
      </c>
      <c r="K44" s="662" t="s">
        <v>726</v>
      </c>
      <c r="L44" s="664">
        <v>150.47969364276318</v>
      </c>
      <c r="M44" s="664">
        <v>12</v>
      </c>
      <c r="N44" s="665">
        <v>1805.7563237131581</v>
      </c>
    </row>
    <row r="45" spans="1:14" ht="14.4" customHeight="1" x14ac:dyDescent="0.3">
      <c r="A45" s="660" t="s">
        <v>552</v>
      </c>
      <c r="B45" s="661" t="s">
        <v>553</v>
      </c>
      <c r="C45" s="662" t="s">
        <v>558</v>
      </c>
      <c r="D45" s="663" t="s">
        <v>1750</v>
      </c>
      <c r="E45" s="662" t="s">
        <v>575</v>
      </c>
      <c r="F45" s="663" t="s">
        <v>1754</v>
      </c>
      <c r="G45" s="662" t="s">
        <v>582</v>
      </c>
      <c r="H45" s="662" t="s">
        <v>727</v>
      </c>
      <c r="I45" s="662" t="s">
        <v>728</v>
      </c>
      <c r="J45" s="662" t="s">
        <v>729</v>
      </c>
      <c r="K45" s="662" t="s">
        <v>730</v>
      </c>
      <c r="L45" s="664">
        <v>100.11999999999992</v>
      </c>
      <c r="M45" s="664">
        <v>1</v>
      </c>
      <c r="N45" s="665">
        <v>100.11999999999992</v>
      </c>
    </row>
    <row r="46" spans="1:14" ht="14.4" customHeight="1" x14ac:dyDescent="0.3">
      <c r="A46" s="660" t="s">
        <v>552</v>
      </c>
      <c r="B46" s="661" t="s">
        <v>553</v>
      </c>
      <c r="C46" s="662" t="s">
        <v>558</v>
      </c>
      <c r="D46" s="663" t="s">
        <v>1750</v>
      </c>
      <c r="E46" s="662" t="s">
        <v>575</v>
      </c>
      <c r="F46" s="663" t="s">
        <v>1754</v>
      </c>
      <c r="G46" s="662" t="s">
        <v>582</v>
      </c>
      <c r="H46" s="662" t="s">
        <v>731</v>
      </c>
      <c r="I46" s="662" t="s">
        <v>732</v>
      </c>
      <c r="J46" s="662" t="s">
        <v>733</v>
      </c>
      <c r="K46" s="662" t="s">
        <v>734</v>
      </c>
      <c r="L46" s="664">
        <v>115.46938869977744</v>
      </c>
      <c r="M46" s="664">
        <v>1</v>
      </c>
      <c r="N46" s="665">
        <v>115.46938869977744</v>
      </c>
    </row>
    <row r="47" spans="1:14" ht="14.4" customHeight="1" x14ac:dyDescent="0.3">
      <c r="A47" s="660" t="s">
        <v>552</v>
      </c>
      <c r="B47" s="661" t="s">
        <v>553</v>
      </c>
      <c r="C47" s="662" t="s">
        <v>558</v>
      </c>
      <c r="D47" s="663" t="s">
        <v>1750</v>
      </c>
      <c r="E47" s="662" t="s">
        <v>575</v>
      </c>
      <c r="F47" s="663" t="s">
        <v>1754</v>
      </c>
      <c r="G47" s="662" t="s">
        <v>582</v>
      </c>
      <c r="H47" s="662" t="s">
        <v>735</v>
      </c>
      <c r="I47" s="662" t="s">
        <v>736</v>
      </c>
      <c r="J47" s="662" t="s">
        <v>737</v>
      </c>
      <c r="K47" s="662" t="s">
        <v>738</v>
      </c>
      <c r="L47" s="664">
        <v>124.20003673331405</v>
      </c>
      <c r="M47" s="664">
        <v>3</v>
      </c>
      <c r="N47" s="665">
        <v>372.60011019994215</v>
      </c>
    </row>
    <row r="48" spans="1:14" ht="14.4" customHeight="1" x14ac:dyDescent="0.3">
      <c r="A48" s="660" t="s">
        <v>552</v>
      </c>
      <c r="B48" s="661" t="s">
        <v>553</v>
      </c>
      <c r="C48" s="662" t="s">
        <v>558</v>
      </c>
      <c r="D48" s="663" t="s">
        <v>1750</v>
      </c>
      <c r="E48" s="662" t="s">
        <v>575</v>
      </c>
      <c r="F48" s="663" t="s">
        <v>1754</v>
      </c>
      <c r="G48" s="662" t="s">
        <v>582</v>
      </c>
      <c r="H48" s="662" t="s">
        <v>739</v>
      </c>
      <c r="I48" s="662" t="s">
        <v>740</v>
      </c>
      <c r="J48" s="662" t="s">
        <v>741</v>
      </c>
      <c r="K48" s="662" t="s">
        <v>742</v>
      </c>
      <c r="L48" s="664">
        <v>137.78499999999997</v>
      </c>
      <c r="M48" s="664">
        <v>12</v>
      </c>
      <c r="N48" s="665">
        <v>1653.4199999999996</v>
      </c>
    </row>
    <row r="49" spans="1:14" ht="14.4" customHeight="1" x14ac:dyDescent="0.3">
      <c r="A49" s="660" t="s">
        <v>552</v>
      </c>
      <c r="B49" s="661" t="s">
        <v>553</v>
      </c>
      <c r="C49" s="662" t="s">
        <v>558</v>
      </c>
      <c r="D49" s="663" t="s">
        <v>1750</v>
      </c>
      <c r="E49" s="662" t="s">
        <v>575</v>
      </c>
      <c r="F49" s="663" t="s">
        <v>1754</v>
      </c>
      <c r="G49" s="662" t="s">
        <v>582</v>
      </c>
      <c r="H49" s="662" t="s">
        <v>743</v>
      </c>
      <c r="I49" s="662" t="s">
        <v>744</v>
      </c>
      <c r="J49" s="662" t="s">
        <v>745</v>
      </c>
      <c r="K49" s="662" t="s">
        <v>746</v>
      </c>
      <c r="L49" s="664">
        <v>81.07975263655743</v>
      </c>
      <c r="M49" s="664">
        <v>1</v>
      </c>
      <c r="N49" s="665">
        <v>81.07975263655743</v>
      </c>
    </row>
    <row r="50" spans="1:14" ht="14.4" customHeight="1" x14ac:dyDescent="0.3">
      <c r="A50" s="660" t="s">
        <v>552</v>
      </c>
      <c r="B50" s="661" t="s">
        <v>553</v>
      </c>
      <c r="C50" s="662" t="s">
        <v>558</v>
      </c>
      <c r="D50" s="663" t="s">
        <v>1750</v>
      </c>
      <c r="E50" s="662" t="s">
        <v>575</v>
      </c>
      <c r="F50" s="663" t="s">
        <v>1754</v>
      </c>
      <c r="G50" s="662" t="s">
        <v>582</v>
      </c>
      <c r="H50" s="662" t="s">
        <v>747</v>
      </c>
      <c r="I50" s="662" t="s">
        <v>748</v>
      </c>
      <c r="J50" s="662" t="s">
        <v>749</v>
      </c>
      <c r="K50" s="662" t="s">
        <v>750</v>
      </c>
      <c r="L50" s="664">
        <v>127.94806235145765</v>
      </c>
      <c r="M50" s="664">
        <v>1</v>
      </c>
      <c r="N50" s="665">
        <v>127.94806235145765</v>
      </c>
    </row>
    <row r="51" spans="1:14" ht="14.4" customHeight="1" x14ac:dyDescent="0.3">
      <c r="A51" s="660" t="s">
        <v>552</v>
      </c>
      <c r="B51" s="661" t="s">
        <v>553</v>
      </c>
      <c r="C51" s="662" t="s">
        <v>558</v>
      </c>
      <c r="D51" s="663" t="s">
        <v>1750</v>
      </c>
      <c r="E51" s="662" t="s">
        <v>575</v>
      </c>
      <c r="F51" s="663" t="s">
        <v>1754</v>
      </c>
      <c r="G51" s="662" t="s">
        <v>582</v>
      </c>
      <c r="H51" s="662" t="s">
        <v>751</v>
      </c>
      <c r="I51" s="662" t="s">
        <v>752</v>
      </c>
      <c r="J51" s="662" t="s">
        <v>753</v>
      </c>
      <c r="K51" s="662" t="s">
        <v>754</v>
      </c>
      <c r="L51" s="664">
        <v>88.460149231012181</v>
      </c>
      <c r="M51" s="664">
        <v>3</v>
      </c>
      <c r="N51" s="665">
        <v>265.38044769303656</v>
      </c>
    </row>
    <row r="52" spans="1:14" ht="14.4" customHeight="1" x14ac:dyDescent="0.3">
      <c r="A52" s="660" t="s">
        <v>552</v>
      </c>
      <c r="B52" s="661" t="s">
        <v>553</v>
      </c>
      <c r="C52" s="662" t="s">
        <v>558</v>
      </c>
      <c r="D52" s="663" t="s">
        <v>1750</v>
      </c>
      <c r="E52" s="662" t="s">
        <v>575</v>
      </c>
      <c r="F52" s="663" t="s">
        <v>1754</v>
      </c>
      <c r="G52" s="662" t="s">
        <v>582</v>
      </c>
      <c r="H52" s="662" t="s">
        <v>755</v>
      </c>
      <c r="I52" s="662" t="s">
        <v>756</v>
      </c>
      <c r="J52" s="662" t="s">
        <v>757</v>
      </c>
      <c r="K52" s="662" t="s">
        <v>758</v>
      </c>
      <c r="L52" s="664">
        <v>292.46999999999974</v>
      </c>
      <c r="M52" s="664">
        <v>1</v>
      </c>
      <c r="N52" s="665">
        <v>292.46999999999974</v>
      </c>
    </row>
    <row r="53" spans="1:14" ht="14.4" customHeight="1" x14ac:dyDescent="0.3">
      <c r="A53" s="660" t="s">
        <v>552</v>
      </c>
      <c r="B53" s="661" t="s">
        <v>553</v>
      </c>
      <c r="C53" s="662" t="s">
        <v>558</v>
      </c>
      <c r="D53" s="663" t="s">
        <v>1750</v>
      </c>
      <c r="E53" s="662" t="s">
        <v>575</v>
      </c>
      <c r="F53" s="663" t="s">
        <v>1754</v>
      </c>
      <c r="G53" s="662" t="s">
        <v>582</v>
      </c>
      <c r="H53" s="662" t="s">
        <v>759</v>
      </c>
      <c r="I53" s="662" t="s">
        <v>760</v>
      </c>
      <c r="J53" s="662" t="s">
        <v>761</v>
      </c>
      <c r="K53" s="662" t="s">
        <v>762</v>
      </c>
      <c r="L53" s="664">
        <v>375.80000139567932</v>
      </c>
      <c r="M53" s="664">
        <v>10</v>
      </c>
      <c r="N53" s="665">
        <v>3758.0000139567933</v>
      </c>
    </row>
    <row r="54" spans="1:14" ht="14.4" customHeight="1" x14ac:dyDescent="0.3">
      <c r="A54" s="660" t="s">
        <v>552</v>
      </c>
      <c r="B54" s="661" t="s">
        <v>553</v>
      </c>
      <c r="C54" s="662" t="s">
        <v>558</v>
      </c>
      <c r="D54" s="663" t="s">
        <v>1750</v>
      </c>
      <c r="E54" s="662" t="s">
        <v>575</v>
      </c>
      <c r="F54" s="663" t="s">
        <v>1754</v>
      </c>
      <c r="G54" s="662" t="s">
        <v>582</v>
      </c>
      <c r="H54" s="662" t="s">
        <v>763</v>
      </c>
      <c r="I54" s="662" t="s">
        <v>764</v>
      </c>
      <c r="J54" s="662" t="s">
        <v>765</v>
      </c>
      <c r="K54" s="662" t="s">
        <v>766</v>
      </c>
      <c r="L54" s="664">
        <v>163.595</v>
      </c>
      <c r="M54" s="664">
        <v>4</v>
      </c>
      <c r="N54" s="665">
        <v>654.38</v>
      </c>
    </row>
    <row r="55" spans="1:14" ht="14.4" customHeight="1" x14ac:dyDescent="0.3">
      <c r="A55" s="660" t="s">
        <v>552</v>
      </c>
      <c r="B55" s="661" t="s">
        <v>553</v>
      </c>
      <c r="C55" s="662" t="s">
        <v>558</v>
      </c>
      <c r="D55" s="663" t="s">
        <v>1750</v>
      </c>
      <c r="E55" s="662" t="s">
        <v>575</v>
      </c>
      <c r="F55" s="663" t="s">
        <v>1754</v>
      </c>
      <c r="G55" s="662" t="s">
        <v>582</v>
      </c>
      <c r="H55" s="662" t="s">
        <v>767</v>
      </c>
      <c r="I55" s="662" t="s">
        <v>768</v>
      </c>
      <c r="J55" s="662" t="s">
        <v>769</v>
      </c>
      <c r="K55" s="662" t="s">
        <v>770</v>
      </c>
      <c r="L55" s="664">
        <v>34.929999999999993</v>
      </c>
      <c r="M55" s="664">
        <v>7</v>
      </c>
      <c r="N55" s="665">
        <v>244.50999999999996</v>
      </c>
    </row>
    <row r="56" spans="1:14" ht="14.4" customHeight="1" x14ac:dyDescent="0.3">
      <c r="A56" s="660" t="s">
        <v>552</v>
      </c>
      <c r="B56" s="661" t="s">
        <v>553</v>
      </c>
      <c r="C56" s="662" t="s">
        <v>558</v>
      </c>
      <c r="D56" s="663" t="s">
        <v>1750</v>
      </c>
      <c r="E56" s="662" t="s">
        <v>575</v>
      </c>
      <c r="F56" s="663" t="s">
        <v>1754</v>
      </c>
      <c r="G56" s="662" t="s">
        <v>582</v>
      </c>
      <c r="H56" s="662" t="s">
        <v>771</v>
      </c>
      <c r="I56" s="662" t="s">
        <v>772</v>
      </c>
      <c r="J56" s="662" t="s">
        <v>773</v>
      </c>
      <c r="K56" s="662" t="s">
        <v>774</v>
      </c>
      <c r="L56" s="664">
        <v>26.487222222222229</v>
      </c>
      <c r="M56" s="664">
        <v>18</v>
      </c>
      <c r="N56" s="665">
        <v>476.7700000000001</v>
      </c>
    </row>
    <row r="57" spans="1:14" ht="14.4" customHeight="1" x14ac:dyDescent="0.3">
      <c r="A57" s="660" t="s">
        <v>552</v>
      </c>
      <c r="B57" s="661" t="s">
        <v>553</v>
      </c>
      <c r="C57" s="662" t="s">
        <v>558</v>
      </c>
      <c r="D57" s="663" t="s">
        <v>1750</v>
      </c>
      <c r="E57" s="662" t="s">
        <v>575</v>
      </c>
      <c r="F57" s="663" t="s">
        <v>1754</v>
      </c>
      <c r="G57" s="662" t="s">
        <v>582</v>
      </c>
      <c r="H57" s="662" t="s">
        <v>775</v>
      </c>
      <c r="I57" s="662" t="s">
        <v>776</v>
      </c>
      <c r="J57" s="662" t="s">
        <v>777</v>
      </c>
      <c r="K57" s="662" t="s">
        <v>778</v>
      </c>
      <c r="L57" s="664">
        <v>149.24776839672307</v>
      </c>
      <c r="M57" s="664">
        <v>1</v>
      </c>
      <c r="N57" s="665">
        <v>149.24776839672307</v>
      </c>
    </row>
    <row r="58" spans="1:14" ht="14.4" customHeight="1" x14ac:dyDescent="0.3">
      <c r="A58" s="660" t="s">
        <v>552</v>
      </c>
      <c r="B58" s="661" t="s">
        <v>553</v>
      </c>
      <c r="C58" s="662" t="s">
        <v>558</v>
      </c>
      <c r="D58" s="663" t="s">
        <v>1750</v>
      </c>
      <c r="E58" s="662" t="s">
        <v>575</v>
      </c>
      <c r="F58" s="663" t="s">
        <v>1754</v>
      </c>
      <c r="G58" s="662" t="s">
        <v>582</v>
      </c>
      <c r="H58" s="662" t="s">
        <v>779</v>
      </c>
      <c r="I58" s="662" t="s">
        <v>216</v>
      </c>
      <c r="J58" s="662" t="s">
        <v>780</v>
      </c>
      <c r="K58" s="662"/>
      <c r="L58" s="664">
        <v>97.320409308244322</v>
      </c>
      <c r="M58" s="664">
        <v>20</v>
      </c>
      <c r="N58" s="665">
        <v>1946.4081861648865</v>
      </c>
    </row>
    <row r="59" spans="1:14" ht="14.4" customHeight="1" x14ac:dyDescent="0.3">
      <c r="A59" s="660" t="s">
        <v>552</v>
      </c>
      <c r="B59" s="661" t="s">
        <v>553</v>
      </c>
      <c r="C59" s="662" t="s">
        <v>558</v>
      </c>
      <c r="D59" s="663" t="s">
        <v>1750</v>
      </c>
      <c r="E59" s="662" t="s">
        <v>575</v>
      </c>
      <c r="F59" s="663" t="s">
        <v>1754</v>
      </c>
      <c r="G59" s="662" t="s">
        <v>582</v>
      </c>
      <c r="H59" s="662" t="s">
        <v>781</v>
      </c>
      <c r="I59" s="662" t="s">
        <v>216</v>
      </c>
      <c r="J59" s="662" t="s">
        <v>782</v>
      </c>
      <c r="K59" s="662"/>
      <c r="L59" s="664">
        <v>217.16834781198926</v>
      </c>
      <c r="M59" s="664">
        <v>2</v>
      </c>
      <c r="N59" s="665">
        <v>434.33669562397853</v>
      </c>
    </row>
    <row r="60" spans="1:14" ht="14.4" customHeight="1" x14ac:dyDescent="0.3">
      <c r="A60" s="660" t="s">
        <v>552</v>
      </c>
      <c r="B60" s="661" t="s">
        <v>553</v>
      </c>
      <c r="C60" s="662" t="s">
        <v>558</v>
      </c>
      <c r="D60" s="663" t="s">
        <v>1750</v>
      </c>
      <c r="E60" s="662" t="s">
        <v>575</v>
      </c>
      <c r="F60" s="663" t="s">
        <v>1754</v>
      </c>
      <c r="G60" s="662" t="s">
        <v>582</v>
      </c>
      <c r="H60" s="662" t="s">
        <v>783</v>
      </c>
      <c r="I60" s="662" t="s">
        <v>216</v>
      </c>
      <c r="J60" s="662" t="s">
        <v>784</v>
      </c>
      <c r="K60" s="662"/>
      <c r="L60" s="664">
        <v>31.74</v>
      </c>
      <c r="M60" s="664">
        <v>3</v>
      </c>
      <c r="N60" s="665">
        <v>95.22</v>
      </c>
    </row>
    <row r="61" spans="1:14" ht="14.4" customHeight="1" x14ac:dyDescent="0.3">
      <c r="A61" s="660" t="s">
        <v>552</v>
      </c>
      <c r="B61" s="661" t="s">
        <v>553</v>
      </c>
      <c r="C61" s="662" t="s">
        <v>558</v>
      </c>
      <c r="D61" s="663" t="s">
        <v>1750</v>
      </c>
      <c r="E61" s="662" t="s">
        <v>575</v>
      </c>
      <c r="F61" s="663" t="s">
        <v>1754</v>
      </c>
      <c r="G61" s="662" t="s">
        <v>582</v>
      </c>
      <c r="H61" s="662" t="s">
        <v>785</v>
      </c>
      <c r="I61" s="662" t="s">
        <v>216</v>
      </c>
      <c r="J61" s="662" t="s">
        <v>786</v>
      </c>
      <c r="K61" s="662"/>
      <c r="L61" s="664">
        <v>143.19</v>
      </c>
      <c r="M61" s="664">
        <v>3</v>
      </c>
      <c r="N61" s="665">
        <v>429.57</v>
      </c>
    </row>
    <row r="62" spans="1:14" ht="14.4" customHeight="1" x14ac:dyDescent="0.3">
      <c r="A62" s="660" t="s">
        <v>552</v>
      </c>
      <c r="B62" s="661" t="s">
        <v>553</v>
      </c>
      <c r="C62" s="662" t="s">
        <v>558</v>
      </c>
      <c r="D62" s="663" t="s">
        <v>1750</v>
      </c>
      <c r="E62" s="662" t="s">
        <v>575</v>
      </c>
      <c r="F62" s="663" t="s">
        <v>1754</v>
      </c>
      <c r="G62" s="662" t="s">
        <v>582</v>
      </c>
      <c r="H62" s="662" t="s">
        <v>787</v>
      </c>
      <c r="I62" s="662" t="s">
        <v>216</v>
      </c>
      <c r="J62" s="662" t="s">
        <v>788</v>
      </c>
      <c r="K62" s="662"/>
      <c r="L62" s="664">
        <v>99.738508675974259</v>
      </c>
      <c r="M62" s="664">
        <v>4</v>
      </c>
      <c r="N62" s="665">
        <v>398.95403470389704</v>
      </c>
    </row>
    <row r="63" spans="1:14" ht="14.4" customHeight="1" x14ac:dyDescent="0.3">
      <c r="A63" s="660" t="s">
        <v>552</v>
      </c>
      <c r="B63" s="661" t="s">
        <v>553</v>
      </c>
      <c r="C63" s="662" t="s">
        <v>558</v>
      </c>
      <c r="D63" s="663" t="s">
        <v>1750</v>
      </c>
      <c r="E63" s="662" t="s">
        <v>575</v>
      </c>
      <c r="F63" s="663" t="s">
        <v>1754</v>
      </c>
      <c r="G63" s="662" t="s">
        <v>582</v>
      </c>
      <c r="H63" s="662" t="s">
        <v>789</v>
      </c>
      <c r="I63" s="662" t="s">
        <v>790</v>
      </c>
      <c r="J63" s="662" t="s">
        <v>791</v>
      </c>
      <c r="K63" s="662" t="s">
        <v>792</v>
      </c>
      <c r="L63" s="664">
        <v>27.11999999999999</v>
      </c>
      <c r="M63" s="664">
        <v>4</v>
      </c>
      <c r="N63" s="665">
        <v>108.47999999999996</v>
      </c>
    </row>
    <row r="64" spans="1:14" ht="14.4" customHeight="1" x14ac:dyDescent="0.3">
      <c r="A64" s="660" t="s">
        <v>552</v>
      </c>
      <c r="B64" s="661" t="s">
        <v>553</v>
      </c>
      <c r="C64" s="662" t="s">
        <v>558</v>
      </c>
      <c r="D64" s="663" t="s">
        <v>1750</v>
      </c>
      <c r="E64" s="662" t="s">
        <v>575</v>
      </c>
      <c r="F64" s="663" t="s">
        <v>1754</v>
      </c>
      <c r="G64" s="662" t="s">
        <v>582</v>
      </c>
      <c r="H64" s="662" t="s">
        <v>793</v>
      </c>
      <c r="I64" s="662" t="s">
        <v>794</v>
      </c>
      <c r="J64" s="662" t="s">
        <v>795</v>
      </c>
      <c r="K64" s="662" t="s">
        <v>796</v>
      </c>
      <c r="L64" s="664">
        <v>64.25</v>
      </c>
      <c r="M64" s="664">
        <v>1</v>
      </c>
      <c r="N64" s="665">
        <v>64.25</v>
      </c>
    </row>
    <row r="65" spans="1:14" ht="14.4" customHeight="1" x14ac:dyDescent="0.3">
      <c r="A65" s="660" t="s">
        <v>552</v>
      </c>
      <c r="B65" s="661" t="s">
        <v>553</v>
      </c>
      <c r="C65" s="662" t="s">
        <v>558</v>
      </c>
      <c r="D65" s="663" t="s">
        <v>1750</v>
      </c>
      <c r="E65" s="662" t="s">
        <v>575</v>
      </c>
      <c r="F65" s="663" t="s">
        <v>1754</v>
      </c>
      <c r="G65" s="662" t="s">
        <v>582</v>
      </c>
      <c r="H65" s="662" t="s">
        <v>797</v>
      </c>
      <c r="I65" s="662" t="s">
        <v>798</v>
      </c>
      <c r="J65" s="662" t="s">
        <v>799</v>
      </c>
      <c r="K65" s="662" t="s">
        <v>800</v>
      </c>
      <c r="L65" s="664">
        <v>31.427760975350036</v>
      </c>
      <c r="M65" s="664">
        <v>10</v>
      </c>
      <c r="N65" s="665">
        <v>314.27760975350037</v>
      </c>
    </row>
    <row r="66" spans="1:14" ht="14.4" customHeight="1" x14ac:dyDescent="0.3">
      <c r="A66" s="660" t="s">
        <v>552</v>
      </c>
      <c r="B66" s="661" t="s">
        <v>553</v>
      </c>
      <c r="C66" s="662" t="s">
        <v>558</v>
      </c>
      <c r="D66" s="663" t="s">
        <v>1750</v>
      </c>
      <c r="E66" s="662" t="s">
        <v>575</v>
      </c>
      <c r="F66" s="663" t="s">
        <v>1754</v>
      </c>
      <c r="G66" s="662" t="s">
        <v>582</v>
      </c>
      <c r="H66" s="662" t="s">
        <v>801</v>
      </c>
      <c r="I66" s="662" t="s">
        <v>802</v>
      </c>
      <c r="J66" s="662" t="s">
        <v>803</v>
      </c>
      <c r="K66" s="662" t="s">
        <v>804</v>
      </c>
      <c r="L66" s="664">
        <v>116.62923016330225</v>
      </c>
      <c r="M66" s="664">
        <v>1</v>
      </c>
      <c r="N66" s="665">
        <v>116.62923016330225</v>
      </c>
    </row>
    <row r="67" spans="1:14" ht="14.4" customHeight="1" x14ac:dyDescent="0.3">
      <c r="A67" s="660" t="s">
        <v>552</v>
      </c>
      <c r="B67" s="661" t="s">
        <v>553</v>
      </c>
      <c r="C67" s="662" t="s">
        <v>558</v>
      </c>
      <c r="D67" s="663" t="s">
        <v>1750</v>
      </c>
      <c r="E67" s="662" t="s">
        <v>575</v>
      </c>
      <c r="F67" s="663" t="s">
        <v>1754</v>
      </c>
      <c r="G67" s="662" t="s">
        <v>582</v>
      </c>
      <c r="H67" s="662" t="s">
        <v>805</v>
      </c>
      <c r="I67" s="662" t="s">
        <v>806</v>
      </c>
      <c r="J67" s="662" t="s">
        <v>807</v>
      </c>
      <c r="K67" s="662" t="s">
        <v>808</v>
      </c>
      <c r="L67" s="664">
        <v>68.54954752374492</v>
      </c>
      <c r="M67" s="664">
        <v>1</v>
      </c>
      <c r="N67" s="665">
        <v>68.54954752374492</v>
      </c>
    </row>
    <row r="68" spans="1:14" ht="14.4" customHeight="1" x14ac:dyDescent="0.3">
      <c r="A68" s="660" t="s">
        <v>552</v>
      </c>
      <c r="B68" s="661" t="s">
        <v>553</v>
      </c>
      <c r="C68" s="662" t="s">
        <v>558</v>
      </c>
      <c r="D68" s="663" t="s">
        <v>1750</v>
      </c>
      <c r="E68" s="662" t="s">
        <v>575</v>
      </c>
      <c r="F68" s="663" t="s">
        <v>1754</v>
      </c>
      <c r="G68" s="662" t="s">
        <v>582</v>
      </c>
      <c r="H68" s="662" t="s">
        <v>809</v>
      </c>
      <c r="I68" s="662" t="s">
        <v>810</v>
      </c>
      <c r="J68" s="662" t="s">
        <v>811</v>
      </c>
      <c r="K68" s="662" t="s">
        <v>812</v>
      </c>
      <c r="L68" s="664">
        <v>93.109849313282524</v>
      </c>
      <c r="M68" s="664">
        <v>5</v>
      </c>
      <c r="N68" s="665">
        <v>465.54924656641265</v>
      </c>
    </row>
    <row r="69" spans="1:14" ht="14.4" customHeight="1" x14ac:dyDescent="0.3">
      <c r="A69" s="660" t="s">
        <v>552</v>
      </c>
      <c r="B69" s="661" t="s">
        <v>553</v>
      </c>
      <c r="C69" s="662" t="s">
        <v>558</v>
      </c>
      <c r="D69" s="663" t="s">
        <v>1750</v>
      </c>
      <c r="E69" s="662" t="s">
        <v>575</v>
      </c>
      <c r="F69" s="663" t="s">
        <v>1754</v>
      </c>
      <c r="G69" s="662" t="s">
        <v>582</v>
      </c>
      <c r="H69" s="662" t="s">
        <v>813</v>
      </c>
      <c r="I69" s="662" t="s">
        <v>814</v>
      </c>
      <c r="J69" s="662" t="s">
        <v>815</v>
      </c>
      <c r="K69" s="662" t="s">
        <v>816</v>
      </c>
      <c r="L69" s="664">
        <v>115.20500413148423</v>
      </c>
      <c r="M69" s="664">
        <v>2</v>
      </c>
      <c r="N69" s="665">
        <v>230.41000826296846</v>
      </c>
    </row>
    <row r="70" spans="1:14" ht="14.4" customHeight="1" x14ac:dyDescent="0.3">
      <c r="A70" s="660" t="s">
        <v>552</v>
      </c>
      <c r="B70" s="661" t="s">
        <v>553</v>
      </c>
      <c r="C70" s="662" t="s">
        <v>558</v>
      </c>
      <c r="D70" s="663" t="s">
        <v>1750</v>
      </c>
      <c r="E70" s="662" t="s">
        <v>575</v>
      </c>
      <c r="F70" s="663" t="s">
        <v>1754</v>
      </c>
      <c r="G70" s="662" t="s">
        <v>582</v>
      </c>
      <c r="H70" s="662" t="s">
        <v>817</v>
      </c>
      <c r="I70" s="662" t="s">
        <v>818</v>
      </c>
      <c r="J70" s="662" t="s">
        <v>819</v>
      </c>
      <c r="K70" s="662" t="s">
        <v>820</v>
      </c>
      <c r="L70" s="664">
        <v>58.71</v>
      </c>
      <c r="M70" s="664">
        <v>28</v>
      </c>
      <c r="N70" s="665">
        <v>1643.88</v>
      </c>
    </row>
    <row r="71" spans="1:14" ht="14.4" customHeight="1" x14ac:dyDescent="0.3">
      <c r="A71" s="660" t="s">
        <v>552</v>
      </c>
      <c r="B71" s="661" t="s">
        <v>553</v>
      </c>
      <c r="C71" s="662" t="s">
        <v>558</v>
      </c>
      <c r="D71" s="663" t="s">
        <v>1750</v>
      </c>
      <c r="E71" s="662" t="s">
        <v>575</v>
      </c>
      <c r="F71" s="663" t="s">
        <v>1754</v>
      </c>
      <c r="G71" s="662" t="s">
        <v>582</v>
      </c>
      <c r="H71" s="662" t="s">
        <v>821</v>
      </c>
      <c r="I71" s="662" t="s">
        <v>822</v>
      </c>
      <c r="J71" s="662" t="s">
        <v>823</v>
      </c>
      <c r="K71" s="662" t="s">
        <v>824</v>
      </c>
      <c r="L71" s="664">
        <v>179.97500000000002</v>
      </c>
      <c r="M71" s="664">
        <v>2</v>
      </c>
      <c r="N71" s="665">
        <v>359.95000000000005</v>
      </c>
    </row>
    <row r="72" spans="1:14" ht="14.4" customHeight="1" x14ac:dyDescent="0.3">
      <c r="A72" s="660" t="s">
        <v>552</v>
      </c>
      <c r="B72" s="661" t="s">
        <v>553</v>
      </c>
      <c r="C72" s="662" t="s">
        <v>558</v>
      </c>
      <c r="D72" s="663" t="s">
        <v>1750</v>
      </c>
      <c r="E72" s="662" t="s">
        <v>575</v>
      </c>
      <c r="F72" s="663" t="s">
        <v>1754</v>
      </c>
      <c r="G72" s="662" t="s">
        <v>582</v>
      </c>
      <c r="H72" s="662" t="s">
        <v>825</v>
      </c>
      <c r="I72" s="662" t="s">
        <v>826</v>
      </c>
      <c r="J72" s="662" t="s">
        <v>827</v>
      </c>
      <c r="K72" s="662" t="s">
        <v>828</v>
      </c>
      <c r="L72" s="664">
        <v>26.769910028276513</v>
      </c>
      <c r="M72" s="664">
        <v>2</v>
      </c>
      <c r="N72" s="665">
        <v>53.539820056553026</v>
      </c>
    </row>
    <row r="73" spans="1:14" ht="14.4" customHeight="1" x14ac:dyDescent="0.3">
      <c r="A73" s="660" t="s">
        <v>552</v>
      </c>
      <c r="B73" s="661" t="s">
        <v>553</v>
      </c>
      <c r="C73" s="662" t="s">
        <v>558</v>
      </c>
      <c r="D73" s="663" t="s">
        <v>1750</v>
      </c>
      <c r="E73" s="662" t="s">
        <v>575</v>
      </c>
      <c r="F73" s="663" t="s">
        <v>1754</v>
      </c>
      <c r="G73" s="662" t="s">
        <v>582</v>
      </c>
      <c r="H73" s="662" t="s">
        <v>829</v>
      </c>
      <c r="I73" s="662" t="s">
        <v>830</v>
      </c>
      <c r="J73" s="662" t="s">
        <v>831</v>
      </c>
      <c r="K73" s="662" t="s">
        <v>832</v>
      </c>
      <c r="L73" s="664">
        <v>19.040000000000003</v>
      </c>
      <c r="M73" s="664">
        <v>2</v>
      </c>
      <c r="N73" s="665">
        <v>38.080000000000005</v>
      </c>
    </row>
    <row r="74" spans="1:14" ht="14.4" customHeight="1" x14ac:dyDescent="0.3">
      <c r="A74" s="660" t="s">
        <v>552</v>
      </c>
      <c r="B74" s="661" t="s">
        <v>553</v>
      </c>
      <c r="C74" s="662" t="s">
        <v>558</v>
      </c>
      <c r="D74" s="663" t="s">
        <v>1750</v>
      </c>
      <c r="E74" s="662" t="s">
        <v>575</v>
      </c>
      <c r="F74" s="663" t="s">
        <v>1754</v>
      </c>
      <c r="G74" s="662" t="s">
        <v>582</v>
      </c>
      <c r="H74" s="662" t="s">
        <v>833</v>
      </c>
      <c r="I74" s="662" t="s">
        <v>834</v>
      </c>
      <c r="J74" s="662" t="s">
        <v>835</v>
      </c>
      <c r="K74" s="662" t="s">
        <v>836</v>
      </c>
      <c r="L74" s="664">
        <v>34.670000000000009</v>
      </c>
      <c r="M74" s="664">
        <v>3</v>
      </c>
      <c r="N74" s="665">
        <v>104.01000000000002</v>
      </c>
    </row>
    <row r="75" spans="1:14" ht="14.4" customHeight="1" x14ac:dyDescent="0.3">
      <c r="A75" s="660" t="s">
        <v>552</v>
      </c>
      <c r="B75" s="661" t="s">
        <v>553</v>
      </c>
      <c r="C75" s="662" t="s">
        <v>558</v>
      </c>
      <c r="D75" s="663" t="s">
        <v>1750</v>
      </c>
      <c r="E75" s="662" t="s">
        <v>575</v>
      </c>
      <c r="F75" s="663" t="s">
        <v>1754</v>
      </c>
      <c r="G75" s="662" t="s">
        <v>582</v>
      </c>
      <c r="H75" s="662" t="s">
        <v>837</v>
      </c>
      <c r="I75" s="662" t="s">
        <v>838</v>
      </c>
      <c r="J75" s="662" t="s">
        <v>831</v>
      </c>
      <c r="K75" s="662" t="s">
        <v>839</v>
      </c>
      <c r="L75" s="664">
        <v>26.873882339029034</v>
      </c>
      <c r="M75" s="664">
        <v>5</v>
      </c>
      <c r="N75" s="665">
        <v>134.36941169514517</v>
      </c>
    </row>
    <row r="76" spans="1:14" ht="14.4" customHeight="1" x14ac:dyDescent="0.3">
      <c r="A76" s="660" t="s">
        <v>552</v>
      </c>
      <c r="B76" s="661" t="s">
        <v>553</v>
      </c>
      <c r="C76" s="662" t="s">
        <v>558</v>
      </c>
      <c r="D76" s="663" t="s">
        <v>1750</v>
      </c>
      <c r="E76" s="662" t="s">
        <v>575</v>
      </c>
      <c r="F76" s="663" t="s">
        <v>1754</v>
      </c>
      <c r="G76" s="662" t="s">
        <v>582</v>
      </c>
      <c r="H76" s="662" t="s">
        <v>840</v>
      </c>
      <c r="I76" s="662" t="s">
        <v>216</v>
      </c>
      <c r="J76" s="662" t="s">
        <v>841</v>
      </c>
      <c r="K76" s="662"/>
      <c r="L76" s="664">
        <v>191.12999762273762</v>
      </c>
      <c r="M76" s="664">
        <v>5</v>
      </c>
      <c r="N76" s="665">
        <v>955.6499881136881</v>
      </c>
    </row>
    <row r="77" spans="1:14" ht="14.4" customHeight="1" x14ac:dyDescent="0.3">
      <c r="A77" s="660" t="s">
        <v>552</v>
      </c>
      <c r="B77" s="661" t="s">
        <v>553</v>
      </c>
      <c r="C77" s="662" t="s">
        <v>558</v>
      </c>
      <c r="D77" s="663" t="s">
        <v>1750</v>
      </c>
      <c r="E77" s="662" t="s">
        <v>575</v>
      </c>
      <c r="F77" s="663" t="s">
        <v>1754</v>
      </c>
      <c r="G77" s="662" t="s">
        <v>582</v>
      </c>
      <c r="H77" s="662" t="s">
        <v>842</v>
      </c>
      <c r="I77" s="662" t="s">
        <v>842</v>
      </c>
      <c r="J77" s="662" t="s">
        <v>843</v>
      </c>
      <c r="K77" s="662" t="s">
        <v>844</v>
      </c>
      <c r="L77" s="664">
        <v>94.24979262880116</v>
      </c>
      <c r="M77" s="664">
        <v>3</v>
      </c>
      <c r="N77" s="665">
        <v>282.74937788640347</v>
      </c>
    </row>
    <row r="78" spans="1:14" ht="14.4" customHeight="1" x14ac:dyDescent="0.3">
      <c r="A78" s="660" t="s">
        <v>552</v>
      </c>
      <c r="B78" s="661" t="s">
        <v>553</v>
      </c>
      <c r="C78" s="662" t="s">
        <v>558</v>
      </c>
      <c r="D78" s="663" t="s">
        <v>1750</v>
      </c>
      <c r="E78" s="662" t="s">
        <v>575</v>
      </c>
      <c r="F78" s="663" t="s">
        <v>1754</v>
      </c>
      <c r="G78" s="662" t="s">
        <v>582</v>
      </c>
      <c r="H78" s="662" t="s">
        <v>845</v>
      </c>
      <c r="I78" s="662" t="s">
        <v>846</v>
      </c>
      <c r="J78" s="662" t="s">
        <v>617</v>
      </c>
      <c r="K78" s="662" t="s">
        <v>847</v>
      </c>
      <c r="L78" s="664">
        <v>42.240000000000009</v>
      </c>
      <c r="M78" s="664">
        <v>1</v>
      </c>
      <c r="N78" s="665">
        <v>42.240000000000009</v>
      </c>
    </row>
    <row r="79" spans="1:14" ht="14.4" customHeight="1" x14ac:dyDescent="0.3">
      <c r="A79" s="660" t="s">
        <v>552</v>
      </c>
      <c r="B79" s="661" t="s">
        <v>553</v>
      </c>
      <c r="C79" s="662" t="s">
        <v>558</v>
      </c>
      <c r="D79" s="663" t="s">
        <v>1750</v>
      </c>
      <c r="E79" s="662" t="s">
        <v>575</v>
      </c>
      <c r="F79" s="663" t="s">
        <v>1754</v>
      </c>
      <c r="G79" s="662" t="s">
        <v>582</v>
      </c>
      <c r="H79" s="662" t="s">
        <v>848</v>
      </c>
      <c r="I79" s="662" t="s">
        <v>849</v>
      </c>
      <c r="J79" s="662" t="s">
        <v>850</v>
      </c>
      <c r="K79" s="662" t="s">
        <v>602</v>
      </c>
      <c r="L79" s="664">
        <v>123.70000114852007</v>
      </c>
      <c r="M79" s="664">
        <v>20</v>
      </c>
      <c r="N79" s="665">
        <v>2474.0000229704015</v>
      </c>
    </row>
    <row r="80" spans="1:14" ht="14.4" customHeight="1" x14ac:dyDescent="0.3">
      <c r="A80" s="660" t="s">
        <v>552</v>
      </c>
      <c r="B80" s="661" t="s">
        <v>553</v>
      </c>
      <c r="C80" s="662" t="s">
        <v>558</v>
      </c>
      <c r="D80" s="663" t="s">
        <v>1750</v>
      </c>
      <c r="E80" s="662" t="s">
        <v>575</v>
      </c>
      <c r="F80" s="663" t="s">
        <v>1754</v>
      </c>
      <c r="G80" s="662" t="s">
        <v>582</v>
      </c>
      <c r="H80" s="662" t="s">
        <v>851</v>
      </c>
      <c r="I80" s="662" t="s">
        <v>852</v>
      </c>
      <c r="J80" s="662" t="s">
        <v>853</v>
      </c>
      <c r="K80" s="662" t="s">
        <v>854</v>
      </c>
      <c r="L80" s="664">
        <v>676.2600000000001</v>
      </c>
      <c r="M80" s="664">
        <v>2</v>
      </c>
      <c r="N80" s="665">
        <v>1352.5200000000002</v>
      </c>
    </row>
    <row r="81" spans="1:14" ht="14.4" customHeight="1" x14ac:dyDescent="0.3">
      <c r="A81" s="660" t="s">
        <v>552</v>
      </c>
      <c r="B81" s="661" t="s">
        <v>553</v>
      </c>
      <c r="C81" s="662" t="s">
        <v>558</v>
      </c>
      <c r="D81" s="663" t="s">
        <v>1750</v>
      </c>
      <c r="E81" s="662" t="s">
        <v>575</v>
      </c>
      <c r="F81" s="663" t="s">
        <v>1754</v>
      </c>
      <c r="G81" s="662" t="s">
        <v>582</v>
      </c>
      <c r="H81" s="662" t="s">
        <v>855</v>
      </c>
      <c r="I81" s="662" t="s">
        <v>856</v>
      </c>
      <c r="J81" s="662" t="s">
        <v>857</v>
      </c>
      <c r="K81" s="662" t="s">
        <v>858</v>
      </c>
      <c r="L81" s="664">
        <v>1592.8</v>
      </c>
      <c r="M81" s="664">
        <v>1</v>
      </c>
      <c r="N81" s="665">
        <v>1592.8</v>
      </c>
    </row>
    <row r="82" spans="1:14" ht="14.4" customHeight="1" x14ac:dyDescent="0.3">
      <c r="A82" s="660" t="s">
        <v>552</v>
      </c>
      <c r="B82" s="661" t="s">
        <v>553</v>
      </c>
      <c r="C82" s="662" t="s">
        <v>558</v>
      </c>
      <c r="D82" s="663" t="s">
        <v>1750</v>
      </c>
      <c r="E82" s="662" t="s">
        <v>575</v>
      </c>
      <c r="F82" s="663" t="s">
        <v>1754</v>
      </c>
      <c r="G82" s="662" t="s">
        <v>582</v>
      </c>
      <c r="H82" s="662" t="s">
        <v>859</v>
      </c>
      <c r="I82" s="662" t="s">
        <v>860</v>
      </c>
      <c r="J82" s="662" t="s">
        <v>861</v>
      </c>
      <c r="K82" s="662" t="s">
        <v>862</v>
      </c>
      <c r="L82" s="664">
        <v>249.95555555555555</v>
      </c>
      <c r="M82" s="664">
        <v>9</v>
      </c>
      <c r="N82" s="665">
        <v>2249.6</v>
      </c>
    </row>
    <row r="83" spans="1:14" ht="14.4" customHeight="1" x14ac:dyDescent="0.3">
      <c r="A83" s="660" t="s">
        <v>552</v>
      </c>
      <c r="B83" s="661" t="s">
        <v>553</v>
      </c>
      <c r="C83" s="662" t="s">
        <v>558</v>
      </c>
      <c r="D83" s="663" t="s">
        <v>1750</v>
      </c>
      <c r="E83" s="662" t="s">
        <v>575</v>
      </c>
      <c r="F83" s="663" t="s">
        <v>1754</v>
      </c>
      <c r="G83" s="662" t="s">
        <v>582</v>
      </c>
      <c r="H83" s="662" t="s">
        <v>863</v>
      </c>
      <c r="I83" s="662" t="s">
        <v>864</v>
      </c>
      <c r="J83" s="662" t="s">
        <v>661</v>
      </c>
      <c r="K83" s="662" t="s">
        <v>865</v>
      </c>
      <c r="L83" s="664">
        <v>57.729595977558915</v>
      </c>
      <c r="M83" s="664">
        <v>6</v>
      </c>
      <c r="N83" s="665">
        <v>346.37757586535349</v>
      </c>
    </row>
    <row r="84" spans="1:14" ht="14.4" customHeight="1" x14ac:dyDescent="0.3">
      <c r="A84" s="660" t="s">
        <v>552</v>
      </c>
      <c r="B84" s="661" t="s">
        <v>553</v>
      </c>
      <c r="C84" s="662" t="s">
        <v>558</v>
      </c>
      <c r="D84" s="663" t="s">
        <v>1750</v>
      </c>
      <c r="E84" s="662" t="s">
        <v>575</v>
      </c>
      <c r="F84" s="663" t="s">
        <v>1754</v>
      </c>
      <c r="G84" s="662" t="s">
        <v>582</v>
      </c>
      <c r="H84" s="662" t="s">
        <v>866</v>
      </c>
      <c r="I84" s="662" t="s">
        <v>867</v>
      </c>
      <c r="J84" s="662" t="s">
        <v>868</v>
      </c>
      <c r="K84" s="662" t="s">
        <v>869</v>
      </c>
      <c r="L84" s="664">
        <v>63.319627107824253</v>
      </c>
      <c r="M84" s="664">
        <v>1</v>
      </c>
      <c r="N84" s="665">
        <v>63.319627107824253</v>
      </c>
    </row>
    <row r="85" spans="1:14" ht="14.4" customHeight="1" x14ac:dyDescent="0.3">
      <c r="A85" s="660" t="s">
        <v>552</v>
      </c>
      <c r="B85" s="661" t="s">
        <v>553</v>
      </c>
      <c r="C85" s="662" t="s">
        <v>558</v>
      </c>
      <c r="D85" s="663" t="s">
        <v>1750</v>
      </c>
      <c r="E85" s="662" t="s">
        <v>575</v>
      </c>
      <c r="F85" s="663" t="s">
        <v>1754</v>
      </c>
      <c r="G85" s="662" t="s">
        <v>582</v>
      </c>
      <c r="H85" s="662" t="s">
        <v>870</v>
      </c>
      <c r="I85" s="662" t="s">
        <v>871</v>
      </c>
      <c r="J85" s="662" t="s">
        <v>872</v>
      </c>
      <c r="K85" s="662" t="s">
        <v>873</v>
      </c>
      <c r="L85" s="664">
        <v>592.20000000000005</v>
      </c>
      <c r="M85" s="664">
        <v>1</v>
      </c>
      <c r="N85" s="665">
        <v>592.20000000000005</v>
      </c>
    </row>
    <row r="86" spans="1:14" ht="14.4" customHeight="1" x14ac:dyDescent="0.3">
      <c r="A86" s="660" t="s">
        <v>552</v>
      </c>
      <c r="B86" s="661" t="s">
        <v>553</v>
      </c>
      <c r="C86" s="662" t="s">
        <v>558</v>
      </c>
      <c r="D86" s="663" t="s">
        <v>1750</v>
      </c>
      <c r="E86" s="662" t="s">
        <v>575</v>
      </c>
      <c r="F86" s="663" t="s">
        <v>1754</v>
      </c>
      <c r="G86" s="662" t="s">
        <v>582</v>
      </c>
      <c r="H86" s="662" t="s">
        <v>874</v>
      </c>
      <c r="I86" s="662" t="s">
        <v>875</v>
      </c>
      <c r="J86" s="662" t="s">
        <v>876</v>
      </c>
      <c r="K86" s="662" t="s">
        <v>877</v>
      </c>
      <c r="L86" s="664">
        <v>20.94</v>
      </c>
      <c r="M86" s="664">
        <v>80</v>
      </c>
      <c r="N86" s="665">
        <v>1675.2</v>
      </c>
    </row>
    <row r="87" spans="1:14" ht="14.4" customHeight="1" x14ac:dyDescent="0.3">
      <c r="A87" s="660" t="s">
        <v>552</v>
      </c>
      <c r="B87" s="661" t="s">
        <v>553</v>
      </c>
      <c r="C87" s="662" t="s">
        <v>558</v>
      </c>
      <c r="D87" s="663" t="s">
        <v>1750</v>
      </c>
      <c r="E87" s="662" t="s">
        <v>575</v>
      </c>
      <c r="F87" s="663" t="s">
        <v>1754</v>
      </c>
      <c r="G87" s="662" t="s">
        <v>582</v>
      </c>
      <c r="H87" s="662" t="s">
        <v>878</v>
      </c>
      <c r="I87" s="662" t="s">
        <v>879</v>
      </c>
      <c r="J87" s="662" t="s">
        <v>880</v>
      </c>
      <c r="K87" s="662" t="s">
        <v>881</v>
      </c>
      <c r="L87" s="664">
        <v>73.959817585129386</v>
      </c>
      <c r="M87" s="664">
        <v>12</v>
      </c>
      <c r="N87" s="665">
        <v>887.51781102155269</v>
      </c>
    </row>
    <row r="88" spans="1:14" ht="14.4" customHeight="1" x14ac:dyDescent="0.3">
      <c r="A88" s="660" t="s">
        <v>552</v>
      </c>
      <c r="B88" s="661" t="s">
        <v>553</v>
      </c>
      <c r="C88" s="662" t="s">
        <v>558</v>
      </c>
      <c r="D88" s="663" t="s">
        <v>1750</v>
      </c>
      <c r="E88" s="662" t="s">
        <v>575</v>
      </c>
      <c r="F88" s="663" t="s">
        <v>1754</v>
      </c>
      <c r="G88" s="662" t="s">
        <v>582</v>
      </c>
      <c r="H88" s="662" t="s">
        <v>882</v>
      </c>
      <c r="I88" s="662" t="s">
        <v>883</v>
      </c>
      <c r="J88" s="662" t="s">
        <v>884</v>
      </c>
      <c r="K88" s="662" t="s">
        <v>885</v>
      </c>
      <c r="L88" s="664">
        <v>36.104999999999997</v>
      </c>
      <c r="M88" s="664">
        <v>4</v>
      </c>
      <c r="N88" s="665">
        <v>144.41999999999999</v>
      </c>
    </row>
    <row r="89" spans="1:14" ht="14.4" customHeight="1" x14ac:dyDescent="0.3">
      <c r="A89" s="660" t="s">
        <v>552</v>
      </c>
      <c r="B89" s="661" t="s">
        <v>553</v>
      </c>
      <c r="C89" s="662" t="s">
        <v>558</v>
      </c>
      <c r="D89" s="663" t="s">
        <v>1750</v>
      </c>
      <c r="E89" s="662" t="s">
        <v>575</v>
      </c>
      <c r="F89" s="663" t="s">
        <v>1754</v>
      </c>
      <c r="G89" s="662" t="s">
        <v>582</v>
      </c>
      <c r="H89" s="662" t="s">
        <v>886</v>
      </c>
      <c r="I89" s="662" t="s">
        <v>216</v>
      </c>
      <c r="J89" s="662" t="s">
        <v>887</v>
      </c>
      <c r="K89" s="662"/>
      <c r="L89" s="664">
        <v>30.59</v>
      </c>
      <c r="M89" s="664">
        <v>1</v>
      </c>
      <c r="N89" s="665">
        <v>30.59</v>
      </c>
    </row>
    <row r="90" spans="1:14" ht="14.4" customHeight="1" x14ac:dyDescent="0.3">
      <c r="A90" s="660" t="s">
        <v>552</v>
      </c>
      <c r="B90" s="661" t="s">
        <v>553</v>
      </c>
      <c r="C90" s="662" t="s">
        <v>558</v>
      </c>
      <c r="D90" s="663" t="s">
        <v>1750</v>
      </c>
      <c r="E90" s="662" t="s">
        <v>575</v>
      </c>
      <c r="F90" s="663" t="s">
        <v>1754</v>
      </c>
      <c r="G90" s="662" t="s">
        <v>582</v>
      </c>
      <c r="H90" s="662" t="s">
        <v>888</v>
      </c>
      <c r="I90" s="662" t="s">
        <v>216</v>
      </c>
      <c r="J90" s="662" t="s">
        <v>889</v>
      </c>
      <c r="K90" s="662"/>
      <c r="L90" s="664">
        <v>116.07960986486131</v>
      </c>
      <c r="M90" s="664">
        <v>2</v>
      </c>
      <c r="N90" s="665">
        <v>232.15921972972262</v>
      </c>
    </row>
    <row r="91" spans="1:14" ht="14.4" customHeight="1" x14ac:dyDescent="0.3">
      <c r="A91" s="660" t="s">
        <v>552</v>
      </c>
      <c r="B91" s="661" t="s">
        <v>553</v>
      </c>
      <c r="C91" s="662" t="s">
        <v>558</v>
      </c>
      <c r="D91" s="663" t="s">
        <v>1750</v>
      </c>
      <c r="E91" s="662" t="s">
        <v>575</v>
      </c>
      <c r="F91" s="663" t="s">
        <v>1754</v>
      </c>
      <c r="G91" s="662" t="s">
        <v>582</v>
      </c>
      <c r="H91" s="662" t="s">
        <v>890</v>
      </c>
      <c r="I91" s="662" t="s">
        <v>891</v>
      </c>
      <c r="J91" s="662" t="s">
        <v>892</v>
      </c>
      <c r="K91" s="662" t="s">
        <v>893</v>
      </c>
      <c r="L91" s="664">
        <v>103.91992706121698</v>
      </c>
      <c r="M91" s="664">
        <v>5</v>
      </c>
      <c r="N91" s="665">
        <v>519.59963530608491</v>
      </c>
    </row>
    <row r="92" spans="1:14" ht="14.4" customHeight="1" x14ac:dyDescent="0.3">
      <c r="A92" s="660" t="s">
        <v>552</v>
      </c>
      <c r="B92" s="661" t="s">
        <v>553</v>
      </c>
      <c r="C92" s="662" t="s">
        <v>558</v>
      </c>
      <c r="D92" s="663" t="s">
        <v>1750</v>
      </c>
      <c r="E92" s="662" t="s">
        <v>575</v>
      </c>
      <c r="F92" s="663" t="s">
        <v>1754</v>
      </c>
      <c r="G92" s="662" t="s">
        <v>582</v>
      </c>
      <c r="H92" s="662" t="s">
        <v>894</v>
      </c>
      <c r="I92" s="662" t="s">
        <v>895</v>
      </c>
      <c r="J92" s="662" t="s">
        <v>892</v>
      </c>
      <c r="K92" s="662" t="s">
        <v>896</v>
      </c>
      <c r="L92" s="664">
        <v>68.570000000000022</v>
      </c>
      <c r="M92" s="664">
        <v>2</v>
      </c>
      <c r="N92" s="665">
        <v>137.14000000000004</v>
      </c>
    </row>
    <row r="93" spans="1:14" ht="14.4" customHeight="1" x14ac:dyDescent="0.3">
      <c r="A93" s="660" t="s">
        <v>552</v>
      </c>
      <c r="B93" s="661" t="s">
        <v>553</v>
      </c>
      <c r="C93" s="662" t="s">
        <v>558</v>
      </c>
      <c r="D93" s="663" t="s">
        <v>1750</v>
      </c>
      <c r="E93" s="662" t="s">
        <v>575</v>
      </c>
      <c r="F93" s="663" t="s">
        <v>1754</v>
      </c>
      <c r="G93" s="662" t="s">
        <v>582</v>
      </c>
      <c r="H93" s="662" t="s">
        <v>897</v>
      </c>
      <c r="I93" s="662" t="s">
        <v>898</v>
      </c>
      <c r="J93" s="662" t="s">
        <v>899</v>
      </c>
      <c r="K93" s="662" t="s">
        <v>900</v>
      </c>
      <c r="L93" s="664">
        <v>47.61</v>
      </c>
      <c r="M93" s="664">
        <v>2</v>
      </c>
      <c r="N93" s="665">
        <v>95.22</v>
      </c>
    </row>
    <row r="94" spans="1:14" ht="14.4" customHeight="1" x14ac:dyDescent="0.3">
      <c r="A94" s="660" t="s">
        <v>552</v>
      </c>
      <c r="B94" s="661" t="s">
        <v>553</v>
      </c>
      <c r="C94" s="662" t="s">
        <v>558</v>
      </c>
      <c r="D94" s="663" t="s">
        <v>1750</v>
      </c>
      <c r="E94" s="662" t="s">
        <v>575</v>
      </c>
      <c r="F94" s="663" t="s">
        <v>1754</v>
      </c>
      <c r="G94" s="662" t="s">
        <v>582</v>
      </c>
      <c r="H94" s="662" t="s">
        <v>901</v>
      </c>
      <c r="I94" s="662" t="s">
        <v>902</v>
      </c>
      <c r="J94" s="662" t="s">
        <v>609</v>
      </c>
      <c r="K94" s="662" t="s">
        <v>903</v>
      </c>
      <c r="L94" s="664">
        <v>49.389252047975724</v>
      </c>
      <c r="M94" s="664">
        <v>6</v>
      </c>
      <c r="N94" s="665">
        <v>296.33551228785433</v>
      </c>
    </row>
    <row r="95" spans="1:14" ht="14.4" customHeight="1" x14ac:dyDescent="0.3">
      <c r="A95" s="660" t="s">
        <v>552</v>
      </c>
      <c r="B95" s="661" t="s">
        <v>553</v>
      </c>
      <c r="C95" s="662" t="s">
        <v>558</v>
      </c>
      <c r="D95" s="663" t="s">
        <v>1750</v>
      </c>
      <c r="E95" s="662" t="s">
        <v>575</v>
      </c>
      <c r="F95" s="663" t="s">
        <v>1754</v>
      </c>
      <c r="G95" s="662" t="s">
        <v>582</v>
      </c>
      <c r="H95" s="662" t="s">
        <v>904</v>
      </c>
      <c r="I95" s="662" t="s">
        <v>905</v>
      </c>
      <c r="J95" s="662" t="s">
        <v>906</v>
      </c>
      <c r="K95" s="662" t="s">
        <v>907</v>
      </c>
      <c r="L95" s="664">
        <v>294.18</v>
      </c>
      <c r="M95" s="664">
        <v>2</v>
      </c>
      <c r="N95" s="665">
        <v>588.36</v>
      </c>
    </row>
    <row r="96" spans="1:14" ht="14.4" customHeight="1" x14ac:dyDescent="0.3">
      <c r="A96" s="660" t="s">
        <v>552</v>
      </c>
      <c r="B96" s="661" t="s">
        <v>553</v>
      </c>
      <c r="C96" s="662" t="s">
        <v>558</v>
      </c>
      <c r="D96" s="663" t="s">
        <v>1750</v>
      </c>
      <c r="E96" s="662" t="s">
        <v>575</v>
      </c>
      <c r="F96" s="663" t="s">
        <v>1754</v>
      </c>
      <c r="G96" s="662" t="s">
        <v>582</v>
      </c>
      <c r="H96" s="662" t="s">
        <v>908</v>
      </c>
      <c r="I96" s="662" t="s">
        <v>909</v>
      </c>
      <c r="J96" s="662" t="s">
        <v>910</v>
      </c>
      <c r="K96" s="662" t="s">
        <v>911</v>
      </c>
      <c r="L96" s="664">
        <v>71.009999999999991</v>
      </c>
      <c r="M96" s="664">
        <v>4</v>
      </c>
      <c r="N96" s="665">
        <v>284.03999999999996</v>
      </c>
    </row>
    <row r="97" spans="1:14" ht="14.4" customHeight="1" x14ac:dyDescent="0.3">
      <c r="A97" s="660" t="s">
        <v>552</v>
      </c>
      <c r="B97" s="661" t="s">
        <v>553</v>
      </c>
      <c r="C97" s="662" t="s">
        <v>558</v>
      </c>
      <c r="D97" s="663" t="s">
        <v>1750</v>
      </c>
      <c r="E97" s="662" t="s">
        <v>575</v>
      </c>
      <c r="F97" s="663" t="s">
        <v>1754</v>
      </c>
      <c r="G97" s="662" t="s">
        <v>582</v>
      </c>
      <c r="H97" s="662" t="s">
        <v>912</v>
      </c>
      <c r="I97" s="662" t="s">
        <v>913</v>
      </c>
      <c r="J97" s="662" t="s">
        <v>914</v>
      </c>
      <c r="K97" s="662" t="s">
        <v>915</v>
      </c>
      <c r="L97" s="664">
        <v>1100.7339557217056</v>
      </c>
      <c r="M97" s="664">
        <v>2</v>
      </c>
      <c r="N97" s="665">
        <v>2201.4679114434111</v>
      </c>
    </row>
    <row r="98" spans="1:14" ht="14.4" customHeight="1" x14ac:dyDescent="0.3">
      <c r="A98" s="660" t="s">
        <v>552</v>
      </c>
      <c r="B98" s="661" t="s">
        <v>553</v>
      </c>
      <c r="C98" s="662" t="s">
        <v>558</v>
      </c>
      <c r="D98" s="663" t="s">
        <v>1750</v>
      </c>
      <c r="E98" s="662" t="s">
        <v>575</v>
      </c>
      <c r="F98" s="663" t="s">
        <v>1754</v>
      </c>
      <c r="G98" s="662" t="s">
        <v>582</v>
      </c>
      <c r="H98" s="662" t="s">
        <v>916</v>
      </c>
      <c r="I98" s="662" t="s">
        <v>216</v>
      </c>
      <c r="J98" s="662" t="s">
        <v>917</v>
      </c>
      <c r="K98" s="662"/>
      <c r="L98" s="664">
        <v>64.650001200514524</v>
      </c>
      <c r="M98" s="664">
        <v>2</v>
      </c>
      <c r="N98" s="665">
        <v>129.30000240102905</v>
      </c>
    </row>
    <row r="99" spans="1:14" ht="14.4" customHeight="1" x14ac:dyDescent="0.3">
      <c r="A99" s="660" t="s">
        <v>552</v>
      </c>
      <c r="B99" s="661" t="s">
        <v>553</v>
      </c>
      <c r="C99" s="662" t="s">
        <v>558</v>
      </c>
      <c r="D99" s="663" t="s">
        <v>1750</v>
      </c>
      <c r="E99" s="662" t="s">
        <v>575</v>
      </c>
      <c r="F99" s="663" t="s">
        <v>1754</v>
      </c>
      <c r="G99" s="662" t="s">
        <v>582</v>
      </c>
      <c r="H99" s="662" t="s">
        <v>918</v>
      </c>
      <c r="I99" s="662" t="s">
        <v>919</v>
      </c>
      <c r="J99" s="662" t="s">
        <v>920</v>
      </c>
      <c r="K99" s="662" t="s">
        <v>921</v>
      </c>
      <c r="L99" s="664">
        <v>52.99</v>
      </c>
      <c r="M99" s="664">
        <v>1</v>
      </c>
      <c r="N99" s="665">
        <v>52.99</v>
      </c>
    </row>
    <row r="100" spans="1:14" ht="14.4" customHeight="1" x14ac:dyDescent="0.3">
      <c r="A100" s="660" t="s">
        <v>552</v>
      </c>
      <c r="B100" s="661" t="s">
        <v>553</v>
      </c>
      <c r="C100" s="662" t="s">
        <v>558</v>
      </c>
      <c r="D100" s="663" t="s">
        <v>1750</v>
      </c>
      <c r="E100" s="662" t="s">
        <v>575</v>
      </c>
      <c r="F100" s="663" t="s">
        <v>1754</v>
      </c>
      <c r="G100" s="662" t="s">
        <v>582</v>
      </c>
      <c r="H100" s="662" t="s">
        <v>922</v>
      </c>
      <c r="I100" s="662" t="s">
        <v>923</v>
      </c>
      <c r="J100" s="662" t="s">
        <v>924</v>
      </c>
      <c r="K100" s="662" t="s">
        <v>925</v>
      </c>
      <c r="L100" s="664">
        <v>96.919999999999973</v>
      </c>
      <c r="M100" s="664">
        <v>1</v>
      </c>
      <c r="N100" s="665">
        <v>96.919999999999973</v>
      </c>
    </row>
    <row r="101" spans="1:14" ht="14.4" customHeight="1" x14ac:dyDescent="0.3">
      <c r="A101" s="660" t="s">
        <v>552</v>
      </c>
      <c r="B101" s="661" t="s">
        <v>553</v>
      </c>
      <c r="C101" s="662" t="s">
        <v>558</v>
      </c>
      <c r="D101" s="663" t="s">
        <v>1750</v>
      </c>
      <c r="E101" s="662" t="s">
        <v>575</v>
      </c>
      <c r="F101" s="663" t="s">
        <v>1754</v>
      </c>
      <c r="G101" s="662" t="s">
        <v>582</v>
      </c>
      <c r="H101" s="662" t="s">
        <v>926</v>
      </c>
      <c r="I101" s="662" t="s">
        <v>216</v>
      </c>
      <c r="J101" s="662" t="s">
        <v>927</v>
      </c>
      <c r="K101" s="662"/>
      <c r="L101" s="664">
        <v>50.820000000000014</v>
      </c>
      <c r="M101" s="664">
        <v>2</v>
      </c>
      <c r="N101" s="665">
        <v>101.64000000000003</v>
      </c>
    </row>
    <row r="102" spans="1:14" ht="14.4" customHeight="1" x14ac:dyDescent="0.3">
      <c r="A102" s="660" t="s">
        <v>552</v>
      </c>
      <c r="B102" s="661" t="s">
        <v>553</v>
      </c>
      <c r="C102" s="662" t="s">
        <v>558</v>
      </c>
      <c r="D102" s="663" t="s">
        <v>1750</v>
      </c>
      <c r="E102" s="662" t="s">
        <v>575</v>
      </c>
      <c r="F102" s="663" t="s">
        <v>1754</v>
      </c>
      <c r="G102" s="662" t="s">
        <v>582</v>
      </c>
      <c r="H102" s="662" t="s">
        <v>928</v>
      </c>
      <c r="I102" s="662" t="s">
        <v>216</v>
      </c>
      <c r="J102" s="662" t="s">
        <v>929</v>
      </c>
      <c r="K102" s="662"/>
      <c r="L102" s="664">
        <v>78.389481944724025</v>
      </c>
      <c r="M102" s="664">
        <v>4</v>
      </c>
      <c r="N102" s="665">
        <v>313.5579277788961</v>
      </c>
    </row>
    <row r="103" spans="1:14" ht="14.4" customHeight="1" x14ac:dyDescent="0.3">
      <c r="A103" s="660" t="s">
        <v>552</v>
      </c>
      <c r="B103" s="661" t="s">
        <v>553</v>
      </c>
      <c r="C103" s="662" t="s">
        <v>558</v>
      </c>
      <c r="D103" s="663" t="s">
        <v>1750</v>
      </c>
      <c r="E103" s="662" t="s">
        <v>575</v>
      </c>
      <c r="F103" s="663" t="s">
        <v>1754</v>
      </c>
      <c r="G103" s="662" t="s">
        <v>582</v>
      </c>
      <c r="H103" s="662" t="s">
        <v>930</v>
      </c>
      <c r="I103" s="662" t="s">
        <v>216</v>
      </c>
      <c r="J103" s="662" t="s">
        <v>931</v>
      </c>
      <c r="K103" s="662"/>
      <c r="L103" s="664">
        <v>71.229999999999976</v>
      </c>
      <c r="M103" s="664">
        <v>1</v>
      </c>
      <c r="N103" s="665">
        <v>71.229999999999976</v>
      </c>
    </row>
    <row r="104" spans="1:14" ht="14.4" customHeight="1" x14ac:dyDescent="0.3">
      <c r="A104" s="660" t="s">
        <v>552</v>
      </c>
      <c r="B104" s="661" t="s">
        <v>553</v>
      </c>
      <c r="C104" s="662" t="s">
        <v>558</v>
      </c>
      <c r="D104" s="663" t="s">
        <v>1750</v>
      </c>
      <c r="E104" s="662" t="s">
        <v>575</v>
      </c>
      <c r="F104" s="663" t="s">
        <v>1754</v>
      </c>
      <c r="G104" s="662" t="s">
        <v>582</v>
      </c>
      <c r="H104" s="662" t="s">
        <v>932</v>
      </c>
      <c r="I104" s="662" t="s">
        <v>933</v>
      </c>
      <c r="J104" s="662" t="s">
        <v>934</v>
      </c>
      <c r="K104" s="662" t="s">
        <v>935</v>
      </c>
      <c r="L104" s="664">
        <v>112.62</v>
      </c>
      <c r="M104" s="664">
        <v>6</v>
      </c>
      <c r="N104" s="665">
        <v>675.72</v>
      </c>
    </row>
    <row r="105" spans="1:14" ht="14.4" customHeight="1" x14ac:dyDescent="0.3">
      <c r="A105" s="660" t="s">
        <v>552</v>
      </c>
      <c r="B105" s="661" t="s">
        <v>553</v>
      </c>
      <c r="C105" s="662" t="s">
        <v>558</v>
      </c>
      <c r="D105" s="663" t="s">
        <v>1750</v>
      </c>
      <c r="E105" s="662" t="s">
        <v>575</v>
      </c>
      <c r="F105" s="663" t="s">
        <v>1754</v>
      </c>
      <c r="G105" s="662" t="s">
        <v>582</v>
      </c>
      <c r="H105" s="662" t="s">
        <v>936</v>
      </c>
      <c r="I105" s="662" t="s">
        <v>937</v>
      </c>
      <c r="J105" s="662" t="s">
        <v>938</v>
      </c>
      <c r="K105" s="662" t="s">
        <v>939</v>
      </c>
      <c r="L105" s="664">
        <v>22.130000000000003</v>
      </c>
      <c r="M105" s="664">
        <v>2</v>
      </c>
      <c r="N105" s="665">
        <v>44.260000000000005</v>
      </c>
    </row>
    <row r="106" spans="1:14" ht="14.4" customHeight="1" x14ac:dyDescent="0.3">
      <c r="A106" s="660" t="s">
        <v>552</v>
      </c>
      <c r="B106" s="661" t="s">
        <v>553</v>
      </c>
      <c r="C106" s="662" t="s">
        <v>558</v>
      </c>
      <c r="D106" s="663" t="s">
        <v>1750</v>
      </c>
      <c r="E106" s="662" t="s">
        <v>575</v>
      </c>
      <c r="F106" s="663" t="s">
        <v>1754</v>
      </c>
      <c r="G106" s="662" t="s">
        <v>582</v>
      </c>
      <c r="H106" s="662" t="s">
        <v>940</v>
      </c>
      <c r="I106" s="662" t="s">
        <v>941</v>
      </c>
      <c r="J106" s="662" t="s">
        <v>942</v>
      </c>
      <c r="K106" s="662" t="s">
        <v>943</v>
      </c>
      <c r="L106" s="664">
        <v>390.79499999999996</v>
      </c>
      <c r="M106" s="664">
        <v>4</v>
      </c>
      <c r="N106" s="665">
        <v>1563.1799999999998</v>
      </c>
    </row>
    <row r="107" spans="1:14" ht="14.4" customHeight="1" x14ac:dyDescent="0.3">
      <c r="A107" s="660" t="s">
        <v>552</v>
      </c>
      <c r="B107" s="661" t="s">
        <v>553</v>
      </c>
      <c r="C107" s="662" t="s">
        <v>558</v>
      </c>
      <c r="D107" s="663" t="s">
        <v>1750</v>
      </c>
      <c r="E107" s="662" t="s">
        <v>575</v>
      </c>
      <c r="F107" s="663" t="s">
        <v>1754</v>
      </c>
      <c r="G107" s="662" t="s">
        <v>582</v>
      </c>
      <c r="H107" s="662" t="s">
        <v>944</v>
      </c>
      <c r="I107" s="662" t="s">
        <v>945</v>
      </c>
      <c r="J107" s="662" t="s">
        <v>946</v>
      </c>
      <c r="K107" s="662" t="s">
        <v>947</v>
      </c>
      <c r="L107" s="664">
        <v>130.16999999999996</v>
      </c>
      <c r="M107" s="664">
        <v>1</v>
      </c>
      <c r="N107" s="665">
        <v>130.16999999999996</v>
      </c>
    </row>
    <row r="108" spans="1:14" ht="14.4" customHeight="1" x14ac:dyDescent="0.3">
      <c r="A108" s="660" t="s">
        <v>552</v>
      </c>
      <c r="B108" s="661" t="s">
        <v>553</v>
      </c>
      <c r="C108" s="662" t="s">
        <v>558</v>
      </c>
      <c r="D108" s="663" t="s">
        <v>1750</v>
      </c>
      <c r="E108" s="662" t="s">
        <v>575</v>
      </c>
      <c r="F108" s="663" t="s">
        <v>1754</v>
      </c>
      <c r="G108" s="662" t="s">
        <v>582</v>
      </c>
      <c r="H108" s="662" t="s">
        <v>948</v>
      </c>
      <c r="I108" s="662" t="s">
        <v>949</v>
      </c>
      <c r="J108" s="662" t="s">
        <v>950</v>
      </c>
      <c r="K108" s="662" t="s">
        <v>951</v>
      </c>
      <c r="L108" s="664">
        <v>286.06</v>
      </c>
      <c r="M108" s="664">
        <v>1</v>
      </c>
      <c r="N108" s="665">
        <v>286.06</v>
      </c>
    </row>
    <row r="109" spans="1:14" ht="14.4" customHeight="1" x14ac:dyDescent="0.3">
      <c r="A109" s="660" t="s">
        <v>552</v>
      </c>
      <c r="B109" s="661" t="s">
        <v>553</v>
      </c>
      <c r="C109" s="662" t="s">
        <v>558</v>
      </c>
      <c r="D109" s="663" t="s">
        <v>1750</v>
      </c>
      <c r="E109" s="662" t="s">
        <v>575</v>
      </c>
      <c r="F109" s="663" t="s">
        <v>1754</v>
      </c>
      <c r="G109" s="662" t="s">
        <v>582</v>
      </c>
      <c r="H109" s="662" t="s">
        <v>952</v>
      </c>
      <c r="I109" s="662" t="s">
        <v>216</v>
      </c>
      <c r="J109" s="662" t="s">
        <v>953</v>
      </c>
      <c r="K109" s="662"/>
      <c r="L109" s="664">
        <v>439.79500000000002</v>
      </c>
      <c r="M109" s="664">
        <v>3</v>
      </c>
      <c r="N109" s="665">
        <v>1319.385</v>
      </c>
    </row>
    <row r="110" spans="1:14" ht="14.4" customHeight="1" x14ac:dyDescent="0.3">
      <c r="A110" s="660" t="s">
        <v>552</v>
      </c>
      <c r="B110" s="661" t="s">
        <v>553</v>
      </c>
      <c r="C110" s="662" t="s">
        <v>558</v>
      </c>
      <c r="D110" s="663" t="s">
        <v>1750</v>
      </c>
      <c r="E110" s="662" t="s">
        <v>575</v>
      </c>
      <c r="F110" s="663" t="s">
        <v>1754</v>
      </c>
      <c r="G110" s="662" t="s">
        <v>582</v>
      </c>
      <c r="H110" s="662" t="s">
        <v>954</v>
      </c>
      <c r="I110" s="662" t="s">
        <v>216</v>
      </c>
      <c r="J110" s="662" t="s">
        <v>955</v>
      </c>
      <c r="K110" s="662"/>
      <c r="L110" s="664">
        <v>182.55129193664288</v>
      </c>
      <c r="M110" s="664">
        <v>5</v>
      </c>
      <c r="N110" s="665">
        <v>912.75645968321442</v>
      </c>
    </row>
    <row r="111" spans="1:14" ht="14.4" customHeight="1" x14ac:dyDescent="0.3">
      <c r="A111" s="660" t="s">
        <v>552</v>
      </c>
      <c r="B111" s="661" t="s">
        <v>553</v>
      </c>
      <c r="C111" s="662" t="s">
        <v>558</v>
      </c>
      <c r="D111" s="663" t="s">
        <v>1750</v>
      </c>
      <c r="E111" s="662" t="s">
        <v>575</v>
      </c>
      <c r="F111" s="663" t="s">
        <v>1754</v>
      </c>
      <c r="G111" s="662" t="s">
        <v>582</v>
      </c>
      <c r="H111" s="662" t="s">
        <v>956</v>
      </c>
      <c r="I111" s="662" t="s">
        <v>957</v>
      </c>
      <c r="J111" s="662" t="s">
        <v>958</v>
      </c>
      <c r="K111" s="662" t="s">
        <v>959</v>
      </c>
      <c r="L111" s="664">
        <v>85.576000469211749</v>
      </c>
      <c r="M111" s="664">
        <v>20</v>
      </c>
      <c r="N111" s="665">
        <v>1711.520009384235</v>
      </c>
    </row>
    <row r="112" spans="1:14" ht="14.4" customHeight="1" x14ac:dyDescent="0.3">
      <c r="A112" s="660" t="s">
        <v>552</v>
      </c>
      <c r="B112" s="661" t="s">
        <v>553</v>
      </c>
      <c r="C112" s="662" t="s">
        <v>558</v>
      </c>
      <c r="D112" s="663" t="s">
        <v>1750</v>
      </c>
      <c r="E112" s="662" t="s">
        <v>575</v>
      </c>
      <c r="F112" s="663" t="s">
        <v>1754</v>
      </c>
      <c r="G112" s="662" t="s">
        <v>582</v>
      </c>
      <c r="H112" s="662" t="s">
        <v>960</v>
      </c>
      <c r="I112" s="662" t="s">
        <v>216</v>
      </c>
      <c r="J112" s="662" t="s">
        <v>961</v>
      </c>
      <c r="K112" s="662"/>
      <c r="L112" s="664">
        <v>86.441881454753045</v>
      </c>
      <c r="M112" s="664">
        <v>3</v>
      </c>
      <c r="N112" s="665">
        <v>259.32564436425912</v>
      </c>
    </row>
    <row r="113" spans="1:14" ht="14.4" customHeight="1" x14ac:dyDescent="0.3">
      <c r="A113" s="660" t="s">
        <v>552</v>
      </c>
      <c r="B113" s="661" t="s">
        <v>553</v>
      </c>
      <c r="C113" s="662" t="s">
        <v>558</v>
      </c>
      <c r="D113" s="663" t="s">
        <v>1750</v>
      </c>
      <c r="E113" s="662" t="s">
        <v>575</v>
      </c>
      <c r="F113" s="663" t="s">
        <v>1754</v>
      </c>
      <c r="G113" s="662" t="s">
        <v>582</v>
      </c>
      <c r="H113" s="662" t="s">
        <v>962</v>
      </c>
      <c r="I113" s="662" t="s">
        <v>963</v>
      </c>
      <c r="J113" s="662" t="s">
        <v>964</v>
      </c>
      <c r="K113" s="662"/>
      <c r="L113" s="664">
        <v>258.7274731903936</v>
      </c>
      <c r="M113" s="664">
        <v>4</v>
      </c>
      <c r="N113" s="665">
        <v>1034.9098927615744</v>
      </c>
    </row>
    <row r="114" spans="1:14" ht="14.4" customHeight="1" x14ac:dyDescent="0.3">
      <c r="A114" s="660" t="s">
        <v>552</v>
      </c>
      <c r="B114" s="661" t="s">
        <v>553</v>
      </c>
      <c r="C114" s="662" t="s">
        <v>558</v>
      </c>
      <c r="D114" s="663" t="s">
        <v>1750</v>
      </c>
      <c r="E114" s="662" t="s">
        <v>575</v>
      </c>
      <c r="F114" s="663" t="s">
        <v>1754</v>
      </c>
      <c r="G114" s="662" t="s">
        <v>582</v>
      </c>
      <c r="H114" s="662" t="s">
        <v>965</v>
      </c>
      <c r="I114" s="662" t="s">
        <v>216</v>
      </c>
      <c r="J114" s="662" t="s">
        <v>966</v>
      </c>
      <c r="K114" s="662"/>
      <c r="L114" s="664">
        <v>58.95000000000001</v>
      </c>
      <c r="M114" s="664">
        <v>3</v>
      </c>
      <c r="N114" s="665">
        <v>176.85000000000002</v>
      </c>
    </row>
    <row r="115" spans="1:14" ht="14.4" customHeight="1" x14ac:dyDescent="0.3">
      <c r="A115" s="660" t="s">
        <v>552</v>
      </c>
      <c r="B115" s="661" t="s">
        <v>553</v>
      </c>
      <c r="C115" s="662" t="s">
        <v>558</v>
      </c>
      <c r="D115" s="663" t="s">
        <v>1750</v>
      </c>
      <c r="E115" s="662" t="s">
        <v>575</v>
      </c>
      <c r="F115" s="663" t="s">
        <v>1754</v>
      </c>
      <c r="G115" s="662" t="s">
        <v>582</v>
      </c>
      <c r="H115" s="662" t="s">
        <v>967</v>
      </c>
      <c r="I115" s="662" t="s">
        <v>216</v>
      </c>
      <c r="J115" s="662" t="s">
        <v>968</v>
      </c>
      <c r="K115" s="662"/>
      <c r="L115" s="664">
        <v>101.71841210102825</v>
      </c>
      <c r="M115" s="664">
        <v>22</v>
      </c>
      <c r="N115" s="665">
        <v>2237.8050662226215</v>
      </c>
    </row>
    <row r="116" spans="1:14" ht="14.4" customHeight="1" x14ac:dyDescent="0.3">
      <c r="A116" s="660" t="s">
        <v>552</v>
      </c>
      <c r="B116" s="661" t="s">
        <v>553</v>
      </c>
      <c r="C116" s="662" t="s">
        <v>558</v>
      </c>
      <c r="D116" s="663" t="s">
        <v>1750</v>
      </c>
      <c r="E116" s="662" t="s">
        <v>575</v>
      </c>
      <c r="F116" s="663" t="s">
        <v>1754</v>
      </c>
      <c r="G116" s="662" t="s">
        <v>582</v>
      </c>
      <c r="H116" s="662" t="s">
        <v>969</v>
      </c>
      <c r="I116" s="662" t="s">
        <v>970</v>
      </c>
      <c r="J116" s="662" t="s">
        <v>971</v>
      </c>
      <c r="K116" s="662"/>
      <c r="L116" s="664">
        <v>90.055000000000007</v>
      </c>
      <c r="M116" s="664">
        <v>1</v>
      </c>
      <c r="N116" s="665">
        <v>90.055000000000007</v>
      </c>
    </row>
    <row r="117" spans="1:14" ht="14.4" customHeight="1" x14ac:dyDescent="0.3">
      <c r="A117" s="660" t="s">
        <v>552</v>
      </c>
      <c r="B117" s="661" t="s">
        <v>553</v>
      </c>
      <c r="C117" s="662" t="s">
        <v>558</v>
      </c>
      <c r="D117" s="663" t="s">
        <v>1750</v>
      </c>
      <c r="E117" s="662" t="s">
        <v>575</v>
      </c>
      <c r="F117" s="663" t="s">
        <v>1754</v>
      </c>
      <c r="G117" s="662" t="s">
        <v>582</v>
      </c>
      <c r="H117" s="662" t="s">
        <v>972</v>
      </c>
      <c r="I117" s="662" t="s">
        <v>972</v>
      </c>
      <c r="J117" s="662" t="s">
        <v>973</v>
      </c>
      <c r="K117" s="662" t="s">
        <v>974</v>
      </c>
      <c r="L117" s="664">
        <v>1539.656230233511</v>
      </c>
      <c r="M117" s="664">
        <v>1</v>
      </c>
      <c r="N117" s="665">
        <v>1539.656230233511</v>
      </c>
    </row>
    <row r="118" spans="1:14" ht="14.4" customHeight="1" x14ac:dyDescent="0.3">
      <c r="A118" s="660" t="s">
        <v>552</v>
      </c>
      <c r="B118" s="661" t="s">
        <v>553</v>
      </c>
      <c r="C118" s="662" t="s">
        <v>558</v>
      </c>
      <c r="D118" s="663" t="s">
        <v>1750</v>
      </c>
      <c r="E118" s="662" t="s">
        <v>575</v>
      </c>
      <c r="F118" s="663" t="s">
        <v>1754</v>
      </c>
      <c r="G118" s="662" t="s">
        <v>582</v>
      </c>
      <c r="H118" s="662" t="s">
        <v>975</v>
      </c>
      <c r="I118" s="662" t="s">
        <v>976</v>
      </c>
      <c r="J118" s="662" t="s">
        <v>977</v>
      </c>
      <c r="K118" s="662" t="s">
        <v>978</v>
      </c>
      <c r="L118" s="664">
        <v>41.640000000000008</v>
      </c>
      <c r="M118" s="664">
        <v>1</v>
      </c>
      <c r="N118" s="665">
        <v>41.640000000000008</v>
      </c>
    </row>
    <row r="119" spans="1:14" ht="14.4" customHeight="1" x14ac:dyDescent="0.3">
      <c r="A119" s="660" t="s">
        <v>552</v>
      </c>
      <c r="B119" s="661" t="s">
        <v>553</v>
      </c>
      <c r="C119" s="662" t="s">
        <v>558</v>
      </c>
      <c r="D119" s="663" t="s">
        <v>1750</v>
      </c>
      <c r="E119" s="662" t="s">
        <v>575</v>
      </c>
      <c r="F119" s="663" t="s">
        <v>1754</v>
      </c>
      <c r="G119" s="662" t="s">
        <v>582</v>
      </c>
      <c r="H119" s="662" t="s">
        <v>979</v>
      </c>
      <c r="I119" s="662" t="s">
        <v>216</v>
      </c>
      <c r="J119" s="662" t="s">
        <v>980</v>
      </c>
      <c r="K119" s="662"/>
      <c r="L119" s="664">
        <v>92.134809481653306</v>
      </c>
      <c r="M119" s="664">
        <v>1</v>
      </c>
      <c r="N119" s="665">
        <v>92.134809481653306</v>
      </c>
    </row>
    <row r="120" spans="1:14" ht="14.4" customHeight="1" x14ac:dyDescent="0.3">
      <c r="A120" s="660" t="s">
        <v>552</v>
      </c>
      <c r="B120" s="661" t="s">
        <v>553</v>
      </c>
      <c r="C120" s="662" t="s">
        <v>558</v>
      </c>
      <c r="D120" s="663" t="s">
        <v>1750</v>
      </c>
      <c r="E120" s="662" t="s">
        <v>575</v>
      </c>
      <c r="F120" s="663" t="s">
        <v>1754</v>
      </c>
      <c r="G120" s="662" t="s">
        <v>582</v>
      </c>
      <c r="H120" s="662" t="s">
        <v>981</v>
      </c>
      <c r="I120" s="662" t="s">
        <v>981</v>
      </c>
      <c r="J120" s="662" t="s">
        <v>982</v>
      </c>
      <c r="K120" s="662" t="s">
        <v>983</v>
      </c>
      <c r="L120" s="664">
        <v>96.098676126188167</v>
      </c>
      <c r="M120" s="664">
        <v>1</v>
      </c>
      <c r="N120" s="665">
        <v>96.098676126188167</v>
      </c>
    </row>
    <row r="121" spans="1:14" ht="14.4" customHeight="1" x14ac:dyDescent="0.3">
      <c r="A121" s="660" t="s">
        <v>552</v>
      </c>
      <c r="B121" s="661" t="s">
        <v>553</v>
      </c>
      <c r="C121" s="662" t="s">
        <v>558</v>
      </c>
      <c r="D121" s="663" t="s">
        <v>1750</v>
      </c>
      <c r="E121" s="662" t="s">
        <v>575</v>
      </c>
      <c r="F121" s="663" t="s">
        <v>1754</v>
      </c>
      <c r="G121" s="662" t="s">
        <v>582</v>
      </c>
      <c r="H121" s="662" t="s">
        <v>984</v>
      </c>
      <c r="I121" s="662" t="s">
        <v>984</v>
      </c>
      <c r="J121" s="662" t="s">
        <v>985</v>
      </c>
      <c r="K121" s="662" t="s">
        <v>986</v>
      </c>
      <c r="L121" s="664">
        <v>57.02</v>
      </c>
      <c r="M121" s="664">
        <v>2</v>
      </c>
      <c r="N121" s="665">
        <v>114.04</v>
      </c>
    </row>
    <row r="122" spans="1:14" ht="14.4" customHeight="1" x14ac:dyDescent="0.3">
      <c r="A122" s="660" t="s">
        <v>552</v>
      </c>
      <c r="B122" s="661" t="s">
        <v>553</v>
      </c>
      <c r="C122" s="662" t="s">
        <v>558</v>
      </c>
      <c r="D122" s="663" t="s">
        <v>1750</v>
      </c>
      <c r="E122" s="662" t="s">
        <v>575</v>
      </c>
      <c r="F122" s="663" t="s">
        <v>1754</v>
      </c>
      <c r="G122" s="662" t="s">
        <v>582</v>
      </c>
      <c r="H122" s="662" t="s">
        <v>987</v>
      </c>
      <c r="I122" s="662" t="s">
        <v>216</v>
      </c>
      <c r="J122" s="662" t="s">
        <v>988</v>
      </c>
      <c r="K122" s="662"/>
      <c r="L122" s="664">
        <v>37.512221882369516</v>
      </c>
      <c r="M122" s="664">
        <v>9</v>
      </c>
      <c r="N122" s="665">
        <v>337.60999694132568</v>
      </c>
    </row>
    <row r="123" spans="1:14" ht="14.4" customHeight="1" x14ac:dyDescent="0.3">
      <c r="A123" s="660" t="s">
        <v>552</v>
      </c>
      <c r="B123" s="661" t="s">
        <v>553</v>
      </c>
      <c r="C123" s="662" t="s">
        <v>558</v>
      </c>
      <c r="D123" s="663" t="s">
        <v>1750</v>
      </c>
      <c r="E123" s="662" t="s">
        <v>575</v>
      </c>
      <c r="F123" s="663" t="s">
        <v>1754</v>
      </c>
      <c r="G123" s="662" t="s">
        <v>582</v>
      </c>
      <c r="H123" s="662" t="s">
        <v>989</v>
      </c>
      <c r="I123" s="662" t="s">
        <v>216</v>
      </c>
      <c r="J123" s="662" t="s">
        <v>990</v>
      </c>
      <c r="K123" s="662" t="s">
        <v>991</v>
      </c>
      <c r="L123" s="664">
        <v>12.948507273968486</v>
      </c>
      <c r="M123" s="664">
        <v>1890</v>
      </c>
      <c r="N123" s="665">
        <v>24472.678747800441</v>
      </c>
    </row>
    <row r="124" spans="1:14" ht="14.4" customHeight="1" x14ac:dyDescent="0.3">
      <c r="A124" s="660" t="s">
        <v>552</v>
      </c>
      <c r="B124" s="661" t="s">
        <v>553</v>
      </c>
      <c r="C124" s="662" t="s">
        <v>558</v>
      </c>
      <c r="D124" s="663" t="s">
        <v>1750</v>
      </c>
      <c r="E124" s="662" t="s">
        <v>575</v>
      </c>
      <c r="F124" s="663" t="s">
        <v>1754</v>
      </c>
      <c r="G124" s="662" t="s">
        <v>582</v>
      </c>
      <c r="H124" s="662" t="s">
        <v>992</v>
      </c>
      <c r="I124" s="662" t="s">
        <v>992</v>
      </c>
      <c r="J124" s="662" t="s">
        <v>993</v>
      </c>
      <c r="K124" s="662" t="s">
        <v>994</v>
      </c>
      <c r="L124" s="664">
        <v>110</v>
      </c>
      <c r="M124" s="664">
        <v>1</v>
      </c>
      <c r="N124" s="665">
        <v>110</v>
      </c>
    </row>
    <row r="125" spans="1:14" ht="14.4" customHeight="1" x14ac:dyDescent="0.3">
      <c r="A125" s="660" t="s">
        <v>552</v>
      </c>
      <c r="B125" s="661" t="s">
        <v>553</v>
      </c>
      <c r="C125" s="662" t="s">
        <v>558</v>
      </c>
      <c r="D125" s="663" t="s">
        <v>1750</v>
      </c>
      <c r="E125" s="662" t="s">
        <v>575</v>
      </c>
      <c r="F125" s="663" t="s">
        <v>1754</v>
      </c>
      <c r="G125" s="662" t="s">
        <v>995</v>
      </c>
      <c r="H125" s="662" t="s">
        <v>996</v>
      </c>
      <c r="I125" s="662" t="s">
        <v>996</v>
      </c>
      <c r="J125" s="662" t="s">
        <v>997</v>
      </c>
      <c r="K125" s="662" t="s">
        <v>998</v>
      </c>
      <c r="L125" s="664">
        <v>122.59388888888888</v>
      </c>
      <c r="M125" s="664">
        <v>3</v>
      </c>
      <c r="N125" s="665">
        <v>367.78166666666664</v>
      </c>
    </row>
    <row r="126" spans="1:14" ht="14.4" customHeight="1" x14ac:dyDescent="0.3">
      <c r="A126" s="660" t="s">
        <v>552</v>
      </c>
      <c r="B126" s="661" t="s">
        <v>553</v>
      </c>
      <c r="C126" s="662" t="s">
        <v>558</v>
      </c>
      <c r="D126" s="663" t="s">
        <v>1750</v>
      </c>
      <c r="E126" s="662" t="s">
        <v>575</v>
      </c>
      <c r="F126" s="663" t="s">
        <v>1754</v>
      </c>
      <c r="G126" s="662" t="s">
        <v>995</v>
      </c>
      <c r="H126" s="662" t="s">
        <v>999</v>
      </c>
      <c r="I126" s="662" t="s">
        <v>999</v>
      </c>
      <c r="J126" s="662" t="s">
        <v>1000</v>
      </c>
      <c r="K126" s="662" t="s">
        <v>1001</v>
      </c>
      <c r="L126" s="664">
        <v>7.974968240477839</v>
      </c>
      <c r="M126" s="664">
        <v>4</v>
      </c>
      <c r="N126" s="665">
        <v>31.899872961911356</v>
      </c>
    </row>
    <row r="127" spans="1:14" ht="14.4" customHeight="1" x14ac:dyDescent="0.3">
      <c r="A127" s="660" t="s">
        <v>552</v>
      </c>
      <c r="B127" s="661" t="s">
        <v>553</v>
      </c>
      <c r="C127" s="662" t="s">
        <v>558</v>
      </c>
      <c r="D127" s="663" t="s">
        <v>1750</v>
      </c>
      <c r="E127" s="662" t="s">
        <v>575</v>
      </c>
      <c r="F127" s="663" t="s">
        <v>1754</v>
      </c>
      <c r="G127" s="662" t="s">
        <v>995</v>
      </c>
      <c r="H127" s="662" t="s">
        <v>1002</v>
      </c>
      <c r="I127" s="662" t="s">
        <v>1002</v>
      </c>
      <c r="J127" s="662" t="s">
        <v>1003</v>
      </c>
      <c r="K127" s="662" t="s">
        <v>1004</v>
      </c>
      <c r="L127" s="664">
        <v>12.079967450524725</v>
      </c>
      <c r="M127" s="664">
        <v>3</v>
      </c>
      <c r="N127" s="665">
        <v>36.239902351574173</v>
      </c>
    </row>
    <row r="128" spans="1:14" ht="14.4" customHeight="1" x14ac:dyDescent="0.3">
      <c r="A128" s="660" t="s">
        <v>552</v>
      </c>
      <c r="B128" s="661" t="s">
        <v>553</v>
      </c>
      <c r="C128" s="662" t="s">
        <v>558</v>
      </c>
      <c r="D128" s="663" t="s">
        <v>1750</v>
      </c>
      <c r="E128" s="662" t="s">
        <v>575</v>
      </c>
      <c r="F128" s="663" t="s">
        <v>1754</v>
      </c>
      <c r="G128" s="662" t="s">
        <v>995</v>
      </c>
      <c r="H128" s="662" t="s">
        <v>1005</v>
      </c>
      <c r="I128" s="662" t="s">
        <v>1006</v>
      </c>
      <c r="J128" s="662" t="s">
        <v>1007</v>
      </c>
      <c r="K128" s="662" t="s">
        <v>1008</v>
      </c>
      <c r="L128" s="664">
        <v>198.89009276265651</v>
      </c>
      <c r="M128" s="664">
        <v>1</v>
      </c>
      <c r="N128" s="665">
        <v>198.89009276265651</v>
      </c>
    </row>
    <row r="129" spans="1:14" ht="14.4" customHeight="1" x14ac:dyDescent="0.3">
      <c r="A129" s="660" t="s">
        <v>552</v>
      </c>
      <c r="B129" s="661" t="s">
        <v>553</v>
      </c>
      <c r="C129" s="662" t="s">
        <v>558</v>
      </c>
      <c r="D129" s="663" t="s">
        <v>1750</v>
      </c>
      <c r="E129" s="662" t="s">
        <v>575</v>
      </c>
      <c r="F129" s="663" t="s">
        <v>1754</v>
      </c>
      <c r="G129" s="662" t="s">
        <v>995</v>
      </c>
      <c r="H129" s="662" t="s">
        <v>1009</v>
      </c>
      <c r="I129" s="662" t="s">
        <v>1010</v>
      </c>
      <c r="J129" s="662" t="s">
        <v>1011</v>
      </c>
      <c r="K129" s="662" t="s">
        <v>1012</v>
      </c>
      <c r="L129" s="664">
        <v>45.204930067392247</v>
      </c>
      <c r="M129" s="664">
        <v>6</v>
      </c>
      <c r="N129" s="665">
        <v>271.2295804043535</v>
      </c>
    </row>
    <row r="130" spans="1:14" ht="14.4" customHeight="1" x14ac:dyDescent="0.3">
      <c r="A130" s="660" t="s">
        <v>552</v>
      </c>
      <c r="B130" s="661" t="s">
        <v>553</v>
      </c>
      <c r="C130" s="662" t="s">
        <v>558</v>
      </c>
      <c r="D130" s="663" t="s">
        <v>1750</v>
      </c>
      <c r="E130" s="662" t="s">
        <v>575</v>
      </c>
      <c r="F130" s="663" t="s">
        <v>1754</v>
      </c>
      <c r="G130" s="662" t="s">
        <v>995</v>
      </c>
      <c r="H130" s="662" t="s">
        <v>1013</v>
      </c>
      <c r="I130" s="662" t="s">
        <v>1014</v>
      </c>
      <c r="J130" s="662" t="s">
        <v>1015</v>
      </c>
      <c r="K130" s="662" t="s">
        <v>1016</v>
      </c>
      <c r="L130" s="664">
        <v>117.85333406187453</v>
      </c>
      <c r="M130" s="664">
        <v>3</v>
      </c>
      <c r="N130" s="665">
        <v>353.5600021856236</v>
      </c>
    </row>
    <row r="131" spans="1:14" ht="14.4" customHeight="1" x14ac:dyDescent="0.3">
      <c r="A131" s="660" t="s">
        <v>552</v>
      </c>
      <c r="B131" s="661" t="s">
        <v>553</v>
      </c>
      <c r="C131" s="662" t="s">
        <v>558</v>
      </c>
      <c r="D131" s="663" t="s">
        <v>1750</v>
      </c>
      <c r="E131" s="662" t="s">
        <v>575</v>
      </c>
      <c r="F131" s="663" t="s">
        <v>1754</v>
      </c>
      <c r="G131" s="662" t="s">
        <v>995</v>
      </c>
      <c r="H131" s="662" t="s">
        <v>1017</v>
      </c>
      <c r="I131" s="662" t="s">
        <v>1018</v>
      </c>
      <c r="J131" s="662" t="s">
        <v>1019</v>
      </c>
      <c r="K131" s="662" t="s">
        <v>1020</v>
      </c>
      <c r="L131" s="664">
        <v>72.46471030265144</v>
      </c>
      <c r="M131" s="664">
        <v>4</v>
      </c>
      <c r="N131" s="665">
        <v>289.85884121060576</v>
      </c>
    </row>
    <row r="132" spans="1:14" ht="14.4" customHeight="1" x14ac:dyDescent="0.3">
      <c r="A132" s="660" t="s">
        <v>552</v>
      </c>
      <c r="B132" s="661" t="s">
        <v>553</v>
      </c>
      <c r="C132" s="662" t="s">
        <v>558</v>
      </c>
      <c r="D132" s="663" t="s">
        <v>1750</v>
      </c>
      <c r="E132" s="662" t="s">
        <v>575</v>
      </c>
      <c r="F132" s="663" t="s">
        <v>1754</v>
      </c>
      <c r="G132" s="662" t="s">
        <v>995</v>
      </c>
      <c r="H132" s="662" t="s">
        <v>1021</v>
      </c>
      <c r="I132" s="662" t="s">
        <v>1022</v>
      </c>
      <c r="J132" s="662" t="s">
        <v>1023</v>
      </c>
      <c r="K132" s="662" t="s">
        <v>1024</v>
      </c>
      <c r="L132" s="664">
        <v>99.12</v>
      </c>
      <c r="M132" s="664">
        <v>2</v>
      </c>
      <c r="N132" s="665">
        <v>198.24</v>
      </c>
    </row>
    <row r="133" spans="1:14" ht="14.4" customHeight="1" x14ac:dyDescent="0.3">
      <c r="A133" s="660" t="s">
        <v>552</v>
      </c>
      <c r="B133" s="661" t="s">
        <v>553</v>
      </c>
      <c r="C133" s="662" t="s">
        <v>558</v>
      </c>
      <c r="D133" s="663" t="s">
        <v>1750</v>
      </c>
      <c r="E133" s="662" t="s">
        <v>575</v>
      </c>
      <c r="F133" s="663" t="s">
        <v>1754</v>
      </c>
      <c r="G133" s="662" t="s">
        <v>995</v>
      </c>
      <c r="H133" s="662" t="s">
        <v>1025</v>
      </c>
      <c r="I133" s="662" t="s">
        <v>1026</v>
      </c>
      <c r="J133" s="662" t="s">
        <v>1027</v>
      </c>
      <c r="K133" s="662" t="s">
        <v>1028</v>
      </c>
      <c r="L133" s="664">
        <v>140.13386748450216</v>
      </c>
      <c r="M133" s="664">
        <v>10</v>
      </c>
      <c r="N133" s="665">
        <v>1401.3386748450216</v>
      </c>
    </row>
    <row r="134" spans="1:14" ht="14.4" customHeight="1" x14ac:dyDescent="0.3">
      <c r="A134" s="660" t="s">
        <v>552</v>
      </c>
      <c r="B134" s="661" t="s">
        <v>553</v>
      </c>
      <c r="C134" s="662" t="s">
        <v>558</v>
      </c>
      <c r="D134" s="663" t="s">
        <v>1750</v>
      </c>
      <c r="E134" s="662" t="s">
        <v>575</v>
      </c>
      <c r="F134" s="663" t="s">
        <v>1754</v>
      </c>
      <c r="G134" s="662" t="s">
        <v>995</v>
      </c>
      <c r="H134" s="662" t="s">
        <v>1029</v>
      </c>
      <c r="I134" s="662" t="s">
        <v>1030</v>
      </c>
      <c r="J134" s="662" t="s">
        <v>1031</v>
      </c>
      <c r="K134" s="662" t="s">
        <v>1032</v>
      </c>
      <c r="L134" s="664">
        <v>1188.3030020293529</v>
      </c>
      <c r="M134" s="664">
        <v>1</v>
      </c>
      <c r="N134" s="665">
        <v>1188.3030020293529</v>
      </c>
    </row>
    <row r="135" spans="1:14" ht="14.4" customHeight="1" x14ac:dyDescent="0.3">
      <c r="A135" s="660" t="s">
        <v>552</v>
      </c>
      <c r="B135" s="661" t="s">
        <v>553</v>
      </c>
      <c r="C135" s="662" t="s">
        <v>558</v>
      </c>
      <c r="D135" s="663" t="s">
        <v>1750</v>
      </c>
      <c r="E135" s="662" t="s">
        <v>575</v>
      </c>
      <c r="F135" s="663" t="s">
        <v>1754</v>
      </c>
      <c r="G135" s="662" t="s">
        <v>995</v>
      </c>
      <c r="H135" s="662" t="s">
        <v>1033</v>
      </c>
      <c r="I135" s="662" t="s">
        <v>1034</v>
      </c>
      <c r="J135" s="662" t="s">
        <v>1035</v>
      </c>
      <c r="K135" s="662" t="s">
        <v>1036</v>
      </c>
      <c r="L135" s="664">
        <v>637.82862499999987</v>
      </c>
      <c r="M135" s="664">
        <v>8</v>
      </c>
      <c r="N135" s="665">
        <v>5102.628999999999</v>
      </c>
    </row>
    <row r="136" spans="1:14" ht="14.4" customHeight="1" x14ac:dyDescent="0.3">
      <c r="A136" s="660" t="s">
        <v>552</v>
      </c>
      <c r="B136" s="661" t="s">
        <v>553</v>
      </c>
      <c r="C136" s="662" t="s">
        <v>558</v>
      </c>
      <c r="D136" s="663" t="s">
        <v>1750</v>
      </c>
      <c r="E136" s="662" t="s">
        <v>575</v>
      </c>
      <c r="F136" s="663" t="s">
        <v>1754</v>
      </c>
      <c r="G136" s="662" t="s">
        <v>995</v>
      </c>
      <c r="H136" s="662" t="s">
        <v>1037</v>
      </c>
      <c r="I136" s="662" t="s">
        <v>1038</v>
      </c>
      <c r="J136" s="662" t="s">
        <v>1035</v>
      </c>
      <c r="K136" s="662" t="s">
        <v>1039</v>
      </c>
      <c r="L136" s="664">
        <v>721.2</v>
      </c>
      <c r="M136" s="664">
        <v>5</v>
      </c>
      <c r="N136" s="665">
        <v>3606</v>
      </c>
    </row>
    <row r="137" spans="1:14" ht="14.4" customHeight="1" x14ac:dyDescent="0.3">
      <c r="A137" s="660" t="s">
        <v>552</v>
      </c>
      <c r="B137" s="661" t="s">
        <v>553</v>
      </c>
      <c r="C137" s="662" t="s">
        <v>558</v>
      </c>
      <c r="D137" s="663" t="s">
        <v>1750</v>
      </c>
      <c r="E137" s="662" t="s">
        <v>575</v>
      </c>
      <c r="F137" s="663" t="s">
        <v>1754</v>
      </c>
      <c r="G137" s="662" t="s">
        <v>995</v>
      </c>
      <c r="H137" s="662" t="s">
        <v>1040</v>
      </c>
      <c r="I137" s="662" t="s">
        <v>1041</v>
      </c>
      <c r="J137" s="662" t="s">
        <v>1035</v>
      </c>
      <c r="K137" s="662" t="s">
        <v>1042</v>
      </c>
      <c r="L137" s="664">
        <v>913.65</v>
      </c>
      <c r="M137" s="664">
        <v>1</v>
      </c>
      <c r="N137" s="665">
        <v>913.65</v>
      </c>
    </row>
    <row r="138" spans="1:14" ht="14.4" customHeight="1" x14ac:dyDescent="0.3">
      <c r="A138" s="660" t="s">
        <v>552</v>
      </c>
      <c r="B138" s="661" t="s">
        <v>553</v>
      </c>
      <c r="C138" s="662" t="s">
        <v>558</v>
      </c>
      <c r="D138" s="663" t="s">
        <v>1750</v>
      </c>
      <c r="E138" s="662" t="s">
        <v>575</v>
      </c>
      <c r="F138" s="663" t="s">
        <v>1754</v>
      </c>
      <c r="G138" s="662" t="s">
        <v>995</v>
      </c>
      <c r="H138" s="662" t="s">
        <v>1043</v>
      </c>
      <c r="I138" s="662" t="s">
        <v>1044</v>
      </c>
      <c r="J138" s="662" t="s">
        <v>1045</v>
      </c>
      <c r="K138" s="662" t="s">
        <v>1046</v>
      </c>
      <c r="L138" s="664">
        <v>46.899999999999991</v>
      </c>
      <c r="M138" s="664">
        <v>1</v>
      </c>
      <c r="N138" s="665">
        <v>46.899999999999991</v>
      </c>
    </row>
    <row r="139" spans="1:14" ht="14.4" customHeight="1" x14ac:dyDescent="0.3">
      <c r="A139" s="660" t="s">
        <v>552</v>
      </c>
      <c r="B139" s="661" t="s">
        <v>553</v>
      </c>
      <c r="C139" s="662" t="s">
        <v>558</v>
      </c>
      <c r="D139" s="663" t="s">
        <v>1750</v>
      </c>
      <c r="E139" s="662" t="s">
        <v>575</v>
      </c>
      <c r="F139" s="663" t="s">
        <v>1754</v>
      </c>
      <c r="G139" s="662" t="s">
        <v>995</v>
      </c>
      <c r="H139" s="662" t="s">
        <v>1047</v>
      </c>
      <c r="I139" s="662" t="s">
        <v>1048</v>
      </c>
      <c r="J139" s="662" t="s">
        <v>1049</v>
      </c>
      <c r="K139" s="662" t="s">
        <v>1050</v>
      </c>
      <c r="L139" s="664">
        <v>43.650448568839899</v>
      </c>
      <c r="M139" s="664">
        <v>19</v>
      </c>
      <c r="N139" s="665">
        <v>829.35852280795802</v>
      </c>
    </row>
    <row r="140" spans="1:14" ht="14.4" customHeight="1" x14ac:dyDescent="0.3">
      <c r="A140" s="660" t="s">
        <v>552</v>
      </c>
      <c r="B140" s="661" t="s">
        <v>553</v>
      </c>
      <c r="C140" s="662" t="s">
        <v>558</v>
      </c>
      <c r="D140" s="663" t="s">
        <v>1750</v>
      </c>
      <c r="E140" s="662" t="s">
        <v>575</v>
      </c>
      <c r="F140" s="663" t="s">
        <v>1754</v>
      </c>
      <c r="G140" s="662" t="s">
        <v>995</v>
      </c>
      <c r="H140" s="662" t="s">
        <v>1051</v>
      </c>
      <c r="I140" s="662" t="s">
        <v>1052</v>
      </c>
      <c r="J140" s="662" t="s">
        <v>1053</v>
      </c>
      <c r="K140" s="662" t="s">
        <v>1054</v>
      </c>
      <c r="L140" s="664">
        <v>52.75</v>
      </c>
      <c r="M140" s="664">
        <v>2</v>
      </c>
      <c r="N140" s="665">
        <v>105.5</v>
      </c>
    </row>
    <row r="141" spans="1:14" ht="14.4" customHeight="1" x14ac:dyDescent="0.3">
      <c r="A141" s="660" t="s">
        <v>552</v>
      </c>
      <c r="B141" s="661" t="s">
        <v>553</v>
      </c>
      <c r="C141" s="662" t="s">
        <v>558</v>
      </c>
      <c r="D141" s="663" t="s">
        <v>1750</v>
      </c>
      <c r="E141" s="662" t="s">
        <v>575</v>
      </c>
      <c r="F141" s="663" t="s">
        <v>1754</v>
      </c>
      <c r="G141" s="662" t="s">
        <v>995</v>
      </c>
      <c r="H141" s="662" t="s">
        <v>1055</v>
      </c>
      <c r="I141" s="662" t="s">
        <v>1056</v>
      </c>
      <c r="J141" s="662" t="s">
        <v>1057</v>
      </c>
      <c r="K141" s="662" t="s">
        <v>1058</v>
      </c>
      <c r="L141" s="664">
        <v>70.336542698419123</v>
      </c>
      <c r="M141" s="664">
        <v>9</v>
      </c>
      <c r="N141" s="665">
        <v>633.02888428577216</v>
      </c>
    </row>
    <row r="142" spans="1:14" ht="14.4" customHeight="1" x14ac:dyDescent="0.3">
      <c r="A142" s="660" t="s">
        <v>552</v>
      </c>
      <c r="B142" s="661" t="s">
        <v>553</v>
      </c>
      <c r="C142" s="662" t="s">
        <v>558</v>
      </c>
      <c r="D142" s="663" t="s">
        <v>1750</v>
      </c>
      <c r="E142" s="662" t="s">
        <v>575</v>
      </c>
      <c r="F142" s="663" t="s">
        <v>1754</v>
      </c>
      <c r="G142" s="662" t="s">
        <v>995</v>
      </c>
      <c r="H142" s="662" t="s">
        <v>1059</v>
      </c>
      <c r="I142" s="662" t="s">
        <v>1060</v>
      </c>
      <c r="J142" s="662" t="s">
        <v>1061</v>
      </c>
      <c r="K142" s="662" t="s">
        <v>974</v>
      </c>
      <c r="L142" s="664">
        <v>76.36</v>
      </c>
      <c r="M142" s="664">
        <v>4</v>
      </c>
      <c r="N142" s="665">
        <v>305.44</v>
      </c>
    </row>
    <row r="143" spans="1:14" ht="14.4" customHeight="1" x14ac:dyDescent="0.3">
      <c r="A143" s="660" t="s">
        <v>552</v>
      </c>
      <c r="B143" s="661" t="s">
        <v>553</v>
      </c>
      <c r="C143" s="662" t="s">
        <v>558</v>
      </c>
      <c r="D143" s="663" t="s">
        <v>1750</v>
      </c>
      <c r="E143" s="662" t="s">
        <v>575</v>
      </c>
      <c r="F143" s="663" t="s">
        <v>1754</v>
      </c>
      <c r="G143" s="662" t="s">
        <v>995</v>
      </c>
      <c r="H143" s="662" t="s">
        <v>1062</v>
      </c>
      <c r="I143" s="662" t="s">
        <v>1063</v>
      </c>
      <c r="J143" s="662" t="s">
        <v>1064</v>
      </c>
      <c r="K143" s="662" t="s">
        <v>1065</v>
      </c>
      <c r="L143" s="664">
        <v>36.259778353083789</v>
      </c>
      <c r="M143" s="664">
        <v>7</v>
      </c>
      <c r="N143" s="665">
        <v>253.81844847158652</v>
      </c>
    </row>
    <row r="144" spans="1:14" ht="14.4" customHeight="1" x14ac:dyDescent="0.3">
      <c r="A144" s="660" t="s">
        <v>552</v>
      </c>
      <c r="B144" s="661" t="s">
        <v>553</v>
      </c>
      <c r="C144" s="662" t="s">
        <v>558</v>
      </c>
      <c r="D144" s="663" t="s">
        <v>1750</v>
      </c>
      <c r="E144" s="662" t="s">
        <v>575</v>
      </c>
      <c r="F144" s="663" t="s">
        <v>1754</v>
      </c>
      <c r="G144" s="662" t="s">
        <v>995</v>
      </c>
      <c r="H144" s="662" t="s">
        <v>1066</v>
      </c>
      <c r="I144" s="662" t="s">
        <v>1067</v>
      </c>
      <c r="J144" s="662" t="s">
        <v>1068</v>
      </c>
      <c r="K144" s="662" t="s">
        <v>1069</v>
      </c>
      <c r="L144" s="664">
        <v>80.61</v>
      </c>
      <c r="M144" s="664">
        <v>8</v>
      </c>
      <c r="N144" s="665">
        <v>644.88</v>
      </c>
    </row>
    <row r="145" spans="1:14" ht="14.4" customHeight="1" x14ac:dyDescent="0.3">
      <c r="A145" s="660" t="s">
        <v>552</v>
      </c>
      <c r="B145" s="661" t="s">
        <v>553</v>
      </c>
      <c r="C145" s="662" t="s">
        <v>558</v>
      </c>
      <c r="D145" s="663" t="s">
        <v>1750</v>
      </c>
      <c r="E145" s="662" t="s">
        <v>575</v>
      </c>
      <c r="F145" s="663" t="s">
        <v>1754</v>
      </c>
      <c r="G145" s="662" t="s">
        <v>995</v>
      </c>
      <c r="H145" s="662" t="s">
        <v>1070</v>
      </c>
      <c r="I145" s="662" t="s">
        <v>1071</v>
      </c>
      <c r="J145" s="662" t="s">
        <v>1072</v>
      </c>
      <c r="K145" s="662" t="s">
        <v>1073</v>
      </c>
      <c r="L145" s="664">
        <v>1146.4111016219281</v>
      </c>
      <c r="M145" s="664">
        <v>8</v>
      </c>
      <c r="N145" s="665">
        <v>9171.2888129754247</v>
      </c>
    </row>
    <row r="146" spans="1:14" ht="14.4" customHeight="1" x14ac:dyDescent="0.3">
      <c r="A146" s="660" t="s">
        <v>552</v>
      </c>
      <c r="B146" s="661" t="s">
        <v>553</v>
      </c>
      <c r="C146" s="662" t="s">
        <v>558</v>
      </c>
      <c r="D146" s="663" t="s">
        <v>1750</v>
      </c>
      <c r="E146" s="662" t="s">
        <v>575</v>
      </c>
      <c r="F146" s="663" t="s">
        <v>1754</v>
      </c>
      <c r="G146" s="662" t="s">
        <v>995</v>
      </c>
      <c r="H146" s="662" t="s">
        <v>1074</v>
      </c>
      <c r="I146" s="662" t="s">
        <v>1075</v>
      </c>
      <c r="J146" s="662" t="s">
        <v>1072</v>
      </c>
      <c r="K146" s="662" t="s">
        <v>1076</v>
      </c>
      <c r="L146" s="664">
        <v>1541.5399999999995</v>
      </c>
      <c r="M146" s="664">
        <v>5</v>
      </c>
      <c r="N146" s="665">
        <v>7707.699999999998</v>
      </c>
    </row>
    <row r="147" spans="1:14" ht="14.4" customHeight="1" x14ac:dyDescent="0.3">
      <c r="A147" s="660" t="s">
        <v>552</v>
      </c>
      <c r="B147" s="661" t="s">
        <v>553</v>
      </c>
      <c r="C147" s="662" t="s">
        <v>558</v>
      </c>
      <c r="D147" s="663" t="s">
        <v>1750</v>
      </c>
      <c r="E147" s="662" t="s">
        <v>575</v>
      </c>
      <c r="F147" s="663" t="s">
        <v>1754</v>
      </c>
      <c r="G147" s="662" t="s">
        <v>995</v>
      </c>
      <c r="H147" s="662" t="s">
        <v>1077</v>
      </c>
      <c r="I147" s="662" t="s">
        <v>1077</v>
      </c>
      <c r="J147" s="662" t="s">
        <v>1078</v>
      </c>
      <c r="K147" s="662" t="s">
        <v>1079</v>
      </c>
      <c r="L147" s="664">
        <v>63.399729331722106</v>
      </c>
      <c r="M147" s="664">
        <v>1</v>
      </c>
      <c r="N147" s="665">
        <v>63.399729331722106</v>
      </c>
    </row>
    <row r="148" spans="1:14" ht="14.4" customHeight="1" x14ac:dyDescent="0.3">
      <c r="A148" s="660" t="s">
        <v>552</v>
      </c>
      <c r="B148" s="661" t="s">
        <v>553</v>
      </c>
      <c r="C148" s="662" t="s">
        <v>558</v>
      </c>
      <c r="D148" s="663" t="s">
        <v>1750</v>
      </c>
      <c r="E148" s="662" t="s">
        <v>575</v>
      </c>
      <c r="F148" s="663" t="s">
        <v>1754</v>
      </c>
      <c r="G148" s="662" t="s">
        <v>995</v>
      </c>
      <c r="H148" s="662" t="s">
        <v>1080</v>
      </c>
      <c r="I148" s="662" t="s">
        <v>1081</v>
      </c>
      <c r="J148" s="662" t="s">
        <v>1082</v>
      </c>
      <c r="K148" s="662" t="s">
        <v>1083</v>
      </c>
      <c r="L148" s="664">
        <v>47.089973544752731</v>
      </c>
      <c r="M148" s="664">
        <v>4</v>
      </c>
      <c r="N148" s="665">
        <v>188.35989417901092</v>
      </c>
    </row>
    <row r="149" spans="1:14" ht="14.4" customHeight="1" x14ac:dyDescent="0.3">
      <c r="A149" s="660" t="s">
        <v>552</v>
      </c>
      <c r="B149" s="661" t="s">
        <v>553</v>
      </c>
      <c r="C149" s="662" t="s">
        <v>558</v>
      </c>
      <c r="D149" s="663" t="s">
        <v>1750</v>
      </c>
      <c r="E149" s="662" t="s">
        <v>575</v>
      </c>
      <c r="F149" s="663" t="s">
        <v>1754</v>
      </c>
      <c r="G149" s="662" t="s">
        <v>995</v>
      </c>
      <c r="H149" s="662" t="s">
        <v>1084</v>
      </c>
      <c r="I149" s="662" t="s">
        <v>1085</v>
      </c>
      <c r="J149" s="662" t="s">
        <v>1086</v>
      </c>
      <c r="K149" s="662" t="s">
        <v>1087</v>
      </c>
      <c r="L149" s="664">
        <v>93.74979399294061</v>
      </c>
      <c r="M149" s="664">
        <v>6</v>
      </c>
      <c r="N149" s="665">
        <v>562.49876395764363</v>
      </c>
    </row>
    <row r="150" spans="1:14" ht="14.4" customHeight="1" x14ac:dyDescent="0.3">
      <c r="A150" s="660" t="s">
        <v>552</v>
      </c>
      <c r="B150" s="661" t="s">
        <v>553</v>
      </c>
      <c r="C150" s="662" t="s">
        <v>558</v>
      </c>
      <c r="D150" s="663" t="s">
        <v>1750</v>
      </c>
      <c r="E150" s="662" t="s">
        <v>575</v>
      </c>
      <c r="F150" s="663" t="s">
        <v>1754</v>
      </c>
      <c r="G150" s="662" t="s">
        <v>995</v>
      </c>
      <c r="H150" s="662" t="s">
        <v>1088</v>
      </c>
      <c r="I150" s="662" t="s">
        <v>1089</v>
      </c>
      <c r="J150" s="662" t="s">
        <v>1090</v>
      </c>
      <c r="K150" s="662" t="s">
        <v>1091</v>
      </c>
      <c r="L150" s="664">
        <v>138.77000000000001</v>
      </c>
      <c r="M150" s="664">
        <v>3</v>
      </c>
      <c r="N150" s="665">
        <v>416.31000000000006</v>
      </c>
    </row>
    <row r="151" spans="1:14" ht="14.4" customHeight="1" x14ac:dyDescent="0.3">
      <c r="A151" s="660" t="s">
        <v>552</v>
      </c>
      <c r="B151" s="661" t="s">
        <v>553</v>
      </c>
      <c r="C151" s="662" t="s">
        <v>558</v>
      </c>
      <c r="D151" s="663" t="s">
        <v>1750</v>
      </c>
      <c r="E151" s="662" t="s">
        <v>575</v>
      </c>
      <c r="F151" s="663" t="s">
        <v>1754</v>
      </c>
      <c r="G151" s="662" t="s">
        <v>995</v>
      </c>
      <c r="H151" s="662" t="s">
        <v>1092</v>
      </c>
      <c r="I151" s="662" t="s">
        <v>1093</v>
      </c>
      <c r="J151" s="662" t="s">
        <v>1094</v>
      </c>
      <c r="K151" s="662" t="s">
        <v>1095</v>
      </c>
      <c r="L151" s="664">
        <v>222.21</v>
      </c>
      <c r="M151" s="664">
        <v>2</v>
      </c>
      <c r="N151" s="665">
        <v>444.42</v>
      </c>
    </row>
    <row r="152" spans="1:14" ht="14.4" customHeight="1" x14ac:dyDescent="0.3">
      <c r="A152" s="660" t="s">
        <v>552</v>
      </c>
      <c r="B152" s="661" t="s">
        <v>553</v>
      </c>
      <c r="C152" s="662" t="s">
        <v>558</v>
      </c>
      <c r="D152" s="663" t="s">
        <v>1750</v>
      </c>
      <c r="E152" s="662" t="s">
        <v>575</v>
      </c>
      <c r="F152" s="663" t="s">
        <v>1754</v>
      </c>
      <c r="G152" s="662" t="s">
        <v>995</v>
      </c>
      <c r="H152" s="662" t="s">
        <v>1096</v>
      </c>
      <c r="I152" s="662" t="s">
        <v>1097</v>
      </c>
      <c r="J152" s="662" t="s">
        <v>1011</v>
      </c>
      <c r="K152" s="662" t="s">
        <v>1098</v>
      </c>
      <c r="L152" s="664">
        <v>131.29246309255001</v>
      </c>
      <c r="M152" s="664">
        <v>32</v>
      </c>
      <c r="N152" s="665">
        <v>4201.3588189616003</v>
      </c>
    </row>
    <row r="153" spans="1:14" ht="14.4" customHeight="1" x14ac:dyDescent="0.3">
      <c r="A153" s="660" t="s">
        <v>552</v>
      </c>
      <c r="B153" s="661" t="s">
        <v>553</v>
      </c>
      <c r="C153" s="662" t="s">
        <v>558</v>
      </c>
      <c r="D153" s="663" t="s">
        <v>1750</v>
      </c>
      <c r="E153" s="662" t="s">
        <v>575</v>
      </c>
      <c r="F153" s="663" t="s">
        <v>1754</v>
      </c>
      <c r="G153" s="662" t="s">
        <v>995</v>
      </c>
      <c r="H153" s="662" t="s">
        <v>1099</v>
      </c>
      <c r="I153" s="662" t="s">
        <v>1100</v>
      </c>
      <c r="J153" s="662" t="s">
        <v>1101</v>
      </c>
      <c r="K153" s="662" t="s">
        <v>1102</v>
      </c>
      <c r="L153" s="664">
        <v>23.425000000000001</v>
      </c>
      <c r="M153" s="664">
        <v>2</v>
      </c>
      <c r="N153" s="665">
        <v>46.85</v>
      </c>
    </row>
    <row r="154" spans="1:14" ht="14.4" customHeight="1" x14ac:dyDescent="0.3">
      <c r="A154" s="660" t="s">
        <v>552</v>
      </c>
      <c r="B154" s="661" t="s">
        <v>553</v>
      </c>
      <c r="C154" s="662" t="s">
        <v>558</v>
      </c>
      <c r="D154" s="663" t="s">
        <v>1750</v>
      </c>
      <c r="E154" s="662" t="s">
        <v>575</v>
      </c>
      <c r="F154" s="663" t="s">
        <v>1754</v>
      </c>
      <c r="G154" s="662" t="s">
        <v>995</v>
      </c>
      <c r="H154" s="662" t="s">
        <v>1103</v>
      </c>
      <c r="I154" s="662" t="s">
        <v>1104</v>
      </c>
      <c r="J154" s="662" t="s">
        <v>1105</v>
      </c>
      <c r="K154" s="662" t="s">
        <v>1106</v>
      </c>
      <c r="L154" s="664">
        <v>24.970000000000006</v>
      </c>
      <c r="M154" s="664">
        <v>2</v>
      </c>
      <c r="N154" s="665">
        <v>49.940000000000012</v>
      </c>
    </row>
    <row r="155" spans="1:14" ht="14.4" customHeight="1" x14ac:dyDescent="0.3">
      <c r="A155" s="660" t="s">
        <v>552</v>
      </c>
      <c r="B155" s="661" t="s">
        <v>553</v>
      </c>
      <c r="C155" s="662" t="s">
        <v>558</v>
      </c>
      <c r="D155" s="663" t="s">
        <v>1750</v>
      </c>
      <c r="E155" s="662" t="s">
        <v>575</v>
      </c>
      <c r="F155" s="663" t="s">
        <v>1754</v>
      </c>
      <c r="G155" s="662" t="s">
        <v>995</v>
      </c>
      <c r="H155" s="662" t="s">
        <v>1107</v>
      </c>
      <c r="I155" s="662" t="s">
        <v>1108</v>
      </c>
      <c r="J155" s="662" t="s">
        <v>1109</v>
      </c>
      <c r="K155" s="662" t="s">
        <v>1110</v>
      </c>
      <c r="L155" s="664">
        <v>49.559715106921132</v>
      </c>
      <c r="M155" s="664">
        <v>4</v>
      </c>
      <c r="N155" s="665">
        <v>198.23886042768453</v>
      </c>
    </row>
    <row r="156" spans="1:14" ht="14.4" customHeight="1" x14ac:dyDescent="0.3">
      <c r="A156" s="660" t="s">
        <v>552</v>
      </c>
      <c r="B156" s="661" t="s">
        <v>553</v>
      </c>
      <c r="C156" s="662" t="s">
        <v>558</v>
      </c>
      <c r="D156" s="663" t="s">
        <v>1750</v>
      </c>
      <c r="E156" s="662" t="s">
        <v>575</v>
      </c>
      <c r="F156" s="663" t="s">
        <v>1754</v>
      </c>
      <c r="G156" s="662" t="s">
        <v>995</v>
      </c>
      <c r="H156" s="662" t="s">
        <v>1111</v>
      </c>
      <c r="I156" s="662" t="s">
        <v>1112</v>
      </c>
      <c r="J156" s="662" t="s">
        <v>1113</v>
      </c>
      <c r="K156" s="662" t="s">
        <v>1114</v>
      </c>
      <c r="L156" s="664">
        <v>471.15451248089784</v>
      </c>
      <c r="M156" s="664">
        <v>4</v>
      </c>
      <c r="N156" s="665">
        <v>1884.6180499235913</v>
      </c>
    </row>
    <row r="157" spans="1:14" ht="14.4" customHeight="1" x14ac:dyDescent="0.3">
      <c r="A157" s="660" t="s">
        <v>552</v>
      </c>
      <c r="B157" s="661" t="s">
        <v>553</v>
      </c>
      <c r="C157" s="662" t="s">
        <v>558</v>
      </c>
      <c r="D157" s="663" t="s">
        <v>1750</v>
      </c>
      <c r="E157" s="662" t="s">
        <v>575</v>
      </c>
      <c r="F157" s="663" t="s">
        <v>1754</v>
      </c>
      <c r="G157" s="662" t="s">
        <v>995</v>
      </c>
      <c r="H157" s="662" t="s">
        <v>1115</v>
      </c>
      <c r="I157" s="662" t="s">
        <v>1116</v>
      </c>
      <c r="J157" s="662" t="s">
        <v>1117</v>
      </c>
      <c r="K157" s="662" t="s">
        <v>1118</v>
      </c>
      <c r="L157" s="664">
        <v>52.91013219465939</v>
      </c>
      <c r="M157" s="664">
        <v>2</v>
      </c>
      <c r="N157" s="665">
        <v>105.82026438931878</v>
      </c>
    </row>
    <row r="158" spans="1:14" ht="14.4" customHeight="1" x14ac:dyDescent="0.3">
      <c r="A158" s="660" t="s">
        <v>552</v>
      </c>
      <c r="B158" s="661" t="s">
        <v>553</v>
      </c>
      <c r="C158" s="662" t="s">
        <v>558</v>
      </c>
      <c r="D158" s="663" t="s">
        <v>1750</v>
      </c>
      <c r="E158" s="662" t="s">
        <v>575</v>
      </c>
      <c r="F158" s="663" t="s">
        <v>1754</v>
      </c>
      <c r="G158" s="662" t="s">
        <v>995</v>
      </c>
      <c r="H158" s="662" t="s">
        <v>1119</v>
      </c>
      <c r="I158" s="662" t="s">
        <v>1120</v>
      </c>
      <c r="J158" s="662" t="s">
        <v>1121</v>
      </c>
      <c r="K158" s="662" t="s">
        <v>1122</v>
      </c>
      <c r="L158" s="664">
        <v>71.786666666666648</v>
      </c>
      <c r="M158" s="664">
        <v>3</v>
      </c>
      <c r="N158" s="665">
        <v>215.35999999999996</v>
      </c>
    </row>
    <row r="159" spans="1:14" ht="14.4" customHeight="1" x14ac:dyDescent="0.3">
      <c r="A159" s="660" t="s">
        <v>552</v>
      </c>
      <c r="B159" s="661" t="s">
        <v>553</v>
      </c>
      <c r="C159" s="662" t="s">
        <v>558</v>
      </c>
      <c r="D159" s="663" t="s">
        <v>1750</v>
      </c>
      <c r="E159" s="662" t="s">
        <v>575</v>
      </c>
      <c r="F159" s="663" t="s">
        <v>1754</v>
      </c>
      <c r="G159" s="662" t="s">
        <v>995</v>
      </c>
      <c r="H159" s="662" t="s">
        <v>1123</v>
      </c>
      <c r="I159" s="662" t="s">
        <v>1123</v>
      </c>
      <c r="J159" s="662" t="s">
        <v>1124</v>
      </c>
      <c r="K159" s="662" t="s">
        <v>1125</v>
      </c>
      <c r="L159" s="664">
        <v>82.429999999999993</v>
      </c>
      <c r="M159" s="664">
        <v>5</v>
      </c>
      <c r="N159" s="665">
        <v>412.15</v>
      </c>
    </row>
    <row r="160" spans="1:14" ht="14.4" customHeight="1" x14ac:dyDescent="0.3">
      <c r="A160" s="660" t="s">
        <v>552</v>
      </c>
      <c r="B160" s="661" t="s">
        <v>553</v>
      </c>
      <c r="C160" s="662" t="s">
        <v>558</v>
      </c>
      <c r="D160" s="663" t="s">
        <v>1750</v>
      </c>
      <c r="E160" s="662" t="s">
        <v>575</v>
      </c>
      <c r="F160" s="663" t="s">
        <v>1754</v>
      </c>
      <c r="G160" s="662" t="s">
        <v>995</v>
      </c>
      <c r="H160" s="662" t="s">
        <v>1126</v>
      </c>
      <c r="I160" s="662" t="s">
        <v>1127</v>
      </c>
      <c r="J160" s="662" t="s">
        <v>1128</v>
      </c>
      <c r="K160" s="662" t="s">
        <v>1129</v>
      </c>
      <c r="L160" s="664">
        <v>64.48</v>
      </c>
      <c r="M160" s="664">
        <v>1</v>
      </c>
      <c r="N160" s="665">
        <v>64.48</v>
      </c>
    </row>
    <row r="161" spans="1:14" ht="14.4" customHeight="1" x14ac:dyDescent="0.3">
      <c r="A161" s="660" t="s">
        <v>552</v>
      </c>
      <c r="B161" s="661" t="s">
        <v>553</v>
      </c>
      <c r="C161" s="662" t="s">
        <v>558</v>
      </c>
      <c r="D161" s="663" t="s">
        <v>1750</v>
      </c>
      <c r="E161" s="662" t="s">
        <v>575</v>
      </c>
      <c r="F161" s="663" t="s">
        <v>1754</v>
      </c>
      <c r="G161" s="662" t="s">
        <v>995</v>
      </c>
      <c r="H161" s="662" t="s">
        <v>1130</v>
      </c>
      <c r="I161" s="662" t="s">
        <v>1131</v>
      </c>
      <c r="J161" s="662" t="s">
        <v>1132</v>
      </c>
      <c r="K161" s="662" t="s">
        <v>1133</v>
      </c>
      <c r="L161" s="664">
        <v>144.94449023740609</v>
      </c>
      <c r="M161" s="664">
        <v>11</v>
      </c>
      <c r="N161" s="665">
        <v>1594.389392611467</v>
      </c>
    </row>
    <row r="162" spans="1:14" ht="14.4" customHeight="1" x14ac:dyDescent="0.3">
      <c r="A162" s="660" t="s">
        <v>552</v>
      </c>
      <c r="B162" s="661" t="s">
        <v>553</v>
      </c>
      <c r="C162" s="662" t="s">
        <v>558</v>
      </c>
      <c r="D162" s="663" t="s">
        <v>1750</v>
      </c>
      <c r="E162" s="662" t="s">
        <v>575</v>
      </c>
      <c r="F162" s="663" t="s">
        <v>1754</v>
      </c>
      <c r="G162" s="662" t="s">
        <v>995</v>
      </c>
      <c r="H162" s="662" t="s">
        <v>1134</v>
      </c>
      <c r="I162" s="662" t="s">
        <v>1135</v>
      </c>
      <c r="J162" s="662" t="s">
        <v>1136</v>
      </c>
      <c r="K162" s="662" t="s">
        <v>1137</v>
      </c>
      <c r="L162" s="664">
        <v>335.94895995800181</v>
      </c>
      <c r="M162" s="664">
        <v>1</v>
      </c>
      <c r="N162" s="665">
        <v>335.94895995800181</v>
      </c>
    </row>
    <row r="163" spans="1:14" ht="14.4" customHeight="1" x14ac:dyDescent="0.3">
      <c r="A163" s="660" t="s">
        <v>552</v>
      </c>
      <c r="B163" s="661" t="s">
        <v>553</v>
      </c>
      <c r="C163" s="662" t="s">
        <v>558</v>
      </c>
      <c r="D163" s="663" t="s">
        <v>1750</v>
      </c>
      <c r="E163" s="662" t="s">
        <v>575</v>
      </c>
      <c r="F163" s="663" t="s">
        <v>1754</v>
      </c>
      <c r="G163" s="662" t="s">
        <v>995</v>
      </c>
      <c r="H163" s="662" t="s">
        <v>1138</v>
      </c>
      <c r="I163" s="662" t="s">
        <v>1139</v>
      </c>
      <c r="J163" s="662" t="s">
        <v>1140</v>
      </c>
      <c r="K163" s="662" t="s">
        <v>1141</v>
      </c>
      <c r="L163" s="664">
        <v>39.749936166741371</v>
      </c>
      <c r="M163" s="664">
        <v>6</v>
      </c>
      <c r="N163" s="665">
        <v>238.49961700044821</v>
      </c>
    </row>
    <row r="164" spans="1:14" ht="14.4" customHeight="1" x14ac:dyDescent="0.3">
      <c r="A164" s="660" t="s">
        <v>552</v>
      </c>
      <c r="B164" s="661" t="s">
        <v>553</v>
      </c>
      <c r="C164" s="662" t="s">
        <v>558</v>
      </c>
      <c r="D164" s="663" t="s">
        <v>1750</v>
      </c>
      <c r="E164" s="662" t="s">
        <v>575</v>
      </c>
      <c r="F164" s="663" t="s">
        <v>1754</v>
      </c>
      <c r="G164" s="662" t="s">
        <v>995</v>
      </c>
      <c r="H164" s="662" t="s">
        <v>1142</v>
      </c>
      <c r="I164" s="662" t="s">
        <v>1143</v>
      </c>
      <c r="J164" s="662" t="s">
        <v>1144</v>
      </c>
      <c r="K164" s="662" t="s">
        <v>1145</v>
      </c>
      <c r="L164" s="664">
        <v>254.77</v>
      </c>
      <c r="M164" s="664">
        <v>4</v>
      </c>
      <c r="N164" s="665">
        <v>1019.08</v>
      </c>
    </row>
    <row r="165" spans="1:14" ht="14.4" customHeight="1" x14ac:dyDescent="0.3">
      <c r="A165" s="660" t="s">
        <v>552</v>
      </c>
      <c r="B165" s="661" t="s">
        <v>553</v>
      </c>
      <c r="C165" s="662" t="s">
        <v>558</v>
      </c>
      <c r="D165" s="663" t="s">
        <v>1750</v>
      </c>
      <c r="E165" s="662" t="s">
        <v>575</v>
      </c>
      <c r="F165" s="663" t="s">
        <v>1754</v>
      </c>
      <c r="G165" s="662" t="s">
        <v>995</v>
      </c>
      <c r="H165" s="662" t="s">
        <v>1146</v>
      </c>
      <c r="I165" s="662" t="s">
        <v>1147</v>
      </c>
      <c r="J165" s="662" t="s">
        <v>1148</v>
      </c>
      <c r="K165" s="662" t="s">
        <v>1149</v>
      </c>
      <c r="L165" s="664">
        <v>210.46999999999997</v>
      </c>
      <c r="M165" s="664">
        <v>2</v>
      </c>
      <c r="N165" s="665">
        <v>420.93999999999994</v>
      </c>
    </row>
    <row r="166" spans="1:14" ht="14.4" customHeight="1" x14ac:dyDescent="0.3">
      <c r="A166" s="660" t="s">
        <v>552</v>
      </c>
      <c r="B166" s="661" t="s">
        <v>553</v>
      </c>
      <c r="C166" s="662" t="s">
        <v>558</v>
      </c>
      <c r="D166" s="663" t="s">
        <v>1750</v>
      </c>
      <c r="E166" s="662" t="s">
        <v>575</v>
      </c>
      <c r="F166" s="663" t="s">
        <v>1754</v>
      </c>
      <c r="G166" s="662" t="s">
        <v>995</v>
      </c>
      <c r="H166" s="662" t="s">
        <v>1150</v>
      </c>
      <c r="I166" s="662" t="s">
        <v>1151</v>
      </c>
      <c r="J166" s="662" t="s">
        <v>1035</v>
      </c>
      <c r="K166" s="662" t="s">
        <v>1152</v>
      </c>
      <c r="L166" s="664">
        <v>303.29542832122098</v>
      </c>
      <c r="M166" s="664">
        <v>15</v>
      </c>
      <c r="N166" s="665">
        <v>4549.4314248183146</v>
      </c>
    </row>
    <row r="167" spans="1:14" ht="14.4" customHeight="1" x14ac:dyDescent="0.3">
      <c r="A167" s="660" t="s">
        <v>552</v>
      </c>
      <c r="B167" s="661" t="s">
        <v>553</v>
      </c>
      <c r="C167" s="662" t="s">
        <v>558</v>
      </c>
      <c r="D167" s="663" t="s">
        <v>1750</v>
      </c>
      <c r="E167" s="662" t="s">
        <v>575</v>
      </c>
      <c r="F167" s="663" t="s">
        <v>1754</v>
      </c>
      <c r="G167" s="662" t="s">
        <v>995</v>
      </c>
      <c r="H167" s="662" t="s">
        <v>1153</v>
      </c>
      <c r="I167" s="662" t="s">
        <v>1154</v>
      </c>
      <c r="J167" s="662" t="s">
        <v>1035</v>
      </c>
      <c r="K167" s="662" t="s">
        <v>1155</v>
      </c>
      <c r="L167" s="664">
        <v>408.95</v>
      </c>
      <c r="M167" s="664">
        <v>11</v>
      </c>
      <c r="N167" s="665">
        <v>4498.45</v>
      </c>
    </row>
    <row r="168" spans="1:14" ht="14.4" customHeight="1" x14ac:dyDescent="0.3">
      <c r="A168" s="660" t="s">
        <v>552</v>
      </c>
      <c r="B168" s="661" t="s">
        <v>553</v>
      </c>
      <c r="C168" s="662" t="s">
        <v>558</v>
      </c>
      <c r="D168" s="663" t="s">
        <v>1750</v>
      </c>
      <c r="E168" s="662" t="s">
        <v>575</v>
      </c>
      <c r="F168" s="663" t="s">
        <v>1754</v>
      </c>
      <c r="G168" s="662" t="s">
        <v>995</v>
      </c>
      <c r="H168" s="662" t="s">
        <v>1156</v>
      </c>
      <c r="I168" s="662" t="s">
        <v>1157</v>
      </c>
      <c r="J168" s="662" t="s">
        <v>1057</v>
      </c>
      <c r="K168" s="662" t="s">
        <v>1158</v>
      </c>
      <c r="L168" s="664">
        <v>239.90999999999994</v>
      </c>
      <c r="M168" s="664">
        <v>1</v>
      </c>
      <c r="N168" s="665">
        <v>239.90999999999994</v>
      </c>
    </row>
    <row r="169" spans="1:14" ht="14.4" customHeight="1" x14ac:dyDescent="0.3">
      <c r="A169" s="660" t="s">
        <v>552</v>
      </c>
      <c r="B169" s="661" t="s">
        <v>553</v>
      </c>
      <c r="C169" s="662" t="s">
        <v>558</v>
      </c>
      <c r="D169" s="663" t="s">
        <v>1750</v>
      </c>
      <c r="E169" s="662" t="s">
        <v>575</v>
      </c>
      <c r="F169" s="663" t="s">
        <v>1754</v>
      </c>
      <c r="G169" s="662" t="s">
        <v>995</v>
      </c>
      <c r="H169" s="662" t="s">
        <v>1159</v>
      </c>
      <c r="I169" s="662" t="s">
        <v>1160</v>
      </c>
      <c r="J169" s="662" t="s">
        <v>1161</v>
      </c>
      <c r="K169" s="662" t="s">
        <v>1162</v>
      </c>
      <c r="L169" s="664">
        <v>89.170063325625065</v>
      </c>
      <c r="M169" s="664">
        <v>1</v>
      </c>
      <c r="N169" s="665">
        <v>89.170063325625065</v>
      </c>
    </row>
    <row r="170" spans="1:14" ht="14.4" customHeight="1" x14ac:dyDescent="0.3">
      <c r="A170" s="660" t="s">
        <v>552</v>
      </c>
      <c r="B170" s="661" t="s">
        <v>553</v>
      </c>
      <c r="C170" s="662" t="s">
        <v>558</v>
      </c>
      <c r="D170" s="663" t="s">
        <v>1750</v>
      </c>
      <c r="E170" s="662" t="s">
        <v>575</v>
      </c>
      <c r="F170" s="663" t="s">
        <v>1754</v>
      </c>
      <c r="G170" s="662" t="s">
        <v>995</v>
      </c>
      <c r="H170" s="662" t="s">
        <v>1163</v>
      </c>
      <c r="I170" s="662" t="s">
        <v>1164</v>
      </c>
      <c r="J170" s="662" t="s">
        <v>1165</v>
      </c>
      <c r="K170" s="662" t="s">
        <v>1166</v>
      </c>
      <c r="L170" s="664">
        <v>70.132990130062069</v>
      </c>
      <c r="M170" s="664">
        <v>6</v>
      </c>
      <c r="N170" s="665">
        <v>420.79794078037241</v>
      </c>
    </row>
    <row r="171" spans="1:14" ht="14.4" customHeight="1" x14ac:dyDescent="0.3">
      <c r="A171" s="660" t="s">
        <v>552</v>
      </c>
      <c r="B171" s="661" t="s">
        <v>553</v>
      </c>
      <c r="C171" s="662" t="s">
        <v>558</v>
      </c>
      <c r="D171" s="663" t="s">
        <v>1750</v>
      </c>
      <c r="E171" s="662" t="s">
        <v>575</v>
      </c>
      <c r="F171" s="663" t="s">
        <v>1754</v>
      </c>
      <c r="G171" s="662" t="s">
        <v>995</v>
      </c>
      <c r="H171" s="662" t="s">
        <v>1167</v>
      </c>
      <c r="I171" s="662" t="s">
        <v>1167</v>
      </c>
      <c r="J171" s="662" t="s">
        <v>1168</v>
      </c>
      <c r="K171" s="662" t="s">
        <v>1169</v>
      </c>
      <c r="L171" s="664">
        <v>93.133333333333326</v>
      </c>
      <c r="M171" s="664">
        <v>3</v>
      </c>
      <c r="N171" s="665">
        <v>279.39999999999998</v>
      </c>
    </row>
    <row r="172" spans="1:14" ht="14.4" customHeight="1" x14ac:dyDescent="0.3">
      <c r="A172" s="660" t="s">
        <v>552</v>
      </c>
      <c r="B172" s="661" t="s">
        <v>553</v>
      </c>
      <c r="C172" s="662" t="s">
        <v>558</v>
      </c>
      <c r="D172" s="663" t="s">
        <v>1750</v>
      </c>
      <c r="E172" s="662" t="s">
        <v>575</v>
      </c>
      <c r="F172" s="663" t="s">
        <v>1754</v>
      </c>
      <c r="G172" s="662" t="s">
        <v>995</v>
      </c>
      <c r="H172" s="662" t="s">
        <v>1170</v>
      </c>
      <c r="I172" s="662" t="s">
        <v>1171</v>
      </c>
      <c r="J172" s="662" t="s">
        <v>1172</v>
      </c>
      <c r="K172" s="662" t="s">
        <v>1173</v>
      </c>
      <c r="L172" s="664">
        <v>408.65221606422875</v>
      </c>
      <c r="M172" s="664">
        <v>1</v>
      </c>
      <c r="N172" s="665">
        <v>408.65221606422875</v>
      </c>
    </row>
    <row r="173" spans="1:14" ht="14.4" customHeight="1" x14ac:dyDescent="0.3">
      <c r="A173" s="660" t="s">
        <v>552</v>
      </c>
      <c r="B173" s="661" t="s">
        <v>553</v>
      </c>
      <c r="C173" s="662" t="s">
        <v>558</v>
      </c>
      <c r="D173" s="663" t="s">
        <v>1750</v>
      </c>
      <c r="E173" s="662" t="s">
        <v>575</v>
      </c>
      <c r="F173" s="663" t="s">
        <v>1754</v>
      </c>
      <c r="G173" s="662" t="s">
        <v>995</v>
      </c>
      <c r="H173" s="662" t="s">
        <v>1174</v>
      </c>
      <c r="I173" s="662" t="s">
        <v>1175</v>
      </c>
      <c r="J173" s="662" t="s">
        <v>1176</v>
      </c>
      <c r="K173" s="662" t="s">
        <v>796</v>
      </c>
      <c r="L173" s="664">
        <v>88.43</v>
      </c>
      <c r="M173" s="664">
        <v>2</v>
      </c>
      <c r="N173" s="665">
        <v>176.86</v>
      </c>
    </row>
    <row r="174" spans="1:14" ht="14.4" customHeight="1" x14ac:dyDescent="0.3">
      <c r="A174" s="660" t="s">
        <v>552</v>
      </c>
      <c r="B174" s="661" t="s">
        <v>553</v>
      </c>
      <c r="C174" s="662" t="s">
        <v>558</v>
      </c>
      <c r="D174" s="663" t="s">
        <v>1750</v>
      </c>
      <c r="E174" s="662" t="s">
        <v>1177</v>
      </c>
      <c r="F174" s="663" t="s">
        <v>1755</v>
      </c>
      <c r="G174" s="662" t="s">
        <v>582</v>
      </c>
      <c r="H174" s="662" t="s">
        <v>1178</v>
      </c>
      <c r="I174" s="662" t="s">
        <v>1179</v>
      </c>
      <c r="J174" s="662" t="s">
        <v>1180</v>
      </c>
      <c r="K174" s="662" t="s">
        <v>1181</v>
      </c>
      <c r="L174" s="664">
        <v>2556.5299999999997</v>
      </c>
      <c r="M174" s="664">
        <v>1</v>
      </c>
      <c r="N174" s="665">
        <v>2556.5299999999997</v>
      </c>
    </row>
    <row r="175" spans="1:14" ht="14.4" customHeight="1" x14ac:dyDescent="0.3">
      <c r="A175" s="660" t="s">
        <v>552</v>
      </c>
      <c r="B175" s="661" t="s">
        <v>553</v>
      </c>
      <c r="C175" s="662" t="s">
        <v>558</v>
      </c>
      <c r="D175" s="663" t="s">
        <v>1750</v>
      </c>
      <c r="E175" s="662" t="s">
        <v>1177</v>
      </c>
      <c r="F175" s="663" t="s">
        <v>1755</v>
      </c>
      <c r="G175" s="662" t="s">
        <v>582</v>
      </c>
      <c r="H175" s="662" t="s">
        <v>1182</v>
      </c>
      <c r="I175" s="662" t="s">
        <v>216</v>
      </c>
      <c r="J175" s="662" t="s">
        <v>1183</v>
      </c>
      <c r="K175" s="662"/>
      <c r="L175" s="664">
        <v>113.3400997199813</v>
      </c>
      <c r="M175" s="664">
        <v>30</v>
      </c>
      <c r="N175" s="665">
        <v>3400.202991599439</v>
      </c>
    </row>
    <row r="176" spans="1:14" ht="14.4" customHeight="1" x14ac:dyDescent="0.3">
      <c r="A176" s="660" t="s">
        <v>552</v>
      </c>
      <c r="B176" s="661" t="s">
        <v>553</v>
      </c>
      <c r="C176" s="662" t="s">
        <v>558</v>
      </c>
      <c r="D176" s="663" t="s">
        <v>1750</v>
      </c>
      <c r="E176" s="662" t="s">
        <v>1177</v>
      </c>
      <c r="F176" s="663" t="s">
        <v>1755</v>
      </c>
      <c r="G176" s="662" t="s">
        <v>582</v>
      </c>
      <c r="H176" s="662" t="s">
        <v>1184</v>
      </c>
      <c r="I176" s="662" t="s">
        <v>1185</v>
      </c>
      <c r="J176" s="662" t="s">
        <v>1186</v>
      </c>
      <c r="K176" s="662" t="s">
        <v>1187</v>
      </c>
      <c r="L176" s="664">
        <v>4485.8</v>
      </c>
      <c r="M176" s="664">
        <v>1</v>
      </c>
      <c r="N176" s="665">
        <v>4485.8</v>
      </c>
    </row>
    <row r="177" spans="1:14" ht="14.4" customHeight="1" x14ac:dyDescent="0.3">
      <c r="A177" s="660" t="s">
        <v>552</v>
      </c>
      <c r="B177" s="661" t="s">
        <v>553</v>
      </c>
      <c r="C177" s="662" t="s">
        <v>558</v>
      </c>
      <c r="D177" s="663" t="s">
        <v>1750</v>
      </c>
      <c r="E177" s="662" t="s">
        <v>1177</v>
      </c>
      <c r="F177" s="663" t="s">
        <v>1755</v>
      </c>
      <c r="G177" s="662" t="s">
        <v>995</v>
      </c>
      <c r="H177" s="662" t="s">
        <v>1188</v>
      </c>
      <c r="I177" s="662" t="s">
        <v>1189</v>
      </c>
      <c r="J177" s="662" t="s">
        <v>1190</v>
      </c>
      <c r="K177" s="662" t="s">
        <v>1191</v>
      </c>
      <c r="L177" s="664">
        <v>202.86</v>
      </c>
      <c r="M177" s="664">
        <v>4</v>
      </c>
      <c r="N177" s="665">
        <v>811.44</v>
      </c>
    </row>
    <row r="178" spans="1:14" ht="14.4" customHeight="1" x14ac:dyDescent="0.3">
      <c r="A178" s="660" t="s">
        <v>552</v>
      </c>
      <c r="B178" s="661" t="s">
        <v>553</v>
      </c>
      <c r="C178" s="662" t="s">
        <v>558</v>
      </c>
      <c r="D178" s="663" t="s">
        <v>1750</v>
      </c>
      <c r="E178" s="662" t="s">
        <v>1177</v>
      </c>
      <c r="F178" s="663" t="s">
        <v>1755</v>
      </c>
      <c r="G178" s="662" t="s">
        <v>995</v>
      </c>
      <c r="H178" s="662" t="s">
        <v>1192</v>
      </c>
      <c r="I178" s="662" t="s">
        <v>1192</v>
      </c>
      <c r="J178" s="662" t="s">
        <v>1193</v>
      </c>
      <c r="K178" s="662" t="s">
        <v>1194</v>
      </c>
      <c r="L178" s="664">
        <v>116.24999999999997</v>
      </c>
      <c r="M178" s="664">
        <v>2</v>
      </c>
      <c r="N178" s="665">
        <v>232.49999999999994</v>
      </c>
    </row>
    <row r="179" spans="1:14" ht="14.4" customHeight="1" x14ac:dyDescent="0.3">
      <c r="A179" s="660" t="s">
        <v>552</v>
      </c>
      <c r="B179" s="661" t="s">
        <v>553</v>
      </c>
      <c r="C179" s="662" t="s">
        <v>558</v>
      </c>
      <c r="D179" s="663" t="s">
        <v>1750</v>
      </c>
      <c r="E179" s="662" t="s">
        <v>1177</v>
      </c>
      <c r="F179" s="663" t="s">
        <v>1755</v>
      </c>
      <c r="G179" s="662" t="s">
        <v>995</v>
      </c>
      <c r="H179" s="662" t="s">
        <v>1195</v>
      </c>
      <c r="I179" s="662" t="s">
        <v>1196</v>
      </c>
      <c r="J179" s="662" t="s">
        <v>1197</v>
      </c>
      <c r="K179" s="662" t="s">
        <v>1198</v>
      </c>
      <c r="L179" s="664">
        <v>49.250164528629639</v>
      </c>
      <c r="M179" s="664">
        <v>10</v>
      </c>
      <c r="N179" s="665">
        <v>492.50164528629642</v>
      </c>
    </row>
    <row r="180" spans="1:14" ht="14.4" customHeight="1" x14ac:dyDescent="0.3">
      <c r="A180" s="660" t="s">
        <v>552</v>
      </c>
      <c r="B180" s="661" t="s">
        <v>553</v>
      </c>
      <c r="C180" s="662" t="s">
        <v>558</v>
      </c>
      <c r="D180" s="663" t="s">
        <v>1750</v>
      </c>
      <c r="E180" s="662" t="s">
        <v>1177</v>
      </c>
      <c r="F180" s="663" t="s">
        <v>1755</v>
      </c>
      <c r="G180" s="662" t="s">
        <v>995</v>
      </c>
      <c r="H180" s="662" t="s">
        <v>1199</v>
      </c>
      <c r="I180" s="662" t="s">
        <v>1200</v>
      </c>
      <c r="J180" s="662" t="s">
        <v>1201</v>
      </c>
      <c r="K180" s="662" t="s">
        <v>1194</v>
      </c>
      <c r="L180" s="664">
        <v>116.24999999999997</v>
      </c>
      <c r="M180" s="664">
        <v>1</v>
      </c>
      <c r="N180" s="665">
        <v>116.24999999999997</v>
      </c>
    </row>
    <row r="181" spans="1:14" ht="14.4" customHeight="1" x14ac:dyDescent="0.3">
      <c r="A181" s="660" t="s">
        <v>552</v>
      </c>
      <c r="B181" s="661" t="s">
        <v>553</v>
      </c>
      <c r="C181" s="662" t="s">
        <v>558</v>
      </c>
      <c r="D181" s="663" t="s">
        <v>1750</v>
      </c>
      <c r="E181" s="662" t="s">
        <v>1177</v>
      </c>
      <c r="F181" s="663" t="s">
        <v>1755</v>
      </c>
      <c r="G181" s="662" t="s">
        <v>995</v>
      </c>
      <c r="H181" s="662" t="s">
        <v>1202</v>
      </c>
      <c r="I181" s="662" t="s">
        <v>1202</v>
      </c>
      <c r="J181" s="662" t="s">
        <v>1203</v>
      </c>
      <c r="K181" s="662" t="s">
        <v>1204</v>
      </c>
      <c r="L181" s="664">
        <v>191.21999999999997</v>
      </c>
      <c r="M181" s="664">
        <v>10</v>
      </c>
      <c r="N181" s="665">
        <v>1912.1999999999996</v>
      </c>
    </row>
    <row r="182" spans="1:14" ht="14.4" customHeight="1" x14ac:dyDescent="0.3">
      <c r="A182" s="660" t="s">
        <v>552</v>
      </c>
      <c r="B182" s="661" t="s">
        <v>553</v>
      </c>
      <c r="C182" s="662" t="s">
        <v>558</v>
      </c>
      <c r="D182" s="663" t="s">
        <v>1750</v>
      </c>
      <c r="E182" s="662" t="s">
        <v>1205</v>
      </c>
      <c r="F182" s="663" t="s">
        <v>1756</v>
      </c>
      <c r="G182" s="662"/>
      <c r="H182" s="662" t="s">
        <v>1206</v>
      </c>
      <c r="I182" s="662" t="s">
        <v>1207</v>
      </c>
      <c r="J182" s="662" t="s">
        <v>1208</v>
      </c>
      <c r="K182" s="662" t="s">
        <v>1209</v>
      </c>
      <c r="L182" s="664">
        <v>71.459999999999994</v>
      </c>
      <c r="M182" s="664">
        <v>5</v>
      </c>
      <c r="N182" s="665">
        <v>357.29999999999995</v>
      </c>
    </row>
    <row r="183" spans="1:14" ht="14.4" customHeight="1" x14ac:dyDescent="0.3">
      <c r="A183" s="660" t="s">
        <v>552</v>
      </c>
      <c r="B183" s="661" t="s">
        <v>553</v>
      </c>
      <c r="C183" s="662" t="s">
        <v>558</v>
      </c>
      <c r="D183" s="663" t="s">
        <v>1750</v>
      </c>
      <c r="E183" s="662" t="s">
        <v>1205</v>
      </c>
      <c r="F183" s="663" t="s">
        <v>1756</v>
      </c>
      <c r="G183" s="662" t="s">
        <v>582</v>
      </c>
      <c r="H183" s="662" t="s">
        <v>1210</v>
      </c>
      <c r="I183" s="662" t="s">
        <v>1211</v>
      </c>
      <c r="J183" s="662" t="s">
        <v>1212</v>
      </c>
      <c r="K183" s="662" t="s">
        <v>1213</v>
      </c>
      <c r="L183" s="664">
        <v>25.630043237518006</v>
      </c>
      <c r="M183" s="664">
        <v>1</v>
      </c>
      <c r="N183" s="665">
        <v>25.630043237518006</v>
      </c>
    </row>
    <row r="184" spans="1:14" ht="14.4" customHeight="1" x14ac:dyDescent="0.3">
      <c r="A184" s="660" t="s">
        <v>552</v>
      </c>
      <c r="B184" s="661" t="s">
        <v>553</v>
      </c>
      <c r="C184" s="662" t="s">
        <v>558</v>
      </c>
      <c r="D184" s="663" t="s">
        <v>1750</v>
      </c>
      <c r="E184" s="662" t="s">
        <v>1205</v>
      </c>
      <c r="F184" s="663" t="s">
        <v>1756</v>
      </c>
      <c r="G184" s="662" t="s">
        <v>582</v>
      </c>
      <c r="H184" s="662" t="s">
        <v>1214</v>
      </c>
      <c r="I184" s="662" t="s">
        <v>1215</v>
      </c>
      <c r="J184" s="662" t="s">
        <v>1216</v>
      </c>
      <c r="K184" s="662" t="s">
        <v>1217</v>
      </c>
      <c r="L184" s="664">
        <v>31.930833333333343</v>
      </c>
      <c r="M184" s="664">
        <v>12</v>
      </c>
      <c r="N184" s="665">
        <v>383.17000000000013</v>
      </c>
    </row>
    <row r="185" spans="1:14" ht="14.4" customHeight="1" x14ac:dyDescent="0.3">
      <c r="A185" s="660" t="s">
        <v>552</v>
      </c>
      <c r="B185" s="661" t="s">
        <v>553</v>
      </c>
      <c r="C185" s="662" t="s">
        <v>558</v>
      </c>
      <c r="D185" s="663" t="s">
        <v>1750</v>
      </c>
      <c r="E185" s="662" t="s">
        <v>1205</v>
      </c>
      <c r="F185" s="663" t="s">
        <v>1756</v>
      </c>
      <c r="G185" s="662" t="s">
        <v>582</v>
      </c>
      <c r="H185" s="662" t="s">
        <v>1218</v>
      </c>
      <c r="I185" s="662" t="s">
        <v>1219</v>
      </c>
      <c r="J185" s="662" t="s">
        <v>1220</v>
      </c>
      <c r="K185" s="662" t="s">
        <v>1221</v>
      </c>
      <c r="L185" s="664">
        <v>176.43818181818185</v>
      </c>
      <c r="M185" s="664">
        <v>11</v>
      </c>
      <c r="N185" s="665">
        <v>1940.8200000000002</v>
      </c>
    </row>
    <row r="186" spans="1:14" ht="14.4" customHeight="1" x14ac:dyDescent="0.3">
      <c r="A186" s="660" t="s">
        <v>552</v>
      </c>
      <c r="B186" s="661" t="s">
        <v>553</v>
      </c>
      <c r="C186" s="662" t="s">
        <v>558</v>
      </c>
      <c r="D186" s="663" t="s">
        <v>1750</v>
      </c>
      <c r="E186" s="662" t="s">
        <v>1205</v>
      </c>
      <c r="F186" s="663" t="s">
        <v>1756</v>
      </c>
      <c r="G186" s="662" t="s">
        <v>582</v>
      </c>
      <c r="H186" s="662" t="s">
        <v>1222</v>
      </c>
      <c r="I186" s="662" t="s">
        <v>1223</v>
      </c>
      <c r="J186" s="662" t="s">
        <v>1224</v>
      </c>
      <c r="K186" s="662" t="s">
        <v>1225</v>
      </c>
      <c r="L186" s="664">
        <v>56.54</v>
      </c>
      <c r="M186" s="664">
        <v>3</v>
      </c>
      <c r="N186" s="665">
        <v>169.62</v>
      </c>
    </row>
    <row r="187" spans="1:14" ht="14.4" customHeight="1" x14ac:dyDescent="0.3">
      <c r="A187" s="660" t="s">
        <v>552</v>
      </c>
      <c r="B187" s="661" t="s">
        <v>553</v>
      </c>
      <c r="C187" s="662" t="s">
        <v>558</v>
      </c>
      <c r="D187" s="663" t="s">
        <v>1750</v>
      </c>
      <c r="E187" s="662" t="s">
        <v>1205</v>
      </c>
      <c r="F187" s="663" t="s">
        <v>1756</v>
      </c>
      <c r="G187" s="662" t="s">
        <v>582</v>
      </c>
      <c r="H187" s="662" t="s">
        <v>1226</v>
      </c>
      <c r="I187" s="662" t="s">
        <v>1227</v>
      </c>
      <c r="J187" s="662" t="s">
        <v>1228</v>
      </c>
      <c r="K187" s="662" t="s">
        <v>1229</v>
      </c>
      <c r="L187" s="664">
        <v>235.30763760049828</v>
      </c>
      <c r="M187" s="664">
        <v>1</v>
      </c>
      <c r="N187" s="665">
        <v>235.30763760049828</v>
      </c>
    </row>
    <row r="188" spans="1:14" ht="14.4" customHeight="1" x14ac:dyDescent="0.3">
      <c r="A188" s="660" t="s">
        <v>552</v>
      </c>
      <c r="B188" s="661" t="s">
        <v>553</v>
      </c>
      <c r="C188" s="662" t="s">
        <v>558</v>
      </c>
      <c r="D188" s="663" t="s">
        <v>1750</v>
      </c>
      <c r="E188" s="662" t="s">
        <v>1205</v>
      </c>
      <c r="F188" s="663" t="s">
        <v>1756</v>
      </c>
      <c r="G188" s="662" t="s">
        <v>582</v>
      </c>
      <c r="H188" s="662" t="s">
        <v>1230</v>
      </c>
      <c r="I188" s="662" t="s">
        <v>1230</v>
      </c>
      <c r="J188" s="662" t="s">
        <v>1231</v>
      </c>
      <c r="K188" s="662" t="s">
        <v>1232</v>
      </c>
      <c r="L188" s="664">
        <v>364.375</v>
      </c>
      <c r="M188" s="664">
        <v>1.6</v>
      </c>
      <c r="N188" s="665">
        <v>583</v>
      </c>
    </row>
    <row r="189" spans="1:14" ht="14.4" customHeight="1" x14ac:dyDescent="0.3">
      <c r="A189" s="660" t="s">
        <v>552</v>
      </c>
      <c r="B189" s="661" t="s">
        <v>553</v>
      </c>
      <c r="C189" s="662" t="s">
        <v>558</v>
      </c>
      <c r="D189" s="663" t="s">
        <v>1750</v>
      </c>
      <c r="E189" s="662" t="s">
        <v>1205</v>
      </c>
      <c r="F189" s="663" t="s">
        <v>1756</v>
      </c>
      <c r="G189" s="662" t="s">
        <v>995</v>
      </c>
      <c r="H189" s="662" t="s">
        <v>1233</v>
      </c>
      <c r="I189" s="662" t="s">
        <v>1234</v>
      </c>
      <c r="J189" s="662" t="s">
        <v>1235</v>
      </c>
      <c r="K189" s="662" t="s">
        <v>1236</v>
      </c>
      <c r="L189" s="664">
        <v>111.30610831495306</v>
      </c>
      <c r="M189" s="664">
        <v>6</v>
      </c>
      <c r="N189" s="665">
        <v>667.83664988971839</v>
      </c>
    </row>
    <row r="190" spans="1:14" ht="14.4" customHeight="1" x14ac:dyDescent="0.3">
      <c r="A190" s="660" t="s">
        <v>552</v>
      </c>
      <c r="B190" s="661" t="s">
        <v>553</v>
      </c>
      <c r="C190" s="662" t="s">
        <v>558</v>
      </c>
      <c r="D190" s="663" t="s">
        <v>1750</v>
      </c>
      <c r="E190" s="662" t="s">
        <v>1205</v>
      </c>
      <c r="F190" s="663" t="s">
        <v>1756</v>
      </c>
      <c r="G190" s="662" t="s">
        <v>995</v>
      </c>
      <c r="H190" s="662" t="s">
        <v>1237</v>
      </c>
      <c r="I190" s="662" t="s">
        <v>1238</v>
      </c>
      <c r="J190" s="662" t="s">
        <v>1220</v>
      </c>
      <c r="K190" s="662" t="s">
        <v>1239</v>
      </c>
      <c r="L190" s="664">
        <v>22.495444766654252</v>
      </c>
      <c r="M190" s="664">
        <v>116</v>
      </c>
      <c r="N190" s="665">
        <v>2609.4715929318932</v>
      </c>
    </row>
    <row r="191" spans="1:14" ht="14.4" customHeight="1" x14ac:dyDescent="0.3">
      <c r="A191" s="660" t="s">
        <v>552</v>
      </c>
      <c r="B191" s="661" t="s">
        <v>553</v>
      </c>
      <c r="C191" s="662" t="s">
        <v>558</v>
      </c>
      <c r="D191" s="663" t="s">
        <v>1750</v>
      </c>
      <c r="E191" s="662" t="s">
        <v>1205</v>
      </c>
      <c r="F191" s="663" t="s">
        <v>1756</v>
      </c>
      <c r="G191" s="662" t="s">
        <v>995</v>
      </c>
      <c r="H191" s="662" t="s">
        <v>1240</v>
      </c>
      <c r="I191" s="662" t="s">
        <v>1241</v>
      </c>
      <c r="J191" s="662" t="s">
        <v>1242</v>
      </c>
      <c r="K191" s="662" t="s">
        <v>1243</v>
      </c>
      <c r="L191" s="664">
        <v>144.64488322165667</v>
      </c>
      <c r="M191" s="664">
        <v>20.400000000000006</v>
      </c>
      <c r="N191" s="665">
        <v>2950.7556177217971</v>
      </c>
    </row>
    <row r="192" spans="1:14" ht="14.4" customHeight="1" x14ac:dyDescent="0.3">
      <c r="A192" s="660" t="s">
        <v>552</v>
      </c>
      <c r="B192" s="661" t="s">
        <v>553</v>
      </c>
      <c r="C192" s="662" t="s">
        <v>558</v>
      </c>
      <c r="D192" s="663" t="s">
        <v>1750</v>
      </c>
      <c r="E192" s="662" t="s">
        <v>1205</v>
      </c>
      <c r="F192" s="663" t="s">
        <v>1756</v>
      </c>
      <c r="G192" s="662" t="s">
        <v>995</v>
      </c>
      <c r="H192" s="662" t="s">
        <v>1244</v>
      </c>
      <c r="I192" s="662" t="s">
        <v>1245</v>
      </c>
      <c r="J192" s="662" t="s">
        <v>1246</v>
      </c>
      <c r="K192" s="662" t="s">
        <v>1247</v>
      </c>
      <c r="L192" s="664">
        <v>76.507499999999993</v>
      </c>
      <c r="M192" s="664">
        <v>8</v>
      </c>
      <c r="N192" s="665">
        <v>612.05999999999995</v>
      </c>
    </row>
    <row r="193" spans="1:14" ht="14.4" customHeight="1" x14ac:dyDescent="0.3">
      <c r="A193" s="660" t="s">
        <v>552</v>
      </c>
      <c r="B193" s="661" t="s">
        <v>553</v>
      </c>
      <c r="C193" s="662" t="s">
        <v>558</v>
      </c>
      <c r="D193" s="663" t="s">
        <v>1750</v>
      </c>
      <c r="E193" s="662" t="s">
        <v>1205</v>
      </c>
      <c r="F193" s="663" t="s">
        <v>1756</v>
      </c>
      <c r="G193" s="662" t="s">
        <v>995</v>
      </c>
      <c r="H193" s="662" t="s">
        <v>1248</v>
      </c>
      <c r="I193" s="662" t="s">
        <v>1249</v>
      </c>
      <c r="J193" s="662" t="s">
        <v>1250</v>
      </c>
      <c r="K193" s="662" t="s">
        <v>1251</v>
      </c>
      <c r="L193" s="664">
        <v>11601.57</v>
      </c>
      <c r="M193" s="664">
        <v>1</v>
      </c>
      <c r="N193" s="665">
        <v>11601.57</v>
      </c>
    </row>
    <row r="194" spans="1:14" ht="14.4" customHeight="1" x14ac:dyDescent="0.3">
      <c r="A194" s="660" t="s">
        <v>552</v>
      </c>
      <c r="B194" s="661" t="s">
        <v>553</v>
      </c>
      <c r="C194" s="662" t="s">
        <v>558</v>
      </c>
      <c r="D194" s="663" t="s">
        <v>1750</v>
      </c>
      <c r="E194" s="662" t="s">
        <v>1205</v>
      </c>
      <c r="F194" s="663" t="s">
        <v>1756</v>
      </c>
      <c r="G194" s="662" t="s">
        <v>995</v>
      </c>
      <c r="H194" s="662" t="s">
        <v>1252</v>
      </c>
      <c r="I194" s="662" t="s">
        <v>1252</v>
      </c>
      <c r="J194" s="662" t="s">
        <v>1253</v>
      </c>
      <c r="K194" s="662" t="s">
        <v>1254</v>
      </c>
      <c r="L194" s="664">
        <v>234.2154285714285</v>
      </c>
      <c r="M194" s="664">
        <v>3.5000000000000004</v>
      </c>
      <c r="N194" s="665">
        <v>819.75399999999991</v>
      </c>
    </row>
    <row r="195" spans="1:14" ht="14.4" customHeight="1" x14ac:dyDescent="0.3">
      <c r="A195" s="660" t="s">
        <v>552</v>
      </c>
      <c r="B195" s="661" t="s">
        <v>553</v>
      </c>
      <c r="C195" s="662" t="s">
        <v>558</v>
      </c>
      <c r="D195" s="663" t="s">
        <v>1750</v>
      </c>
      <c r="E195" s="662" t="s">
        <v>1205</v>
      </c>
      <c r="F195" s="663" t="s">
        <v>1756</v>
      </c>
      <c r="G195" s="662" t="s">
        <v>995</v>
      </c>
      <c r="H195" s="662" t="s">
        <v>1255</v>
      </c>
      <c r="I195" s="662" t="s">
        <v>1255</v>
      </c>
      <c r="J195" s="662" t="s">
        <v>1256</v>
      </c>
      <c r="K195" s="662" t="s">
        <v>1257</v>
      </c>
      <c r="L195" s="664">
        <v>34.660000000000004</v>
      </c>
      <c r="M195" s="664">
        <v>20</v>
      </c>
      <c r="N195" s="665">
        <v>693.2</v>
      </c>
    </row>
    <row r="196" spans="1:14" ht="14.4" customHeight="1" x14ac:dyDescent="0.3">
      <c r="A196" s="660" t="s">
        <v>552</v>
      </c>
      <c r="B196" s="661" t="s">
        <v>553</v>
      </c>
      <c r="C196" s="662" t="s">
        <v>558</v>
      </c>
      <c r="D196" s="663" t="s">
        <v>1750</v>
      </c>
      <c r="E196" s="662" t="s">
        <v>1205</v>
      </c>
      <c r="F196" s="663" t="s">
        <v>1756</v>
      </c>
      <c r="G196" s="662" t="s">
        <v>995</v>
      </c>
      <c r="H196" s="662" t="s">
        <v>1258</v>
      </c>
      <c r="I196" s="662" t="s">
        <v>1258</v>
      </c>
      <c r="J196" s="662" t="s">
        <v>1259</v>
      </c>
      <c r="K196" s="662" t="s">
        <v>1260</v>
      </c>
      <c r="L196" s="664">
        <v>55.186999999999998</v>
      </c>
      <c r="M196" s="664">
        <v>10</v>
      </c>
      <c r="N196" s="665">
        <v>551.87</v>
      </c>
    </row>
    <row r="197" spans="1:14" ht="14.4" customHeight="1" x14ac:dyDescent="0.3">
      <c r="A197" s="660" t="s">
        <v>552</v>
      </c>
      <c r="B197" s="661" t="s">
        <v>553</v>
      </c>
      <c r="C197" s="662" t="s">
        <v>563</v>
      </c>
      <c r="D197" s="663" t="s">
        <v>1751</v>
      </c>
      <c r="E197" s="662" t="s">
        <v>575</v>
      </c>
      <c r="F197" s="663" t="s">
        <v>1754</v>
      </c>
      <c r="G197" s="662" t="s">
        <v>582</v>
      </c>
      <c r="H197" s="662" t="s">
        <v>583</v>
      </c>
      <c r="I197" s="662" t="s">
        <v>583</v>
      </c>
      <c r="J197" s="662" t="s">
        <v>584</v>
      </c>
      <c r="K197" s="662" t="s">
        <v>585</v>
      </c>
      <c r="L197" s="664">
        <v>171.6</v>
      </c>
      <c r="M197" s="664">
        <v>1</v>
      </c>
      <c r="N197" s="665">
        <v>171.6</v>
      </c>
    </row>
    <row r="198" spans="1:14" ht="14.4" customHeight="1" x14ac:dyDescent="0.3">
      <c r="A198" s="660" t="s">
        <v>552</v>
      </c>
      <c r="B198" s="661" t="s">
        <v>553</v>
      </c>
      <c r="C198" s="662" t="s">
        <v>563</v>
      </c>
      <c r="D198" s="663" t="s">
        <v>1751</v>
      </c>
      <c r="E198" s="662" t="s">
        <v>575</v>
      </c>
      <c r="F198" s="663" t="s">
        <v>1754</v>
      </c>
      <c r="G198" s="662" t="s">
        <v>582</v>
      </c>
      <c r="H198" s="662" t="s">
        <v>840</v>
      </c>
      <c r="I198" s="662" t="s">
        <v>216</v>
      </c>
      <c r="J198" s="662" t="s">
        <v>841</v>
      </c>
      <c r="K198" s="662"/>
      <c r="L198" s="664">
        <v>191.12999405684405</v>
      </c>
      <c r="M198" s="664">
        <v>1</v>
      </c>
      <c r="N198" s="665">
        <v>191.12999405684405</v>
      </c>
    </row>
    <row r="199" spans="1:14" ht="14.4" customHeight="1" x14ac:dyDescent="0.3">
      <c r="A199" s="660" t="s">
        <v>552</v>
      </c>
      <c r="B199" s="661" t="s">
        <v>553</v>
      </c>
      <c r="C199" s="662" t="s">
        <v>563</v>
      </c>
      <c r="D199" s="663" t="s">
        <v>1751</v>
      </c>
      <c r="E199" s="662" t="s">
        <v>575</v>
      </c>
      <c r="F199" s="663" t="s">
        <v>1754</v>
      </c>
      <c r="G199" s="662" t="s">
        <v>582</v>
      </c>
      <c r="H199" s="662" t="s">
        <v>901</v>
      </c>
      <c r="I199" s="662" t="s">
        <v>902</v>
      </c>
      <c r="J199" s="662" t="s">
        <v>609</v>
      </c>
      <c r="K199" s="662" t="s">
        <v>903</v>
      </c>
      <c r="L199" s="664">
        <v>49.390000000000008</v>
      </c>
      <c r="M199" s="664">
        <v>6</v>
      </c>
      <c r="N199" s="665">
        <v>296.34000000000003</v>
      </c>
    </row>
    <row r="200" spans="1:14" ht="14.4" customHeight="1" x14ac:dyDescent="0.3">
      <c r="A200" s="660" t="s">
        <v>552</v>
      </c>
      <c r="B200" s="661" t="s">
        <v>553</v>
      </c>
      <c r="C200" s="662" t="s">
        <v>563</v>
      </c>
      <c r="D200" s="663" t="s">
        <v>1751</v>
      </c>
      <c r="E200" s="662" t="s">
        <v>575</v>
      </c>
      <c r="F200" s="663" t="s">
        <v>1754</v>
      </c>
      <c r="G200" s="662" t="s">
        <v>582</v>
      </c>
      <c r="H200" s="662" t="s">
        <v>965</v>
      </c>
      <c r="I200" s="662" t="s">
        <v>216</v>
      </c>
      <c r="J200" s="662" t="s">
        <v>966</v>
      </c>
      <c r="K200" s="662"/>
      <c r="L200" s="664">
        <v>58.95000000000001</v>
      </c>
      <c r="M200" s="664">
        <v>3</v>
      </c>
      <c r="N200" s="665">
        <v>176.85000000000002</v>
      </c>
    </row>
    <row r="201" spans="1:14" ht="14.4" customHeight="1" x14ac:dyDescent="0.3">
      <c r="A201" s="660" t="s">
        <v>552</v>
      </c>
      <c r="B201" s="661" t="s">
        <v>553</v>
      </c>
      <c r="C201" s="662" t="s">
        <v>563</v>
      </c>
      <c r="D201" s="663" t="s">
        <v>1751</v>
      </c>
      <c r="E201" s="662" t="s">
        <v>575</v>
      </c>
      <c r="F201" s="663" t="s">
        <v>1754</v>
      </c>
      <c r="G201" s="662" t="s">
        <v>995</v>
      </c>
      <c r="H201" s="662" t="s">
        <v>1025</v>
      </c>
      <c r="I201" s="662" t="s">
        <v>1026</v>
      </c>
      <c r="J201" s="662" t="s">
        <v>1027</v>
      </c>
      <c r="K201" s="662" t="s">
        <v>1028</v>
      </c>
      <c r="L201" s="664">
        <v>138.24999844147391</v>
      </c>
      <c r="M201" s="664">
        <v>2</v>
      </c>
      <c r="N201" s="665">
        <v>276.49999688294781</v>
      </c>
    </row>
    <row r="202" spans="1:14" ht="14.4" customHeight="1" x14ac:dyDescent="0.3">
      <c r="A202" s="660" t="s">
        <v>552</v>
      </c>
      <c r="B202" s="661" t="s">
        <v>553</v>
      </c>
      <c r="C202" s="662" t="s">
        <v>566</v>
      </c>
      <c r="D202" s="663" t="s">
        <v>1752</v>
      </c>
      <c r="E202" s="662" t="s">
        <v>575</v>
      </c>
      <c r="F202" s="663" t="s">
        <v>1754</v>
      </c>
      <c r="G202" s="662"/>
      <c r="H202" s="662" t="s">
        <v>1261</v>
      </c>
      <c r="I202" s="662" t="s">
        <v>1262</v>
      </c>
      <c r="J202" s="662" t="s">
        <v>1263</v>
      </c>
      <c r="K202" s="662" t="s">
        <v>1264</v>
      </c>
      <c r="L202" s="664">
        <v>249.39072110806714</v>
      </c>
      <c r="M202" s="664">
        <v>80</v>
      </c>
      <c r="N202" s="665">
        <v>19951.257688645372</v>
      </c>
    </row>
    <row r="203" spans="1:14" ht="14.4" customHeight="1" x14ac:dyDescent="0.3">
      <c r="A203" s="660" t="s">
        <v>552</v>
      </c>
      <c r="B203" s="661" t="s">
        <v>553</v>
      </c>
      <c r="C203" s="662" t="s">
        <v>566</v>
      </c>
      <c r="D203" s="663" t="s">
        <v>1752</v>
      </c>
      <c r="E203" s="662" t="s">
        <v>575</v>
      </c>
      <c r="F203" s="663" t="s">
        <v>1754</v>
      </c>
      <c r="G203" s="662"/>
      <c r="H203" s="662" t="s">
        <v>1265</v>
      </c>
      <c r="I203" s="662" t="s">
        <v>1265</v>
      </c>
      <c r="J203" s="662" t="s">
        <v>1266</v>
      </c>
      <c r="K203" s="662" t="s">
        <v>1267</v>
      </c>
      <c r="L203" s="664">
        <v>900.00070203790347</v>
      </c>
      <c r="M203" s="664">
        <v>1</v>
      </c>
      <c r="N203" s="665">
        <v>900.00070203790347</v>
      </c>
    </row>
    <row r="204" spans="1:14" ht="14.4" customHeight="1" x14ac:dyDescent="0.3">
      <c r="A204" s="660" t="s">
        <v>552</v>
      </c>
      <c r="B204" s="661" t="s">
        <v>553</v>
      </c>
      <c r="C204" s="662" t="s">
        <v>566</v>
      </c>
      <c r="D204" s="663" t="s">
        <v>1752</v>
      </c>
      <c r="E204" s="662" t="s">
        <v>575</v>
      </c>
      <c r="F204" s="663" t="s">
        <v>1754</v>
      </c>
      <c r="G204" s="662"/>
      <c r="H204" s="662" t="s">
        <v>576</v>
      </c>
      <c r="I204" s="662" t="s">
        <v>576</v>
      </c>
      <c r="J204" s="662" t="s">
        <v>577</v>
      </c>
      <c r="K204" s="662" t="s">
        <v>578</v>
      </c>
      <c r="L204" s="664">
        <v>553.99000000000012</v>
      </c>
      <c r="M204" s="664">
        <v>1.6</v>
      </c>
      <c r="N204" s="665">
        <v>886.38400000000024</v>
      </c>
    </row>
    <row r="205" spans="1:14" ht="14.4" customHeight="1" x14ac:dyDescent="0.3">
      <c r="A205" s="660" t="s">
        <v>552</v>
      </c>
      <c r="B205" s="661" t="s">
        <v>553</v>
      </c>
      <c r="C205" s="662" t="s">
        <v>566</v>
      </c>
      <c r="D205" s="663" t="s">
        <v>1752</v>
      </c>
      <c r="E205" s="662" t="s">
        <v>575</v>
      </c>
      <c r="F205" s="663" t="s">
        <v>1754</v>
      </c>
      <c r="G205" s="662"/>
      <c r="H205" s="662" t="s">
        <v>1268</v>
      </c>
      <c r="I205" s="662" t="s">
        <v>1268</v>
      </c>
      <c r="J205" s="662" t="s">
        <v>1269</v>
      </c>
      <c r="K205" s="662" t="s">
        <v>1270</v>
      </c>
      <c r="L205" s="664">
        <v>387.5790433252576</v>
      </c>
      <c r="M205" s="664">
        <v>2</v>
      </c>
      <c r="N205" s="665">
        <v>775.1580866505152</v>
      </c>
    </row>
    <row r="206" spans="1:14" ht="14.4" customHeight="1" x14ac:dyDescent="0.3">
      <c r="A206" s="660" t="s">
        <v>552</v>
      </c>
      <c r="B206" s="661" t="s">
        <v>553</v>
      </c>
      <c r="C206" s="662" t="s">
        <v>566</v>
      </c>
      <c r="D206" s="663" t="s">
        <v>1752</v>
      </c>
      <c r="E206" s="662" t="s">
        <v>575</v>
      </c>
      <c r="F206" s="663" t="s">
        <v>1754</v>
      </c>
      <c r="G206" s="662" t="s">
        <v>582</v>
      </c>
      <c r="H206" s="662" t="s">
        <v>583</v>
      </c>
      <c r="I206" s="662" t="s">
        <v>583</v>
      </c>
      <c r="J206" s="662" t="s">
        <v>584</v>
      </c>
      <c r="K206" s="662" t="s">
        <v>585</v>
      </c>
      <c r="L206" s="664">
        <v>171.60000000000002</v>
      </c>
      <c r="M206" s="664">
        <v>16</v>
      </c>
      <c r="N206" s="665">
        <v>2745.6000000000004</v>
      </c>
    </row>
    <row r="207" spans="1:14" ht="14.4" customHeight="1" x14ac:dyDescent="0.3">
      <c r="A207" s="660" t="s">
        <v>552</v>
      </c>
      <c r="B207" s="661" t="s">
        <v>553</v>
      </c>
      <c r="C207" s="662" t="s">
        <v>566</v>
      </c>
      <c r="D207" s="663" t="s">
        <v>1752</v>
      </c>
      <c r="E207" s="662" t="s">
        <v>575</v>
      </c>
      <c r="F207" s="663" t="s">
        <v>1754</v>
      </c>
      <c r="G207" s="662" t="s">
        <v>582</v>
      </c>
      <c r="H207" s="662" t="s">
        <v>586</v>
      </c>
      <c r="I207" s="662" t="s">
        <v>586</v>
      </c>
      <c r="J207" s="662" t="s">
        <v>587</v>
      </c>
      <c r="K207" s="662" t="s">
        <v>588</v>
      </c>
      <c r="L207" s="664">
        <v>174.2976923076923</v>
      </c>
      <c r="M207" s="664">
        <v>13</v>
      </c>
      <c r="N207" s="665">
        <v>2265.87</v>
      </c>
    </row>
    <row r="208" spans="1:14" ht="14.4" customHeight="1" x14ac:dyDescent="0.3">
      <c r="A208" s="660" t="s">
        <v>552</v>
      </c>
      <c r="B208" s="661" t="s">
        <v>553</v>
      </c>
      <c r="C208" s="662" t="s">
        <v>566</v>
      </c>
      <c r="D208" s="663" t="s">
        <v>1752</v>
      </c>
      <c r="E208" s="662" t="s">
        <v>575</v>
      </c>
      <c r="F208" s="663" t="s">
        <v>1754</v>
      </c>
      <c r="G208" s="662" t="s">
        <v>582</v>
      </c>
      <c r="H208" s="662" t="s">
        <v>1271</v>
      </c>
      <c r="I208" s="662" t="s">
        <v>1271</v>
      </c>
      <c r="J208" s="662" t="s">
        <v>1272</v>
      </c>
      <c r="K208" s="662" t="s">
        <v>588</v>
      </c>
      <c r="L208" s="664">
        <v>145.36363636363637</v>
      </c>
      <c r="M208" s="664">
        <v>11</v>
      </c>
      <c r="N208" s="665">
        <v>1599</v>
      </c>
    </row>
    <row r="209" spans="1:14" ht="14.4" customHeight="1" x14ac:dyDescent="0.3">
      <c r="A209" s="660" t="s">
        <v>552</v>
      </c>
      <c r="B209" s="661" t="s">
        <v>553</v>
      </c>
      <c r="C209" s="662" t="s">
        <v>566</v>
      </c>
      <c r="D209" s="663" t="s">
        <v>1752</v>
      </c>
      <c r="E209" s="662" t="s">
        <v>575</v>
      </c>
      <c r="F209" s="663" t="s">
        <v>1754</v>
      </c>
      <c r="G209" s="662" t="s">
        <v>582</v>
      </c>
      <c r="H209" s="662" t="s">
        <v>1273</v>
      </c>
      <c r="I209" s="662" t="s">
        <v>1273</v>
      </c>
      <c r="J209" s="662" t="s">
        <v>1272</v>
      </c>
      <c r="K209" s="662" t="s">
        <v>1274</v>
      </c>
      <c r="L209" s="664">
        <v>126.5</v>
      </c>
      <c r="M209" s="664">
        <v>4</v>
      </c>
      <c r="N209" s="665">
        <v>506</v>
      </c>
    </row>
    <row r="210" spans="1:14" ht="14.4" customHeight="1" x14ac:dyDescent="0.3">
      <c r="A210" s="660" t="s">
        <v>552</v>
      </c>
      <c r="B210" s="661" t="s">
        <v>553</v>
      </c>
      <c r="C210" s="662" t="s">
        <v>566</v>
      </c>
      <c r="D210" s="663" t="s">
        <v>1752</v>
      </c>
      <c r="E210" s="662" t="s">
        <v>575</v>
      </c>
      <c r="F210" s="663" t="s">
        <v>1754</v>
      </c>
      <c r="G210" s="662" t="s">
        <v>582</v>
      </c>
      <c r="H210" s="662" t="s">
        <v>1275</v>
      </c>
      <c r="I210" s="662" t="s">
        <v>1275</v>
      </c>
      <c r="J210" s="662" t="s">
        <v>1272</v>
      </c>
      <c r="K210" s="662" t="s">
        <v>1276</v>
      </c>
      <c r="L210" s="664">
        <v>235.74166666666667</v>
      </c>
      <c r="M210" s="664">
        <v>6</v>
      </c>
      <c r="N210" s="665">
        <v>1414.45</v>
      </c>
    </row>
    <row r="211" spans="1:14" ht="14.4" customHeight="1" x14ac:dyDescent="0.3">
      <c r="A211" s="660" t="s">
        <v>552</v>
      </c>
      <c r="B211" s="661" t="s">
        <v>553</v>
      </c>
      <c r="C211" s="662" t="s">
        <v>566</v>
      </c>
      <c r="D211" s="663" t="s">
        <v>1752</v>
      </c>
      <c r="E211" s="662" t="s">
        <v>575</v>
      </c>
      <c r="F211" s="663" t="s">
        <v>1754</v>
      </c>
      <c r="G211" s="662" t="s">
        <v>582</v>
      </c>
      <c r="H211" s="662" t="s">
        <v>589</v>
      </c>
      <c r="I211" s="662" t="s">
        <v>589</v>
      </c>
      <c r="J211" s="662" t="s">
        <v>584</v>
      </c>
      <c r="K211" s="662" t="s">
        <v>590</v>
      </c>
      <c r="L211" s="664">
        <v>94.590138313330201</v>
      </c>
      <c r="M211" s="664">
        <v>49</v>
      </c>
      <c r="N211" s="665">
        <v>4634.9167773531799</v>
      </c>
    </row>
    <row r="212" spans="1:14" ht="14.4" customHeight="1" x14ac:dyDescent="0.3">
      <c r="A212" s="660" t="s">
        <v>552</v>
      </c>
      <c r="B212" s="661" t="s">
        <v>553</v>
      </c>
      <c r="C212" s="662" t="s">
        <v>566</v>
      </c>
      <c r="D212" s="663" t="s">
        <v>1752</v>
      </c>
      <c r="E212" s="662" t="s">
        <v>575</v>
      </c>
      <c r="F212" s="663" t="s">
        <v>1754</v>
      </c>
      <c r="G212" s="662" t="s">
        <v>582</v>
      </c>
      <c r="H212" s="662" t="s">
        <v>591</v>
      </c>
      <c r="I212" s="662" t="s">
        <v>592</v>
      </c>
      <c r="J212" s="662" t="s">
        <v>593</v>
      </c>
      <c r="K212" s="662" t="s">
        <v>594</v>
      </c>
      <c r="L212" s="664">
        <v>38.319419689783956</v>
      </c>
      <c r="M212" s="664">
        <v>1</v>
      </c>
      <c r="N212" s="665">
        <v>38.319419689783956</v>
      </c>
    </row>
    <row r="213" spans="1:14" ht="14.4" customHeight="1" x14ac:dyDescent="0.3">
      <c r="A213" s="660" t="s">
        <v>552</v>
      </c>
      <c r="B213" s="661" t="s">
        <v>553</v>
      </c>
      <c r="C213" s="662" t="s">
        <v>566</v>
      </c>
      <c r="D213" s="663" t="s">
        <v>1752</v>
      </c>
      <c r="E213" s="662" t="s">
        <v>575</v>
      </c>
      <c r="F213" s="663" t="s">
        <v>1754</v>
      </c>
      <c r="G213" s="662" t="s">
        <v>582</v>
      </c>
      <c r="H213" s="662" t="s">
        <v>599</v>
      </c>
      <c r="I213" s="662" t="s">
        <v>600</v>
      </c>
      <c r="J213" s="662" t="s">
        <v>601</v>
      </c>
      <c r="K213" s="662" t="s">
        <v>602</v>
      </c>
      <c r="L213" s="664">
        <v>87.030000000000015</v>
      </c>
      <c r="M213" s="664">
        <v>5</v>
      </c>
      <c r="N213" s="665">
        <v>435.15000000000009</v>
      </c>
    </row>
    <row r="214" spans="1:14" ht="14.4" customHeight="1" x14ac:dyDescent="0.3">
      <c r="A214" s="660" t="s">
        <v>552</v>
      </c>
      <c r="B214" s="661" t="s">
        <v>553</v>
      </c>
      <c r="C214" s="662" t="s">
        <v>566</v>
      </c>
      <c r="D214" s="663" t="s">
        <v>1752</v>
      </c>
      <c r="E214" s="662" t="s">
        <v>575</v>
      </c>
      <c r="F214" s="663" t="s">
        <v>1754</v>
      </c>
      <c r="G214" s="662" t="s">
        <v>582</v>
      </c>
      <c r="H214" s="662" t="s">
        <v>603</v>
      </c>
      <c r="I214" s="662" t="s">
        <v>604</v>
      </c>
      <c r="J214" s="662" t="s">
        <v>605</v>
      </c>
      <c r="K214" s="662" t="s">
        <v>606</v>
      </c>
      <c r="L214" s="664">
        <v>101.54928802742891</v>
      </c>
      <c r="M214" s="664">
        <v>58</v>
      </c>
      <c r="N214" s="665">
        <v>5889.8587055908774</v>
      </c>
    </row>
    <row r="215" spans="1:14" ht="14.4" customHeight="1" x14ac:dyDescent="0.3">
      <c r="A215" s="660" t="s">
        <v>552</v>
      </c>
      <c r="B215" s="661" t="s">
        <v>553</v>
      </c>
      <c r="C215" s="662" t="s">
        <v>566</v>
      </c>
      <c r="D215" s="663" t="s">
        <v>1752</v>
      </c>
      <c r="E215" s="662" t="s">
        <v>575</v>
      </c>
      <c r="F215" s="663" t="s">
        <v>1754</v>
      </c>
      <c r="G215" s="662" t="s">
        <v>582</v>
      </c>
      <c r="H215" s="662" t="s">
        <v>607</v>
      </c>
      <c r="I215" s="662" t="s">
        <v>608</v>
      </c>
      <c r="J215" s="662" t="s">
        <v>609</v>
      </c>
      <c r="K215" s="662" t="s">
        <v>610</v>
      </c>
      <c r="L215" s="664">
        <v>167.61</v>
      </c>
      <c r="M215" s="664">
        <v>4</v>
      </c>
      <c r="N215" s="665">
        <v>670.44</v>
      </c>
    </row>
    <row r="216" spans="1:14" ht="14.4" customHeight="1" x14ac:dyDescent="0.3">
      <c r="A216" s="660" t="s">
        <v>552</v>
      </c>
      <c r="B216" s="661" t="s">
        <v>553</v>
      </c>
      <c r="C216" s="662" t="s">
        <v>566</v>
      </c>
      <c r="D216" s="663" t="s">
        <v>1752</v>
      </c>
      <c r="E216" s="662" t="s">
        <v>575</v>
      </c>
      <c r="F216" s="663" t="s">
        <v>1754</v>
      </c>
      <c r="G216" s="662" t="s">
        <v>582</v>
      </c>
      <c r="H216" s="662" t="s">
        <v>611</v>
      </c>
      <c r="I216" s="662" t="s">
        <v>612</v>
      </c>
      <c r="J216" s="662" t="s">
        <v>613</v>
      </c>
      <c r="K216" s="662" t="s">
        <v>614</v>
      </c>
      <c r="L216" s="664">
        <v>64.557926271348862</v>
      </c>
      <c r="M216" s="664">
        <v>25</v>
      </c>
      <c r="N216" s="665">
        <v>1613.9481567837215</v>
      </c>
    </row>
    <row r="217" spans="1:14" ht="14.4" customHeight="1" x14ac:dyDescent="0.3">
      <c r="A217" s="660" t="s">
        <v>552</v>
      </c>
      <c r="B217" s="661" t="s">
        <v>553</v>
      </c>
      <c r="C217" s="662" t="s">
        <v>566</v>
      </c>
      <c r="D217" s="663" t="s">
        <v>1752</v>
      </c>
      <c r="E217" s="662" t="s">
        <v>575</v>
      </c>
      <c r="F217" s="663" t="s">
        <v>1754</v>
      </c>
      <c r="G217" s="662" t="s">
        <v>582</v>
      </c>
      <c r="H217" s="662" t="s">
        <v>627</v>
      </c>
      <c r="I217" s="662" t="s">
        <v>628</v>
      </c>
      <c r="J217" s="662" t="s">
        <v>629</v>
      </c>
      <c r="K217" s="662" t="s">
        <v>630</v>
      </c>
      <c r="L217" s="664">
        <v>28.396502887645461</v>
      </c>
      <c r="M217" s="664">
        <v>161</v>
      </c>
      <c r="N217" s="665">
        <v>4571.8369649109191</v>
      </c>
    </row>
    <row r="218" spans="1:14" ht="14.4" customHeight="1" x14ac:dyDescent="0.3">
      <c r="A218" s="660" t="s">
        <v>552</v>
      </c>
      <c r="B218" s="661" t="s">
        <v>553</v>
      </c>
      <c r="C218" s="662" t="s">
        <v>566</v>
      </c>
      <c r="D218" s="663" t="s">
        <v>1752</v>
      </c>
      <c r="E218" s="662" t="s">
        <v>575</v>
      </c>
      <c r="F218" s="663" t="s">
        <v>1754</v>
      </c>
      <c r="G218" s="662" t="s">
        <v>582</v>
      </c>
      <c r="H218" s="662" t="s">
        <v>647</v>
      </c>
      <c r="I218" s="662" t="s">
        <v>648</v>
      </c>
      <c r="J218" s="662" t="s">
        <v>649</v>
      </c>
      <c r="K218" s="662" t="s">
        <v>650</v>
      </c>
      <c r="L218" s="664">
        <v>66.1842723653089</v>
      </c>
      <c r="M218" s="664">
        <v>9</v>
      </c>
      <c r="N218" s="665">
        <v>595.65845128778005</v>
      </c>
    </row>
    <row r="219" spans="1:14" ht="14.4" customHeight="1" x14ac:dyDescent="0.3">
      <c r="A219" s="660" t="s">
        <v>552</v>
      </c>
      <c r="B219" s="661" t="s">
        <v>553</v>
      </c>
      <c r="C219" s="662" t="s">
        <v>566</v>
      </c>
      <c r="D219" s="663" t="s">
        <v>1752</v>
      </c>
      <c r="E219" s="662" t="s">
        <v>575</v>
      </c>
      <c r="F219" s="663" t="s">
        <v>1754</v>
      </c>
      <c r="G219" s="662" t="s">
        <v>582</v>
      </c>
      <c r="H219" s="662" t="s">
        <v>655</v>
      </c>
      <c r="I219" s="662" t="s">
        <v>656</v>
      </c>
      <c r="J219" s="662" t="s">
        <v>657</v>
      </c>
      <c r="K219" s="662" t="s">
        <v>658</v>
      </c>
      <c r="L219" s="664">
        <v>354.01802035932883</v>
      </c>
      <c r="M219" s="664">
        <v>80</v>
      </c>
      <c r="N219" s="665">
        <v>28321.441628746306</v>
      </c>
    </row>
    <row r="220" spans="1:14" ht="14.4" customHeight="1" x14ac:dyDescent="0.3">
      <c r="A220" s="660" t="s">
        <v>552</v>
      </c>
      <c r="B220" s="661" t="s">
        <v>553</v>
      </c>
      <c r="C220" s="662" t="s">
        <v>566</v>
      </c>
      <c r="D220" s="663" t="s">
        <v>1752</v>
      </c>
      <c r="E220" s="662" t="s">
        <v>575</v>
      </c>
      <c r="F220" s="663" t="s">
        <v>1754</v>
      </c>
      <c r="G220" s="662" t="s">
        <v>582</v>
      </c>
      <c r="H220" s="662" t="s">
        <v>659</v>
      </c>
      <c r="I220" s="662" t="s">
        <v>660</v>
      </c>
      <c r="J220" s="662" t="s">
        <v>661</v>
      </c>
      <c r="K220" s="662" t="s">
        <v>662</v>
      </c>
      <c r="L220" s="664">
        <v>58.09540761604822</v>
      </c>
      <c r="M220" s="664">
        <v>43</v>
      </c>
      <c r="N220" s="665">
        <v>2498.1025274900735</v>
      </c>
    </row>
    <row r="221" spans="1:14" ht="14.4" customHeight="1" x14ac:dyDescent="0.3">
      <c r="A221" s="660" t="s">
        <v>552</v>
      </c>
      <c r="B221" s="661" t="s">
        <v>553</v>
      </c>
      <c r="C221" s="662" t="s">
        <v>566</v>
      </c>
      <c r="D221" s="663" t="s">
        <v>1752</v>
      </c>
      <c r="E221" s="662" t="s">
        <v>575</v>
      </c>
      <c r="F221" s="663" t="s">
        <v>1754</v>
      </c>
      <c r="G221" s="662" t="s">
        <v>582</v>
      </c>
      <c r="H221" s="662" t="s">
        <v>1277</v>
      </c>
      <c r="I221" s="662" t="s">
        <v>1278</v>
      </c>
      <c r="J221" s="662" t="s">
        <v>1279</v>
      </c>
      <c r="K221" s="662" t="s">
        <v>1280</v>
      </c>
      <c r="L221" s="664">
        <v>108.92855647055019</v>
      </c>
      <c r="M221" s="664">
        <v>4</v>
      </c>
      <c r="N221" s="665">
        <v>435.71422588220076</v>
      </c>
    </row>
    <row r="222" spans="1:14" ht="14.4" customHeight="1" x14ac:dyDescent="0.3">
      <c r="A222" s="660" t="s">
        <v>552</v>
      </c>
      <c r="B222" s="661" t="s">
        <v>553</v>
      </c>
      <c r="C222" s="662" t="s">
        <v>566</v>
      </c>
      <c r="D222" s="663" t="s">
        <v>1752</v>
      </c>
      <c r="E222" s="662" t="s">
        <v>575</v>
      </c>
      <c r="F222" s="663" t="s">
        <v>1754</v>
      </c>
      <c r="G222" s="662" t="s">
        <v>582</v>
      </c>
      <c r="H222" s="662" t="s">
        <v>675</v>
      </c>
      <c r="I222" s="662" t="s">
        <v>675</v>
      </c>
      <c r="J222" s="662" t="s">
        <v>676</v>
      </c>
      <c r="K222" s="662" t="s">
        <v>677</v>
      </c>
      <c r="L222" s="664">
        <v>36.533559277084244</v>
      </c>
      <c r="M222" s="664">
        <v>107</v>
      </c>
      <c r="N222" s="665">
        <v>3909.0908426480141</v>
      </c>
    </row>
    <row r="223" spans="1:14" ht="14.4" customHeight="1" x14ac:dyDescent="0.3">
      <c r="A223" s="660" t="s">
        <v>552</v>
      </c>
      <c r="B223" s="661" t="s">
        <v>553</v>
      </c>
      <c r="C223" s="662" t="s">
        <v>566</v>
      </c>
      <c r="D223" s="663" t="s">
        <v>1752</v>
      </c>
      <c r="E223" s="662" t="s">
        <v>575</v>
      </c>
      <c r="F223" s="663" t="s">
        <v>1754</v>
      </c>
      <c r="G223" s="662" t="s">
        <v>582</v>
      </c>
      <c r="H223" s="662" t="s">
        <v>678</v>
      </c>
      <c r="I223" s="662" t="s">
        <v>679</v>
      </c>
      <c r="J223" s="662" t="s">
        <v>680</v>
      </c>
      <c r="K223" s="662" t="s">
        <v>681</v>
      </c>
      <c r="L223" s="664">
        <v>227.71019188651914</v>
      </c>
      <c r="M223" s="664">
        <v>2</v>
      </c>
      <c r="N223" s="665">
        <v>455.42038377303828</v>
      </c>
    </row>
    <row r="224" spans="1:14" ht="14.4" customHeight="1" x14ac:dyDescent="0.3">
      <c r="A224" s="660" t="s">
        <v>552</v>
      </c>
      <c r="B224" s="661" t="s">
        <v>553</v>
      </c>
      <c r="C224" s="662" t="s">
        <v>566</v>
      </c>
      <c r="D224" s="663" t="s">
        <v>1752</v>
      </c>
      <c r="E224" s="662" t="s">
        <v>575</v>
      </c>
      <c r="F224" s="663" t="s">
        <v>1754</v>
      </c>
      <c r="G224" s="662" t="s">
        <v>582</v>
      </c>
      <c r="H224" s="662" t="s">
        <v>1281</v>
      </c>
      <c r="I224" s="662" t="s">
        <v>1282</v>
      </c>
      <c r="J224" s="662" t="s">
        <v>1283</v>
      </c>
      <c r="K224" s="662" t="s">
        <v>1284</v>
      </c>
      <c r="L224" s="664">
        <v>118.72999999999999</v>
      </c>
      <c r="M224" s="664">
        <v>1</v>
      </c>
      <c r="N224" s="665">
        <v>118.72999999999999</v>
      </c>
    </row>
    <row r="225" spans="1:14" ht="14.4" customHeight="1" x14ac:dyDescent="0.3">
      <c r="A225" s="660" t="s">
        <v>552</v>
      </c>
      <c r="B225" s="661" t="s">
        <v>553</v>
      </c>
      <c r="C225" s="662" t="s">
        <v>566</v>
      </c>
      <c r="D225" s="663" t="s">
        <v>1752</v>
      </c>
      <c r="E225" s="662" t="s">
        <v>575</v>
      </c>
      <c r="F225" s="663" t="s">
        <v>1754</v>
      </c>
      <c r="G225" s="662" t="s">
        <v>582</v>
      </c>
      <c r="H225" s="662" t="s">
        <v>1285</v>
      </c>
      <c r="I225" s="662" t="s">
        <v>1286</v>
      </c>
      <c r="J225" s="662" t="s">
        <v>1287</v>
      </c>
      <c r="K225" s="662" t="s">
        <v>1288</v>
      </c>
      <c r="L225" s="664">
        <v>85.849949695834255</v>
      </c>
      <c r="M225" s="664">
        <v>1</v>
      </c>
      <c r="N225" s="665">
        <v>85.849949695834255</v>
      </c>
    </row>
    <row r="226" spans="1:14" ht="14.4" customHeight="1" x14ac:dyDescent="0.3">
      <c r="A226" s="660" t="s">
        <v>552</v>
      </c>
      <c r="B226" s="661" t="s">
        <v>553</v>
      </c>
      <c r="C226" s="662" t="s">
        <v>566</v>
      </c>
      <c r="D226" s="663" t="s">
        <v>1752</v>
      </c>
      <c r="E226" s="662" t="s">
        <v>575</v>
      </c>
      <c r="F226" s="663" t="s">
        <v>1754</v>
      </c>
      <c r="G226" s="662" t="s">
        <v>582</v>
      </c>
      <c r="H226" s="662" t="s">
        <v>697</v>
      </c>
      <c r="I226" s="662" t="s">
        <v>698</v>
      </c>
      <c r="J226" s="662" t="s">
        <v>699</v>
      </c>
      <c r="K226" s="662" t="s">
        <v>700</v>
      </c>
      <c r="L226" s="664">
        <v>329.39215056802408</v>
      </c>
      <c r="M226" s="664">
        <v>25</v>
      </c>
      <c r="N226" s="665">
        <v>8234.803764200602</v>
      </c>
    </row>
    <row r="227" spans="1:14" ht="14.4" customHeight="1" x14ac:dyDescent="0.3">
      <c r="A227" s="660" t="s">
        <v>552</v>
      </c>
      <c r="B227" s="661" t="s">
        <v>553</v>
      </c>
      <c r="C227" s="662" t="s">
        <v>566</v>
      </c>
      <c r="D227" s="663" t="s">
        <v>1752</v>
      </c>
      <c r="E227" s="662" t="s">
        <v>575</v>
      </c>
      <c r="F227" s="663" t="s">
        <v>1754</v>
      </c>
      <c r="G227" s="662" t="s">
        <v>582</v>
      </c>
      <c r="H227" s="662" t="s">
        <v>712</v>
      </c>
      <c r="I227" s="662" t="s">
        <v>713</v>
      </c>
      <c r="J227" s="662" t="s">
        <v>714</v>
      </c>
      <c r="K227" s="662" t="s">
        <v>715</v>
      </c>
      <c r="L227" s="664">
        <v>87.102580165710123</v>
      </c>
      <c r="M227" s="664">
        <v>4</v>
      </c>
      <c r="N227" s="665">
        <v>348.41032066284049</v>
      </c>
    </row>
    <row r="228" spans="1:14" ht="14.4" customHeight="1" x14ac:dyDescent="0.3">
      <c r="A228" s="660" t="s">
        <v>552</v>
      </c>
      <c r="B228" s="661" t="s">
        <v>553</v>
      </c>
      <c r="C228" s="662" t="s">
        <v>566</v>
      </c>
      <c r="D228" s="663" t="s">
        <v>1752</v>
      </c>
      <c r="E228" s="662" t="s">
        <v>575</v>
      </c>
      <c r="F228" s="663" t="s">
        <v>1754</v>
      </c>
      <c r="G228" s="662" t="s">
        <v>582</v>
      </c>
      <c r="H228" s="662" t="s">
        <v>716</v>
      </c>
      <c r="I228" s="662" t="s">
        <v>717</v>
      </c>
      <c r="J228" s="662" t="s">
        <v>661</v>
      </c>
      <c r="K228" s="662" t="s">
        <v>718</v>
      </c>
      <c r="L228" s="664">
        <v>21.78</v>
      </c>
      <c r="M228" s="664">
        <v>1</v>
      </c>
      <c r="N228" s="665">
        <v>21.78</v>
      </c>
    </row>
    <row r="229" spans="1:14" ht="14.4" customHeight="1" x14ac:dyDescent="0.3">
      <c r="A229" s="660" t="s">
        <v>552</v>
      </c>
      <c r="B229" s="661" t="s">
        <v>553</v>
      </c>
      <c r="C229" s="662" t="s">
        <v>566</v>
      </c>
      <c r="D229" s="663" t="s">
        <v>1752</v>
      </c>
      <c r="E229" s="662" t="s">
        <v>575</v>
      </c>
      <c r="F229" s="663" t="s">
        <v>1754</v>
      </c>
      <c r="G229" s="662" t="s">
        <v>582</v>
      </c>
      <c r="H229" s="662" t="s">
        <v>719</v>
      </c>
      <c r="I229" s="662" t="s">
        <v>720</v>
      </c>
      <c r="J229" s="662" t="s">
        <v>721</v>
      </c>
      <c r="K229" s="662" t="s">
        <v>722</v>
      </c>
      <c r="L229" s="664">
        <v>75.399999999999963</v>
      </c>
      <c r="M229" s="664">
        <v>2</v>
      </c>
      <c r="N229" s="665">
        <v>150.79999999999993</v>
      </c>
    </row>
    <row r="230" spans="1:14" ht="14.4" customHeight="1" x14ac:dyDescent="0.3">
      <c r="A230" s="660" t="s">
        <v>552</v>
      </c>
      <c r="B230" s="661" t="s">
        <v>553</v>
      </c>
      <c r="C230" s="662" t="s">
        <v>566</v>
      </c>
      <c r="D230" s="663" t="s">
        <v>1752</v>
      </c>
      <c r="E230" s="662" t="s">
        <v>575</v>
      </c>
      <c r="F230" s="663" t="s">
        <v>1754</v>
      </c>
      <c r="G230" s="662" t="s">
        <v>582</v>
      </c>
      <c r="H230" s="662" t="s">
        <v>1289</v>
      </c>
      <c r="I230" s="662" t="s">
        <v>1290</v>
      </c>
      <c r="J230" s="662" t="s">
        <v>1291</v>
      </c>
      <c r="K230" s="662" t="s">
        <v>1292</v>
      </c>
      <c r="L230" s="664">
        <v>155.94</v>
      </c>
      <c r="M230" s="664">
        <v>2</v>
      </c>
      <c r="N230" s="665">
        <v>311.88</v>
      </c>
    </row>
    <row r="231" spans="1:14" ht="14.4" customHeight="1" x14ac:dyDescent="0.3">
      <c r="A231" s="660" t="s">
        <v>552</v>
      </c>
      <c r="B231" s="661" t="s">
        <v>553</v>
      </c>
      <c r="C231" s="662" t="s">
        <v>566</v>
      </c>
      <c r="D231" s="663" t="s">
        <v>1752</v>
      </c>
      <c r="E231" s="662" t="s">
        <v>575</v>
      </c>
      <c r="F231" s="663" t="s">
        <v>1754</v>
      </c>
      <c r="G231" s="662" t="s">
        <v>582</v>
      </c>
      <c r="H231" s="662" t="s">
        <v>1293</v>
      </c>
      <c r="I231" s="662" t="s">
        <v>1294</v>
      </c>
      <c r="J231" s="662" t="s">
        <v>1295</v>
      </c>
      <c r="K231" s="662" t="s">
        <v>1296</v>
      </c>
      <c r="L231" s="664">
        <v>192.89499999999998</v>
      </c>
      <c r="M231" s="664">
        <v>2</v>
      </c>
      <c r="N231" s="665">
        <v>385.78999999999996</v>
      </c>
    </row>
    <row r="232" spans="1:14" ht="14.4" customHeight="1" x14ac:dyDescent="0.3">
      <c r="A232" s="660" t="s">
        <v>552</v>
      </c>
      <c r="B232" s="661" t="s">
        <v>553</v>
      </c>
      <c r="C232" s="662" t="s">
        <v>566</v>
      </c>
      <c r="D232" s="663" t="s">
        <v>1752</v>
      </c>
      <c r="E232" s="662" t="s">
        <v>575</v>
      </c>
      <c r="F232" s="663" t="s">
        <v>1754</v>
      </c>
      <c r="G232" s="662" t="s">
        <v>582</v>
      </c>
      <c r="H232" s="662" t="s">
        <v>731</v>
      </c>
      <c r="I232" s="662" t="s">
        <v>732</v>
      </c>
      <c r="J232" s="662" t="s">
        <v>733</v>
      </c>
      <c r="K232" s="662" t="s">
        <v>734</v>
      </c>
      <c r="L232" s="664">
        <v>115.46938869977744</v>
      </c>
      <c r="M232" s="664">
        <v>1</v>
      </c>
      <c r="N232" s="665">
        <v>115.46938869977744</v>
      </c>
    </row>
    <row r="233" spans="1:14" ht="14.4" customHeight="1" x14ac:dyDescent="0.3">
      <c r="A233" s="660" t="s">
        <v>552</v>
      </c>
      <c r="B233" s="661" t="s">
        <v>553</v>
      </c>
      <c r="C233" s="662" t="s">
        <v>566</v>
      </c>
      <c r="D233" s="663" t="s">
        <v>1752</v>
      </c>
      <c r="E233" s="662" t="s">
        <v>575</v>
      </c>
      <c r="F233" s="663" t="s">
        <v>1754</v>
      </c>
      <c r="G233" s="662" t="s">
        <v>582</v>
      </c>
      <c r="H233" s="662" t="s">
        <v>1297</v>
      </c>
      <c r="I233" s="662" t="s">
        <v>1298</v>
      </c>
      <c r="J233" s="662" t="s">
        <v>1299</v>
      </c>
      <c r="K233" s="662" t="s">
        <v>1300</v>
      </c>
      <c r="L233" s="664">
        <v>376.03000000000031</v>
      </c>
      <c r="M233" s="664">
        <v>2</v>
      </c>
      <c r="N233" s="665">
        <v>752.06000000000063</v>
      </c>
    </row>
    <row r="234" spans="1:14" ht="14.4" customHeight="1" x14ac:dyDescent="0.3">
      <c r="A234" s="660" t="s">
        <v>552</v>
      </c>
      <c r="B234" s="661" t="s">
        <v>553</v>
      </c>
      <c r="C234" s="662" t="s">
        <v>566</v>
      </c>
      <c r="D234" s="663" t="s">
        <v>1752</v>
      </c>
      <c r="E234" s="662" t="s">
        <v>575</v>
      </c>
      <c r="F234" s="663" t="s">
        <v>1754</v>
      </c>
      <c r="G234" s="662" t="s">
        <v>582</v>
      </c>
      <c r="H234" s="662" t="s">
        <v>1301</v>
      </c>
      <c r="I234" s="662" t="s">
        <v>1301</v>
      </c>
      <c r="J234" s="662" t="s">
        <v>1302</v>
      </c>
      <c r="K234" s="662" t="s">
        <v>1303</v>
      </c>
      <c r="L234" s="664">
        <v>147.64499947518519</v>
      </c>
      <c r="M234" s="664">
        <v>2</v>
      </c>
      <c r="N234" s="665">
        <v>295.28999895037038</v>
      </c>
    </row>
    <row r="235" spans="1:14" ht="14.4" customHeight="1" x14ac:dyDescent="0.3">
      <c r="A235" s="660" t="s">
        <v>552</v>
      </c>
      <c r="B235" s="661" t="s">
        <v>553</v>
      </c>
      <c r="C235" s="662" t="s">
        <v>566</v>
      </c>
      <c r="D235" s="663" t="s">
        <v>1752</v>
      </c>
      <c r="E235" s="662" t="s">
        <v>575</v>
      </c>
      <c r="F235" s="663" t="s">
        <v>1754</v>
      </c>
      <c r="G235" s="662" t="s">
        <v>582</v>
      </c>
      <c r="H235" s="662" t="s">
        <v>1304</v>
      </c>
      <c r="I235" s="662" t="s">
        <v>1305</v>
      </c>
      <c r="J235" s="662" t="s">
        <v>1306</v>
      </c>
      <c r="K235" s="662" t="s">
        <v>1307</v>
      </c>
      <c r="L235" s="664">
        <v>101.0100018756995</v>
      </c>
      <c r="M235" s="664">
        <v>4</v>
      </c>
      <c r="N235" s="665">
        <v>404.04000750279801</v>
      </c>
    </row>
    <row r="236" spans="1:14" ht="14.4" customHeight="1" x14ac:dyDescent="0.3">
      <c r="A236" s="660" t="s">
        <v>552</v>
      </c>
      <c r="B236" s="661" t="s">
        <v>553</v>
      </c>
      <c r="C236" s="662" t="s">
        <v>566</v>
      </c>
      <c r="D236" s="663" t="s">
        <v>1752</v>
      </c>
      <c r="E236" s="662" t="s">
        <v>575</v>
      </c>
      <c r="F236" s="663" t="s">
        <v>1754</v>
      </c>
      <c r="G236" s="662" t="s">
        <v>582</v>
      </c>
      <c r="H236" s="662" t="s">
        <v>1308</v>
      </c>
      <c r="I236" s="662" t="s">
        <v>1309</v>
      </c>
      <c r="J236" s="662" t="s">
        <v>1310</v>
      </c>
      <c r="K236" s="662" t="s">
        <v>1311</v>
      </c>
      <c r="L236" s="664">
        <v>73.740074267447412</v>
      </c>
      <c r="M236" s="664">
        <v>2</v>
      </c>
      <c r="N236" s="665">
        <v>147.48014853489482</v>
      </c>
    </row>
    <row r="237" spans="1:14" ht="14.4" customHeight="1" x14ac:dyDescent="0.3">
      <c r="A237" s="660" t="s">
        <v>552</v>
      </c>
      <c r="B237" s="661" t="s">
        <v>553</v>
      </c>
      <c r="C237" s="662" t="s">
        <v>566</v>
      </c>
      <c r="D237" s="663" t="s">
        <v>1752</v>
      </c>
      <c r="E237" s="662" t="s">
        <v>575</v>
      </c>
      <c r="F237" s="663" t="s">
        <v>1754</v>
      </c>
      <c r="G237" s="662" t="s">
        <v>582</v>
      </c>
      <c r="H237" s="662" t="s">
        <v>1312</v>
      </c>
      <c r="I237" s="662" t="s">
        <v>1313</v>
      </c>
      <c r="J237" s="662" t="s">
        <v>741</v>
      </c>
      <c r="K237" s="662" t="s">
        <v>1314</v>
      </c>
      <c r="L237" s="664">
        <v>135.32033809452486</v>
      </c>
      <c r="M237" s="664">
        <v>1</v>
      </c>
      <c r="N237" s="665">
        <v>135.32033809452486</v>
      </c>
    </row>
    <row r="238" spans="1:14" ht="14.4" customHeight="1" x14ac:dyDescent="0.3">
      <c r="A238" s="660" t="s">
        <v>552</v>
      </c>
      <c r="B238" s="661" t="s">
        <v>553</v>
      </c>
      <c r="C238" s="662" t="s">
        <v>566</v>
      </c>
      <c r="D238" s="663" t="s">
        <v>1752</v>
      </c>
      <c r="E238" s="662" t="s">
        <v>575</v>
      </c>
      <c r="F238" s="663" t="s">
        <v>1754</v>
      </c>
      <c r="G238" s="662" t="s">
        <v>582</v>
      </c>
      <c r="H238" s="662" t="s">
        <v>739</v>
      </c>
      <c r="I238" s="662" t="s">
        <v>740</v>
      </c>
      <c r="J238" s="662" t="s">
        <v>741</v>
      </c>
      <c r="K238" s="662" t="s">
        <v>742</v>
      </c>
      <c r="L238" s="664">
        <v>139.48999999999998</v>
      </c>
      <c r="M238" s="664">
        <v>6</v>
      </c>
      <c r="N238" s="665">
        <v>836.93999999999983</v>
      </c>
    </row>
    <row r="239" spans="1:14" ht="14.4" customHeight="1" x14ac:dyDescent="0.3">
      <c r="A239" s="660" t="s">
        <v>552</v>
      </c>
      <c r="B239" s="661" t="s">
        <v>553</v>
      </c>
      <c r="C239" s="662" t="s">
        <v>566</v>
      </c>
      <c r="D239" s="663" t="s">
        <v>1752</v>
      </c>
      <c r="E239" s="662" t="s">
        <v>575</v>
      </c>
      <c r="F239" s="663" t="s">
        <v>1754</v>
      </c>
      <c r="G239" s="662" t="s">
        <v>582</v>
      </c>
      <c r="H239" s="662" t="s">
        <v>1315</v>
      </c>
      <c r="I239" s="662" t="s">
        <v>1315</v>
      </c>
      <c r="J239" s="662" t="s">
        <v>665</v>
      </c>
      <c r="K239" s="662" t="s">
        <v>1316</v>
      </c>
      <c r="L239" s="664">
        <v>106.45</v>
      </c>
      <c r="M239" s="664">
        <v>2</v>
      </c>
      <c r="N239" s="665">
        <v>212.9</v>
      </c>
    </row>
    <row r="240" spans="1:14" ht="14.4" customHeight="1" x14ac:dyDescent="0.3">
      <c r="A240" s="660" t="s">
        <v>552</v>
      </c>
      <c r="B240" s="661" t="s">
        <v>553</v>
      </c>
      <c r="C240" s="662" t="s">
        <v>566</v>
      </c>
      <c r="D240" s="663" t="s">
        <v>1752</v>
      </c>
      <c r="E240" s="662" t="s">
        <v>575</v>
      </c>
      <c r="F240" s="663" t="s">
        <v>1754</v>
      </c>
      <c r="G240" s="662" t="s">
        <v>582</v>
      </c>
      <c r="H240" s="662" t="s">
        <v>755</v>
      </c>
      <c r="I240" s="662" t="s">
        <v>756</v>
      </c>
      <c r="J240" s="662" t="s">
        <v>757</v>
      </c>
      <c r="K240" s="662" t="s">
        <v>758</v>
      </c>
      <c r="L240" s="664">
        <v>279.74885437161913</v>
      </c>
      <c r="M240" s="664">
        <v>4</v>
      </c>
      <c r="N240" s="665">
        <v>1118.9954174864765</v>
      </c>
    </row>
    <row r="241" spans="1:14" ht="14.4" customHeight="1" x14ac:dyDescent="0.3">
      <c r="A241" s="660" t="s">
        <v>552</v>
      </c>
      <c r="B241" s="661" t="s">
        <v>553</v>
      </c>
      <c r="C241" s="662" t="s">
        <v>566</v>
      </c>
      <c r="D241" s="663" t="s">
        <v>1752</v>
      </c>
      <c r="E241" s="662" t="s">
        <v>575</v>
      </c>
      <c r="F241" s="663" t="s">
        <v>1754</v>
      </c>
      <c r="G241" s="662" t="s">
        <v>582</v>
      </c>
      <c r="H241" s="662" t="s">
        <v>759</v>
      </c>
      <c r="I241" s="662" t="s">
        <v>760</v>
      </c>
      <c r="J241" s="662" t="s">
        <v>761</v>
      </c>
      <c r="K241" s="662" t="s">
        <v>762</v>
      </c>
      <c r="L241" s="664">
        <v>375.7997669077584</v>
      </c>
      <c r="M241" s="664">
        <v>24</v>
      </c>
      <c r="N241" s="665">
        <v>9019.194405786202</v>
      </c>
    </row>
    <row r="242" spans="1:14" ht="14.4" customHeight="1" x14ac:dyDescent="0.3">
      <c r="A242" s="660" t="s">
        <v>552</v>
      </c>
      <c r="B242" s="661" t="s">
        <v>553</v>
      </c>
      <c r="C242" s="662" t="s">
        <v>566</v>
      </c>
      <c r="D242" s="663" t="s">
        <v>1752</v>
      </c>
      <c r="E242" s="662" t="s">
        <v>575</v>
      </c>
      <c r="F242" s="663" t="s">
        <v>1754</v>
      </c>
      <c r="G242" s="662" t="s">
        <v>582</v>
      </c>
      <c r="H242" s="662" t="s">
        <v>1317</v>
      </c>
      <c r="I242" s="662" t="s">
        <v>1318</v>
      </c>
      <c r="J242" s="662" t="s">
        <v>1319</v>
      </c>
      <c r="K242" s="662" t="s">
        <v>1320</v>
      </c>
      <c r="L242" s="664">
        <v>221.16964640635089</v>
      </c>
      <c r="M242" s="664">
        <v>54</v>
      </c>
      <c r="N242" s="665">
        <v>11943.160905942948</v>
      </c>
    </row>
    <row r="243" spans="1:14" ht="14.4" customHeight="1" x14ac:dyDescent="0.3">
      <c r="A243" s="660" t="s">
        <v>552</v>
      </c>
      <c r="B243" s="661" t="s">
        <v>553</v>
      </c>
      <c r="C243" s="662" t="s">
        <v>566</v>
      </c>
      <c r="D243" s="663" t="s">
        <v>1752</v>
      </c>
      <c r="E243" s="662" t="s">
        <v>575</v>
      </c>
      <c r="F243" s="663" t="s">
        <v>1754</v>
      </c>
      <c r="G243" s="662" t="s">
        <v>582</v>
      </c>
      <c r="H243" s="662" t="s">
        <v>775</v>
      </c>
      <c r="I243" s="662" t="s">
        <v>776</v>
      </c>
      <c r="J243" s="662" t="s">
        <v>777</v>
      </c>
      <c r="K243" s="662" t="s">
        <v>778</v>
      </c>
      <c r="L243" s="664">
        <v>143.60802666666666</v>
      </c>
      <c r="M243" s="664">
        <v>6</v>
      </c>
      <c r="N243" s="665">
        <v>861.64815999999996</v>
      </c>
    </row>
    <row r="244" spans="1:14" ht="14.4" customHeight="1" x14ac:dyDescent="0.3">
      <c r="A244" s="660" t="s">
        <v>552</v>
      </c>
      <c r="B244" s="661" t="s">
        <v>553</v>
      </c>
      <c r="C244" s="662" t="s">
        <v>566</v>
      </c>
      <c r="D244" s="663" t="s">
        <v>1752</v>
      </c>
      <c r="E244" s="662" t="s">
        <v>575</v>
      </c>
      <c r="F244" s="663" t="s">
        <v>1754</v>
      </c>
      <c r="G244" s="662" t="s">
        <v>582</v>
      </c>
      <c r="H244" s="662" t="s">
        <v>785</v>
      </c>
      <c r="I244" s="662" t="s">
        <v>216</v>
      </c>
      <c r="J244" s="662" t="s">
        <v>786</v>
      </c>
      <c r="K244" s="662"/>
      <c r="L244" s="664">
        <v>146.11038498253944</v>
      </c>
      <c r="M244" s="664">
        <v>3</v>
      </c>
      <c r="N244" s="665">
        <v>438.3311549476183</v>
      </c>
    </row>
    <row r="245" spans="1:14" ht="14.4" customHeight="1" x14ac:dyDescent="0.3">
      <c r="A245" s="660" t="s">
        <v>552</v>
      </c>
      <c r="B245" s="661" t="s">
        <v>553</v>
      </c>
      <c r="C245" s="662" t="s">
        <v>566</v>
      </c>
      <c r="D245" s="663" t="s">
        <v>1752</v>
      </c>
      <c r="E245" s="662" t="s">
        <v>575</v>
      </c>
      <c r="F245" s="663" t="s">
        <v>1754</v>
      </c>
      <c r="G245" s="662" t="s">
        <v>582</v>
      </c>
      <c r="H245" s="662" t="s">
        <v>787</v>
      </c>
      <c r="I245" s="662" t="s">
        <v>216</v>
      </c>
      <c r="J245" s="662" t="s">
        <v>788</v>
      </c>
      <c r="K245" s="662"/>
      <c r="L245" s="664">
        <v>99.703199264528308</v>
      </c>
      <c r="M245" s="664">
        <v>20</v>
      </c>
      <c r="N245" s="665">
        <v>1994.0639852905661</v>
      </c>
    </row>
    <row r="246" spans="1:14" ht="14.4" customHeight="1" x14ac:dyDescent="0.3">
      <c r="A246" s="660" t="s">
        <v>552</v>
      </c>
      <c r="B246" s="661" t="s">
        <v>553</v>
      </c>
      <c r="C246" s="662" t="s">
        <v>566</v>
      </c>
      <c r="D246" s="663" t="s">
        <v>1752</v>
      </c>
      <c r="E246" s="662" t="s">
        <v>575</v>
      </c>
      <c r="F246" s="663" t="s">
        <v>1754</v>
      </c>
      <c r="G246" s="662" t="s">
        <v>582</v>
      </c>
      <c r="H246" s="662" t="s">
        <v>1321</v>
      </c>
      <c r="I246" s="662" t="s">
        <v>1322</v>
      </c>
      <c r="J246" s="662" t="s">
        <v>1323</v>
      </c>
      <c r="K246" s="662" t="s">
        <v>1324</v>
      </c>
      <c r="L246" s="664">
        <v>68.056599019597286</v>
      </c>
      <c r="M246" s="664">
        <v>6</v>
      </c>
      <c r="N246" s="665">
        <v>408.33959411758372</v>
      </c>
    </row>
    <row r="247" spans="1:14" ht="14.4" customHeight="1" x14ac:dyDescent="0.3">
      <c r="A247" s="660" t="s">
        <v>552</v>
      </c>
      <c r="B247" s="661" t="s">
        <v>553</v>
      </c>
      <c r="C247" s="662" t="s">
        <v>566</v>
      </c>
      <c r="D247" s="663" t="s">
        <v>1752</v>
      </c>
      <c r="E247" s="662" t="s">
        <v>575</v>
      </c>
      <c r="F247" s="663" t="s">
        <v>1754</v>
      </c>
      <c r="G247" s="662" t="s">
        <v>582</v>
      </c>
      <c r="H247" s="662" t="s">
        <v>1325</v>
      </c>
      <c r="I247" s="662" t="s">
        <v>1326</v>
      </c>
      <c r="J247" s="662" t="s">
        <v>773</v>
      </c>
      <c r="K247" s="662" t="s">
        <v>1327</v>
      </c>
      <c r="L247" s="664">
        <v>58.479845925600181</v>
      </c>
      <c r="M247" s="664">
        <v>3</v>
      </c>
      <c r="N247" s="665">
        <v>175.43953777680053</v>
      </c>
    </row>
    <row r="248" spans="1:14" ht="14.4" customHeight="1" x14ac:dyDescent="0.3">
      <c r="A248" s="660" t="s">
        <v>552</v>
      </c>
      <c r="B248" s="661" t="s">
        <v>553</v>
      </c>
      <c r="C248" s="662" t="s">
        <v>566</v>
      </c>
      <c r="D248" s="663" t="s">
        <v>1752</v>
      </c>
      <c r="E248" s="662" t="s">
        <v>575</v>
      </c>
      <c r="F248" s="663" t="s">
        <v>1754</v>
      </c>
      <c r="G248" s="662" t="s">
        <v>582</v>
      </c>
      <c r="H248" s="662" t="s">
        <v>1328</v>
      </c>
      <c r="I248" s="662" t="s">
        <v>1329</v>
      </c>
      <c r="J248" s="662" t="s">
        <v>1330</v>
      </c>
      <c r="K248" s="662"/>
      <c r="L248" s="664">
        <v>134.09990127800896</v>
      </c>
      <c r="M248" s="664">
        <v>15</v>
      </c>
      <c r="N248" s="665">
        <v>2011.4985191701344</v>
      </c>
    </row>
    <row r="249" spans="1:14" ht="14.4" customHeight="1" x14ac:dyDescent="0.3">
      <c r="A249" s="660" t="s">
        <v>552</v>
      </c>
      <c r="B249" s="661" t="s">
        <v>553</v>
      </c>
      <c r="C249" s="662" t="s">
        <v>566</v>
      </c>
      <c r="D249" s="663" t="s">
        <v>1752</v>
      </c>
      <c r="E249" s="662" t="s">
        <v>575</v>
      </c>
      <c r="F249" s="663" t="s">
        <v>1754</v>
      </c>
      <c r="G249" s="662" t="s">
        <v>582</v>
      </c>
      <c r="H249" s="662" t="s">
        <v>1331</v>
      </c>
      <c r="I249" s="662" t="s">
        <v>1332</v>
      </c>
      <c r="J249" s="662" t="s">
        <v>1333</v>
      </c>
      <c r="K249" s="662" t="s">
        <v>1334</v>
      </c>
      <c r="L249" s="664">
        <v>40.58</v>
      </c>
      <c r="M249" s="664">
        <v>1</v>
      </c>
      <c r="N249" s="665">
        <v>40.58</v>
      </c>
    </row>
    <row r="250" spans="1:14" ht="14.4" customHeight="1" x14ac:dyDescent="0.3">
      <c r="A250" s="660" t="s">
        <v>552</v>
      </c>
      <c r="B250" s="661" t="s">
        <v>553</v>
      </c>
      <c r="C250" s="662" t="s">
        <v>566</v>
      </c>
      <c r="D250" s="663" t="s">
        <v>1752</v>
      </c>
      <c r="E250" s="662" t="s">
        <v>575</v>
      </c>
      <c r="F250" s="663" t="s">
        <v>1754</v>
      </c>
      <c r="G250" s="662" t="s">
        <v>582</v>
      </c>
      <c r="H250" s="662" t="s">
        <v>817</v>
      </c>
      <c r="I250" s="662" t="s">
        <v>818</v>
      </c>
      <c r="J250" s="662" t="s">
        <v>819</v>
      </c>
      <c r="K250" s="662" t="s">
        <v>820</v>
      </c>
      <c r="L250" s="664">
        <v>58.71</v>
      </c>
      <c r="M250" s="664">
        <v>35</v>
      </c>
      <c r="N250" s="665">
        <v>2054.85</v>
      </c>
    </row>
    <row r="251" spans="1:14" ht="14.4" customHeight="1" x14ac:dyDescent="0.3">
      <c r="A251" s="660" t="s">
        <v>552</v>
      </c>
      <c r="B251" s="661" t="s">
        <v>553</v>
      </c>
      <c r="C251" s="662" t="s">
        <v>566</v>
      </c>
      <c r="D251" s="663" t="s">
        <v>1752</v>
      </c>
      <c r="E251" s="662" t="s">
        <v>575</v>
      </c>
      <c r="F251" s="663" t="s">
        <v>1754</v>
      </c>
      <c r="G251" s="662" t="s">
        <v>582</v>
      </c>
      <c r="H251" s="662" t="s">
        <v>837</v>
      </c>
      <c r="I251" s="662" t="s">
        <v>838</v>
      </c>
      <c r="J251" s="662" t="s">
        <v>831</v>
      </c>
      <c r="K251" s="662" t="s">
        <v>839</v>
      </c>
      <c r="L251" s="664">
        <v>26.910000000000007</v>
      </c>
      <c r="M251" s="664">
        <v>1</v>
      </c>
      <c r="N251" s="665">
        <v>26.910000000000007</v>
      </c>
    </row>
    <row r="252" spans="1:14" ht="14.4" customHeight="1" x14ac:dyDescent="0.3">
      <c r="A252" s="660" t="s">
        <v>552</v>
      </c>
      <c r="B252" s="661" t="s">
        <v>553</v>
      </c>
      <c r="C252" s="662" t="s">
        <v>566</v>
      </c>
      <c r="D252" s="663" t="s">
        <v>1752</v>
      </c>
      <c r="E252" s="662" t="s">
        <v>575</v>
      </c>
      <c r="F252" s="663" t="s">
        <v>1754</v>
      </c>
      <c r="G252" s="662" t="s">
        <v>582</v>
      </c>
      <c r="H252" s="662" t="s">
        <v>1335</v>
      </c>
      <c r="I252" s="662" t="s">
        <v>1336</v>
      </c>
      <c r="J252" s="662" t="s">
        <v>1337</v>
      </c>
      <c r="K252" s="662" t="s">
        <v>685</v>
      </c>
      <c r="L252" s="664">
        <v>262.17</v>
      </c>
      <c r="M252" s="664">
        <v>1</v>
      </c>
      <c r="N252" s="665">
        <v>262.17</v>
      </c>
    </row>
    <row r="253" spans="1:14" ht="14.4" customHeight="1" x14ac:dyDescent="0.3">
      <c r="A253" s="660" t="s">
        <v>552</v>
      </c>
      <c r="B253" s="661" t="s">
        <v>553</v>
      </c>
      <c r="C253" s="662" t="s">
        <v>566</v>
      </c>
      <c r="D253" s="663" t="s">
        <v>1752</v>
      </c>
      <c r="E253" s="662" t="s">
        <v>575</v>
      </c>
      <c r="F253" s="663" t="s">
        <v>1754</v>
      </c>
      <c r="G253" s="662" t="s">
        <v>582</v>
      </c>
      <c r="H253" s="662" t="s">
        <v>1338</v>
      </c>
      <c r="I253" s="662" t="s">
        <v>216</v>
      </c>
      <c r="J253" s="662" t="s">
        <v>1339</v>
      </c>
      <c r="K253" s="662"/>
      <c r="L253" s="664">
        <v>42.329999698774088</v>
      </c>
      <c r="M253" s="664">
        <v>1</v>
      </c>
      <c r="N253" s="665">
        <v>42.329999698774088</v>
      </c>
    </row>
    <row r="254" spans="1:14" ht="14.4" customHeight="1" x14ac:dyDescent="0.3">
      <c r="A254" s="660" t="s">
        <v>552</v>
      </c>
      <c r="B254" s="661" t="s">
        <v>553</v>
      </c>
      <c r="C254" s="662" t="s">
        <v>566</v>
      </c>
      <c r="D254" s="663" t="s">
        <v>1752</v>
      </c>
      <c r="E254" s="662" t="s">
        <v>575</v>
      </c>
      <c r="F254" s="663" t="s">
        <v>1754</v>
      </c>
      <c r="G254" s="662" t="s">
        <v>582</v>
      </c>
      <c r="H254" s="662" t="s">
        <v>1340</v>
      </c>
      <c r="I254" s="662" t="s">
        <v>216</v>
      </c>
      <c r="J254" s="662" t="s">
        <v>1341</v>
      </c>
      <c r="K254" s="662" t="s">
        <v>1342</v>
      </c>
      <c r="L254" s="664">
        <v>174.81474615008815</v>
      </c>
      <c r="M254" s="664">
        <v>6</v>
      </c>
      <c r="N254" s="665">
        <v>1048.888476900529</v>
      </c>
    </row>
    <row r="255" spans="1:14" ht="14.4" customHeight="1" x14ac:dyDescent="0.3">
      <c r="A255" s="660" t="s">
        <v>552</v>
      </c>
      <c r="B255" s="661" t="s">
        <v>553</v>
      </c>
      <c r="C255" s="662" t="s">
        <v>566</v>
      </c>
      <c r="D255" s="663" t="s">
        <v>1752</v>
      </c>
      <c r="E255" s="662" t="s">
        <v>575</v>
      </c>
      <c r="F255" s="663" t="s">
        <v>1754</v>
      </c>
      <c r="G255" s="662" t="s">
        <v>582</v>
      </c>
      <c r="H255" s="662" t="s">
        <v>1343</v>
      </c>
      <c r="I255" s="662" t="s">
        <v>1344</v>
      </c>
      <c r="J255" s="662" t="s">
        <v>1345</v>
      </c>
      <c r="K255" s="662" t="s">
        <v>1346</v>
      </c>
      <c r="L255" s="664">
        <v>208.69051184057739</v>
      </c>
      <c r="M255" s="664">
        <v>3</v>
      </c>
      <c r="N255" s="665">
        <v>626.07153552173213</v>
      </c>
    </row>
    <row r="256" spans="1:14" ht="14.4" customHeight="1" x14ac:dyDescent="0.3">
      <c r="A256" s="660" t="s">
        <v>552</v>
      </c>
      <c r="B256" s="661" t="s">
        <v>553</v>
      </c>
      <c r="C256" s="662" t="s">
        <v>566</v>
      </c>
      <c r="D256" s="663" t="s">
        <v>1752</v>
      </c>
      <c r="E256" s="662" t="s">
        <v>575</v>
      </c>
      <c r="F256" s="663" t="s">
        <v>1754</v>
      </c>
      <c r="G256" s="662" t="s">
        <v>582</v>
      </c>
      <c r="H256" s="662" t="s">
        <v>1347</v>
      </c>
      <c r="I256" s="662" t="s">
        <v>216</v>
      </c>
      <c r="J256" s="662" t="s">
        <v>1348</v>
      </c>
      <c r="K256" s="662"/>
      <c r="L256" s="664">
        <v>99.739582344486266</v>
      </c>
      <c r="M256" s="664">
        <v>2</v>
      </c>
      <c r="N256" s="665">
        <v>199.47916468897253</v>
      </c>
    </row>
    <row r="257" spans="1:14" ht="14.4" customHeight="1" x14ac:dyDescent="0.3">
      <c r="A257" s="660" t="s">
        <v>552</v>
      </c>
      <c r="B257" s="661" t="s">
        <v>553</v>
      </c>
      <c r="C257" s="662" t="s">
        <v>566</v>
      </c>
      <c r="D257" s="663" t="s">
        <v>1752</v>
      </c>
      <c r="E257" s="662" t="s">
        <v>575</v>
      </c>
      <c r="F257" s="663" t="s">
        <v>1754</v>
      </c>
      <c r="G257" s="662" t="s">
        <v>582</v>
      </c>
      <c r="H257" s="662" t="s">
        <v>1349</v>
      </c>
      <c r="I257" s="662" t="s">
        <v>216</v>
      </c>
      <c r="J257" s="662" t="s">
        <v>1350</v>
      </c>
      <c r="K257" s="662"/>
      <c r="L257" s="664">
        <v>85.33</v>
      </c>
      <c r="M257" s="664">
        <v>1</v>
      </c>
      <c r="N257" s="665">
        <v>85.33</v>
      </c>
    </row>
    <row r="258" spans="1:14" ht="14.4" customHeight="1" x14ac:dyDescent="0.3">
      <c r="A258" s="660" t="s">
        <v>552</v>
      </c>
      <c r="B258" s="661" t="s">
        <v>553</v>
      </c>
      <c r="C258" s="662" t="s">
        <v>566</v>
      </c>
      <c r="D258" s="663" t="s">
        <v>1752</v>
      </c>
      <c r="E258" s="662" t="s">
        <v>575</v>
      </c>
      <c r="F258" s="663" t="s">
        <v>1754</v>
      </c>
      <c r="G258" s="662" t="s">
        <v>582</v>
      </c>
      <c r="H258" s="662" t="s">
        <v>1351</v>
      </c>
      <c r="I258" s="662" t="s">
        <v>1351</v>
      </c>
      <c r="J258" s="662" t="s">
        <v>584</v>
      </c>
      <c r="K258" s="662" t="s">
        <v>1352</v>
      </c>
      <c r="L258" s="664">
        <v>192.5</v>
      </c>
      <c r="M258" s="664">
        <v>2</v>
      </c>
      <c r="N258" s="665">
        <v>385</v>
      </c>
    </row>
    <row r="259" spans="1:14" ht="14.4" customHeight="1" x14ac:dyDescent="0.3">
      <c r="A259" s="660" t="s">
        <v>552</v>
      </c>
      <c r="B259" s="661" t="s">
        <v>553</v>
      </c>
      <c r="C259" s="662" t="s">
        <v>566</v>
      </c>
      <c r="D259" s="663" t="s">
        <v>1752</v>
      </c>
      <c r="E259" s="662" t="s">
        <v>575</v>
      </c>
      <c r="F259" s="663" t="s">
        <v>1754</v>
      </c>
      <c r="G259" s="662" t="s">
        <v>582</v>
      </c>
      <c r="H259" s="662" t="s">
        <v>1353</v>
      </c>
      <c r="I259" s="662" t="s">
        <v>1354</v>
      </c>
      <c r="J259" s="662" t="s">
        <v>1355</v>
      </c>
      <c r="K259" s="662" t="s">
        <v>1356</v>
      </c>
      <c r="L259" s="664">
        <v>66.140000000000029</v>
      </c>
      <c r="M259" s="664">
        <v>1</v>
      </c>
      <c r="N259" s="665">
        <v>66.140000000000029</v>
      </c>
    </row>
    <row r="260" spans="1:14" ht="14.4" customHeight="1" x14ac:dyDescent="0.3">
      <c r="A260" s="660" t="s">
        <v>552</v>
      </c>
      <c r="B260" s="661" t="s">
        <v>553</v>
      </c>
      <c r="C260" s="662" t="s">
        <v>566</v>
      </c>
      <c r="D260" s="663" t="s">
        <v>1752</v>
      </c>
      <c r="E260" s="662" t="s">
        <v>575</v>
      </c>
      <c r="F260" s="663" t="s">
        <v>1754</v>
      </c>
      <c r="G260" s="662" t="s">
        <v>582</v>
      </c>
      <c r="H260" s="662" t="s">
        <v>848</v>
      </c>
      <c r="I260" s="662" t="s">
        <v>849</v>
      </c>
      <c r="J260" s="662" t="s">
        <v>850</v>
      </c>
      <c r="K260" s="662" t="s">
        <v>602</v>
      </c>
      <c r="L260" s="664">
        <v>123.85966306167552</v>
      </c>
      <c r="M260" s="664">
        <v>260</v>
      </c>
      <c r="N260" s="665">
        <v>32203.512396035636</v>
      </c>
    </row>
    <row r="261" spans="1:14" ht="14.4" customHeight="1" x14ac:dyDescent="0.3">
      <c r="A261" s="660" t="s">
        <v>552</v>
      </c>
      <c r="B261" s="661" t="s">
        <v>553</v>
      </c>
      <c r="C261" s="662" t="s">
        <v>566</v>
      </c>
      <c r="D261" s="663" t="s">
        <v>1752</v>
      </c>
      <c r="E261" s="662" t="s">
        <v>575</v>
      </c>
      <c r="F261" s="663" t="s">
        <v>1754</v>
      </c>
      <c r="G261" s="662" t="s">
        <v>582</v>
      </c>
      <c r="H261" s="662" t="s">
        <v>855</v>
      </c>
      <c r="I261" s="662" t="s">
        <v>856</v>
      </c>
      <c r="J261" s="662" t="s">
        <v>857</v>
      </c>
      <c r="K261" s="662" t="s">
        <v>858</v>
      </c>
      <c r="L261" s="664">
        <v>1603.1428571428571</v>
      </c>
      <c r="M261" s="664">
        <v>7</v>
      </c>
      <c r="N261" s="665">
        <v>11222</v>
      </c>
    </row>
    <row r="262" spans="1:14" ht="14.4" customHeight="1" x14ac:dyDescent="0.3">
      <c r="A262" s="660" t="s">
        <v>552</v>
      </c>
      <c r="B262" s="661" t="s">
        <v>553</v>
      </c>
      <c r="C262" s="662" t="s">
        <v>566</v>
      </c>
      <c r="D262" s="663" t="s">
        <v>1752</v>
      </c>
      <c r="E262" s="662" t="s">
        <v>575</v>
      </c>
      <c r="F262" s="663" t="s">
        <v>1754</v>
      </c>
      <c r="G262" s="662" t="s">
        <v>582</v>
      </c>
      <c r="H262" s="662" t="s">
        <v>1357</v>
      </c>
      <c r="I262" s="662" t="s">
        <v>1358</v>
      </c>
      <c r="J262" s="662" t="s">
        <v>1359</v>
      </c>
      <c r="K262" s="662" t="s">
        <v>1360</v>
      </c>
      <c r="L262" s="664">
        <v>78.430001613300092</v>
      </c>
      <c r="M262" s="664">
        <v>4</v>
      </c>
      <c r="N262" s="665">
        <v>313.72000645320037</v>
      </c>
    </row>
    <row r="263" spans="1:14" ht="14.4" customHeight="1" x14ac:dyDescent="0.3">
      <c r="A263" s="660" t="s">
        <v>552</v>
      </c>
      <c r="B263" s="661" t="s">
        <v>553</v>
      </c>
      <c r="C263" s="662" t="s">
        <v>566</v>
      </c>
      <c r="D263" s="663" t="s">
        <v>1752</v>
      </c>
      <c r="E263" s="662" t="s">
        <v>575</v>
      </c>
      <c r="F263" s="663" t="s">
        <v>1754</v>
      </c>
      <c r="G263" s="662" t="s">
        <v>582</v>
      </c>
      <c r="H263" s="662" t="s">
        <v>859</v>
      </c>
      <c r="I263" s="662" t="s">
        <v>860</v>
      </c>
      <c r="J263" s="662" t="s">
        <v>861</v>
      </c>
      <c r="K263" s="662" t="s">
        <v>862</v>
      </c>
      <c r="L263" s="664">
        <v>251.61612903225807</v>
      </c>
      <c r="M263" s="664">
        <v>62</v>
      </c>
      <c r="N263" s="665">
        <v>15600.2</v>
      </c>
    </row>
    <row r="264" spans="1:14" ht="14.4" customHeight="1" x14ac:dyDescent="0.3">
      <c r="A264" s="660" t="s">
        <v>552</v>
      </c>
      <c r="B264" s="661" t="s">
        <v>553</v>
      </c>
      <c r="C264" s="662" t="s">
        <v>566</v>
      </c>
      <c r="D264" s="663" t="s">
        <v>1752</v>
      </c>
      <c r="E264" s="662" t="s">
        <v>575</v>
      </c>
      <c r="F264" s="663" t="s">
        <v>1754</v>
      </c>
      <c r="G264" s="662" t="s">
        <v>582</v>
      </c>
      <c r="H264" s="662" t="s">
        <v>1361</v>
      </c>
      <c r="I264" s="662" t="s">
        <v>1362</v>
      </c>
      <c r="J264" s="662" t="s">
        <v>1363</v>
      </c>
      <c r="K264" s="662" t="s">
        <v>1364</v>
      </c>
      <c r="L264" s="664">
        <v>1704.5600000000002</v>
      </c>
      <c r="M264" s="664">
        <v>2</v>
      </c>
      <c r="N264" s="665">
        <v>3409.1200000000003</v>
      </c>
    </row>
    <row r="265" spans="1:14" ht="14.4" customHeight="1" x14ac:dyDescent="0.3">
      <c r="A265" s="660" t="s">
        <v>552</v>
      </c>
      <c r="B265" s="661" t="s">
        <v>553</v>
      </c>
      <c r="C265" s="662" t="s">
        <v>566</v>
      </c>
      <c r="D265" s="663" t="s">
        <v>1752</v>
      </c>
      <c r="E265" s="662" t="s">
        <v>575</v>
      </c>
      <c r="F265" s="663" t="s">
        <v>1754</v>
      </c>
      <c r="G265" s="662" t="s">
        <v>582</v>
      </c>
      <c r="H265" s="662" t="s">
        <v>1365</v>
      </c>
      <c r="I265" s="662" t="s">
        <v>1366</v>
      </c>
      <c r="J265" s="662" t="s">
        <v>1367</v>
      </c>
      <c r="K265" s="662" t="s">
        <v>1368</v>
      </c>
      <c r="L265" s="664">
        <v>197.47</v>
      </c>
      <c r="M265" s="664">
        <v>3</v>
      </c>
      <c r="N265" s="665">
        <v>592.41</v>
      </c>
    </row>
    <row r="266" spans="1:14" ht="14.4" customHeight="1" x14ac:dyDescent="0.3">
      <c r="A266" s="660" t="s">
        <v>552</v>
      </c>
      <c r="B266" s="661" t="s">
        <v>553</v>
      </c>
      <c r="C266" s="662" t="s">
        <v>566</v>
      </c>
      <c r="D266" s="663" t="s">
        <v>1752</v>
      </c>
      <c r="E266" s="662" t="s">
        <v>575</v>
      </c>
      <c r="F266" s="663" t="s">
        <v>1754</v>
      </c>
      <c r="G266" s="662" t="s">
        <v>582</v>
      </c>
      <c r="H266" s="662" t="s">
        <v>874</v>
      </c>
      <c r="I266" s="662" t="s">
        <v>875</v>
      </c>
      <c r="J266" s="662" t="s">
        <v>876</v>
      </c>
      <c r="K266" s="662" t="s">
        <v>877</v>
      </c>
      <c r="L266" s="664">
        <v>21.114545454545457</v>
      </c>
      <c r="M266" s="664">
        <v>220</v>
      </c>
      <c r="N266" s="665">
        <v>4645.2000000000007</v>
      </c>
    </row>
    <row r="267" spans="1:14" ht="14.4" customHeight="1" x14ac:dyDescent="0.3">
      <c r="A267" s="660" t="s">
        <v>552</v>
      </c>
      <c r="B267" s="661" t="s">
        <v>553</v>
      </c>
      <c r="C267" s="662" t="s">
        <v>566</v>
      </c>
      <c r="D267" s="663" t="s">
        <v>1752</v>
      </c>
      <c r="E267" s="662" t="s">
        <v>575</v>
      </c>
      <c r="F267" s="663" t="s">
        <v>1754</v>
      </c>
      <c r="G267" s="662" t="s">
        <v>582</v>
      </c>
      <c r="H267" s="662" t="s">
        <v>1369</v>
      </c>
      <c r="I267" s="662" t="s">
        <v>1370</v>
      </c>
      <c r="J267" s="662" t="s">
        <v>1371</v>
      </c>
      <c r="K267" s="662" t="s">
        <v>1372</v>
      </c>
      <c r="L267" s="664">
        <v>68.790000000000006</v>
      </c>
      <c r="M267" s="664">
        <v>2</v>
      </c>
      <c r="N267" s="665">
        <v>137.58000000000001</v>
      </c>
    </row>
    <row r="268" spans="1:14" ht="14.4" customHeight="1" x14ac:dyDescent="0.3">
      <c r="A268" s="660" t="s">
        <v>552</v>
      </c>
      <c r="B268" s="661" t="s">
        <v>553</v>
      </c>
      <c r="C268" s="662" t="s">
        <v>566</v>
      </c>
      <c r="D268" s="663" t="s">
        <v>1752</v>
      </c>
      <c r="E268" s="662" t="s">
        <v>575</v>
      </c>
      <c r="F268" s="663" t="s">
        <v>1754</v>
      </c>
      <c r="G268" s="662" t="s">
        <v>582</v>
      </c>
      <c r="H268" s="662" t="s">
        <v>888</v>
      </c>
      <c r="I268" s="662" t="s">
        <v>216</v>
      </c>
      <c r="J268" s="662" t="s">
        <v>889</v>
      </c>
      <c r="K268" s="662"/>
      <c r="L268" s="664">
        <v>115.94352974726228</v>
      </c>
      <c r="M268" s="664">
        <v>8</v>
      </c>
      <c r="N268" s="665">
        <v>927.5482379780982</v>
      </c>
    </row>
    <row r="269" spans="1:14" ht="14.4" customHeight="1" x14ac:dyDescent="0.3">
      <c r="A269" s="660" t="s">
        <v>552</v>
      </c>
      <c r="B269" s="661" t="s">
        <v>553</v>
      </c>
      <c r="C269" s="662" t="s">
        <v>566</v>
      </c>
      <c r="D269" s="663" t="s">
        <v>1752</v>
      </c>
      <c r="E269" s="662" t="s">
        <v>575</v>
      </c>
      <c r="F269" s="663" t="s">
        <v>1754</v>
      </c>
      <c r="G269" s="662" t="s">
        <v>582</v>
      </c>
      <c r="H269" s="662" t="s">
        <v>1373</v>
      </c>
      <c r="I269" s="662" t="s">
        <v>216</v>
      </c>
      <c r="J269" s="662" t="s">
        <v>1374</v>
      </c>
      <c r="K269" s="662"/>
      <c r="L269" s="664">
        <v>114.21000000000002</v>
      </c>
      <c r="M269" s="664">
        <v>1</v>
      </c>
      <c r="N269" s="665">
        <v>114.21000000000002</v>
      </c>
    </row>
    <row r="270" spans="1:14" ht="14.4" customHeight="1" x14ac:dyDescent="0.3">
      <c r="A270" s="660" t="s">
        <v>552</v>
      </c>
      <c r="B270" s="661" t="s">
        <v>553</v>
      </c>
      <c r="C270" s="662" t="s">
        <v>566</v>
      </c>
      <c r="D270" s="663" t="s">
        <v>1752</v>
      </c>
      <c r="E270" s="662" t="s">
        <v>575</v>
      </c>
      <c r="F270" s="663" t="s">
        <v>1754</v>
      </c>
      <c r="G270" s="662" t="s">
        <v>582</v>
      </c>
      <c r="H270" s="662" t="s">
        <v>897</v>
      </c>
      <c r="I270" s="662" t="s">
        <v>898</v>
      </c>
      <c r="J270" s="662" t="s">
        <v>899</v>
      </c>
      <c r="K270" s="662" t="s">
        <v>900</v>
      </c>
      <c r="L270" s="664">
        <v>47.825970212723298</v>
      </c>
      <c r="M270" s="664">
        <v>40</v>
      </c>
      <c r="N270" s="665">
        <v>1913.0388085089319</v>
      </c>
    </row>
    <row r="271" spans="1:14" ht="14.4" customHeight="1" x14ac:dyDescent="0.3">
      <c r="A271" s="660" t="s">
        <v>552</v>
      </c>
      <c r="B271" s="661" t="s">
        <v>553</v>
      </c>
      <c r="C271" s="662" t="s">
        <v>566</v>
      </c>
      <c r="D271" s="663" t="s">
        <v>1752</v>
      </c>
      <c r="E271" s="662" t="s">
        <v>575</v>
      </c>
      <c r="F271" s="663" t="s">
        <v>1754</v>
      </c>
      <c r="G271" s="662" t="s">
        <v>582</v>
      </c>
      <c r="H271" s="662" t="s">
        <v>1375</v>
      </c>
      <c r="I271" s="662" t="s">
        <v>216</v>
      </c>
      <c r="J271" s="662" t="s">
        <v>1376</v>
      </c>
      <c r="K271" s="662"/>
      <c r="L271" s="664">
        <v>75.165205400783293</v>
      </c>
      <c r="M271" s="664">
        <v>2</v>
      </c>
      <c r="N271" s="665">
        <v>150.33041080156659</v>
      </c>
    </row>
    <row r="272" spans="1:14" ht="14.4" customHeight="1" x14ac:dyDescent="0.3">
      <c r="A272" s="660" t="s">
        <v>552</v>
      </c>
      <c r="B272" s="661" t="s">
        <v>553</v>
      </c>
      <c r="C272" s="662" t="s">
        <v>566</v>
      </c>
      <c r="D272" s="663" t="s">
        <v>1752</v>
      </c>
      <c r="E272" s="662" t="s">
        <v>575</v>
      </c>
      <c r="F272" s="663" t="s">
        <v>1754</v>
      </c>
      <c r="G272" s="662" t="s">
        <v>582</v>
      </c>
      <c r="H272" s="662" t="s">
        <v>1377</v>
      </c>
      <c r="I272" s="662" t="s">
        <v>216</v>
      </c>
      <c r="J272" s="662" t="s">
        <v>1378</v>
      </c>
      <c r="K272" s="662"/>
      <c r="L272" s="664">
        <v>46.54999947523045</v>
      </c>
      <c r="M272" s="664">
        <v>1</v>
      </c>
      <c r="N272" s="665">
        <v>46.54999947523045</v>
      </c>
    </row>
    <row r="273" spans="1:14" ht="14.4" customHeight="1" x14ac:dyDescent="0.3">
      <c r="A273" s="660" t="s">
        <v>552</v>
      </c>
      <c r="B273" s="661" t="s">
        <v>553</v>
      </c>
      <c r="C273" s="662" t="s">
        <v>566</v>
      </c>
      <c r="D273" s="663" t="s">
        <v>1752</v>
      </c>
      <c r="E273" s="662" t="s">
        <v>575</v>
      </c>
      <c r="F273" s="663" t="s">
        <v>1754</v>
      </c>
      <c r="G273" s="662" t="s">
        <v>582</v>
      </c>
      <c r="H273" s="662" t="s">
        <v>908</v>
      </c>
      <c r="I273" s="662" t="s">
        <v>909</v>
      </c>
      <c r="J273" s="662" t="s">
        <v>910</v>
      </c>
      <c r="K273" s="662" t="s">
        <v>911</v>
      </c>
      <c r="L273" s="664">
        <v>71.39785332638337</v>
      </c>
      <c r="M273" s="664">
        <v>196</v>
      </c>
      <c r="N273" s="665">
        <v>13993.979251971141</v>
      </c>
    </row>
    <row r="274" spans="1:14" ht="14.4" customHeight="1" x14ac:dyDescent="0.3">
      <c r="A274" s="660" t="s">
        <v>552</v>
      </c>
      <c r="B274" s="661" t="s">
        <v>553</v>
      </c>
      <c r="C274" s="662" t="s">
        <v>566</v>
      </c>
      <c r="D274" s="663" t="s">
        <v>1752</v>
      </c>
      <c r="E274" s="662" t="s">
        <v>575</v>
      </c>
      <c r="F274" s="663" t="s">
        <v>1754</v>
      </c>
      <c r="G274" s="662" t="s">
        <v>582</v>
      </c>
      <c r="H274" s="662" t="s">
        <v>1379</v>
      </c>
      <c r="I274" s="662" t="s">
        <v>1380</v>
      </c>
      <c r="J274" s="662" t="s">
        <v>1381</v>
      </c>
      <c r="K274" s="662" t="s">
        <v>1382</v>
      </c>
      <c r="L274" s="664">
        <v>41.089999999999982</v>
      </c>
      <c r="M274" s="664">
        <v>4</v>
      </c>
      <c r="N274" s="665">
        <v>164.35999999999993</v>
      </c>
    </row>
    <row r="275" spans="1:14" ht="14.4" customHeight="1" x14ac:dyDescent="0.3">
      <c r="A275" s="660" t="s">
        <v>552</v>
      </c>
      <c r="B275" s="661" t="s">
        <v>553</v>
      </c>
      <c r="C275" s="662" t="s">
        <v>566</v>
      </c>
      <c r="D275" s="663" t="s">
        <v>1752</v>
      </c>
      <c r="E275" s="662" t="s">
        <v>575</v>
      </c>
      <c r="F275" s="663" t="s">
        <v>1754</v>
      </c>
      <c r="G275" s="662" t="s">
        <v>582</v>
      </c>
      <c r="H275" s="662" t="s">
        <v>1383</v>
      </c>
      <c r="I275" s="662" t="s">
        <v>1384</v>
      </c>
      <c r="J275" s="662" t="s">
        <v>1385</v>
      </c>
      <c r="K275" s="662" t="s">
        <v>1386</v>
      </c>
      <c r="L275" s="664">
        <v>372.36000000000007</v>
      </c>
      <c r="M275" s="664">
        <v>7</v>
      </c>
      <c r="N275" s="665">
        <v>2606.5200000000004</v>
      </c>
    </row>
    <row r="276" spans="1:14" ht="14.4" customHeight="1" x14ac:dyDescent="0.3">
      <c r="A276" s="660" t="s">
        <v>552</v>
      </c>
      <c r="B276" s="661" t="s">
        <v>553</v>
      </c>
      <c r="C276" s="662" t="s">
        <v>566</v>
      </c>
      <c r="D276" s="663" t="s">
        <v>1752</v>
      </c>
      <c r="E276" s="662" t="s">
        <v>575</v>
      </c>
      <c r="F276" s="663" t="s">
        <v>1754</v>
      </c>
      <c r="G276" s="662" t="s">
        <v>582</v>
      </c>
      <c r="H276" s="662" t="s">
        <v>1387</v>
      </c>
      <c r="I276" s="662" t="s">
        <v>1388</v>
      </c>
      <c r="J276" s="662" t="s">
        <v>1389</v>
      </c>
      <c r="K276" s="662" t="s">
        <v>1390</v>
      </c>
      <c r="L276" s="664">
        <v>261.42893696482281</v>
      </c>
      <c r="M276" s="664">
        <v>4</v>
      </c>
      <c r="N276" s="665">
        <v>1045.7157478592912</v>
      </c>
    </row>
    <row r="277" spans="1:14" ht="14.4" customHeight="1" x14ac:dyDescent="0.3">
      <c r="A277" s="660" t="s">
        <v>552</v>
      </c>
      <c r="B277" s="661" t="s">
        <v>553</v>
      </c>
      <c r="C277" s="662" t="s">
        <v>566</v>
      </c>
      <c r="D277" s="663" t="s">
        <v>1752</v>
      </c>
      <c r="E277" s="662" t="s">
        <v>575</v>
      </c>
      <c r="F277" s="663" t="s">
        <v>1754</v>
      </c>
      <c r="G277" s="662" t="s">
        <v>582</v>
      </c>
      <c r="H277" s="662" t="s">
        <v>1391</v>
      </c>
      <c r="I277" s="662" t="s">
        <v>1392</v>
      </c>
      <c r="J277" s="662" t="s">
        <v>1393</v>
      </c>
      <c r="K277" s="662" t="s">
        <v>1394</v>
      </c>
      <c r="L277" s="664">
        <v>80.029924504956213</v>
      </c>
      <c r="M277" s="664">
        <v>6</v>
      </c>
      <c r="N277" s="665">
        <v>480.17954702973725</v>
      </c>
    </row>
    <row r="278" spans="1:14" ht="14.4" customHeight="1" x14ac:dyDescent="0.3">
      <c r="A278" s="660" t="s">
        <v>552</v>
      </c>
      <c r="B278" s="661" t="s">
        <v>553</v>
      </c>
      <c r="C278" s="662" t="s">
        <v>566</v>
      </c>
      <c r="D278" s="663" t="s">
        <v>1752</v>
      </c>
      <c r="E278" s="662" t="s">
        <v>575</v>
      </c>
      <c r="F278" s="663" t="s">
        <v>1754</v>
      </c>
      <c r="G278" s="662" t="s">
        <v>582</v>
      </c>
      <c r="H278" s="662" t="s">
        <v>1395</v>
      </c>
      <c r="I278" s="662" t="s">
        <v>1396</v>
      </c>
      <c r="J278" s="662" t="s">
        <v>1397</v>
      </c>
      <c r="K278" s="662" t="s">
        <v>939</v>
      </c>
      <c r="L278" s="664">
        <v>31.92</v>
      </c>
      <c r="M278" s="664">
        <v>18</v>
      </c>
      <c r="N278" s="665">
        <v>574.56000000000006</v>
      </c>
    </row>
    <row r="279" spans="1:14" ht="14.4" customHeight="1" x14ac:dyDescent="0.3">
      <c r="A279" s="660" t="s">
        <v>552</v>
      </c>
      <c r="B279" s="661" t="s">
        <v>553</v>
      </c>
      <c r="C279" s="662" t="s">
        <v>566</v>
      </c>
      <c r="D279" s="663" t="s">
        <v>1752</v>
      </c>
      <c r="E279" s="662" t="s">
        <v>575</v>
      </c>
      <c r="F279" s="663" t="s">
        <v>1754</v>
      </c>
      <c r="G279" s="662" t="s">
        <v>582</v>
      </c>
      <c r="H279" s="662" t="s">
        <v>1398</v>
      </c>
      <c r="I279" s="662" t="s">
        <v>1399</v>
      </c>
      <c r="J279" s="662" t="s">
        <v>876</v>
      </c>
      <c r="K279" s="662" t="s">
        <v>1400</v>
      </c>
      <c r="L279" s="664">
        <v>22.079322089405597</v>
      </c>
      <c r="M279" s="664">
        <v>96</v>
      </c>
      <c r="N279" s="665">
        <v>2119.6149205829374</v>
      </c>
    </row>
    <row r="280" spans="1:14" ht="14.4" customHeight="1" x14ac:dyDescent="0.3">
      <c r="A280" s="660" t="s">
        <v>552</v>
      </c>
      <c r="B280" s="661" t="s">
        <v>553</v>
      </c>
      <c r="C280" s="662" t="s">
        <v>566</v>
      </c>
      <c r="D280" s="663" t="s">
        <v>1752</v>
      </c>
      <c r="E280" s="662" t="s">
        <v>575</v>
      </c>
      <c r="F280" s="663" t="s">
        <v>1754</v>
      </c>
      <c r="G280" s="662" t="s">
        <v>582</v>
      </c>
      <c r="H280" s="662" t="s">
        <v>1401</v>
      </c>
      <c r="I280" s="662" t="s">
        <v>1402</v>
      </c>
      <c r="J280" s="662" t="s">
        <v>1403</v>
      </c>
      <c r="K280" s="662" t="s">
        <v>1404</v>
      </c>
      <c r="L280" s="664">
        <v>1090.802220211516</v>
      </c>
      <c r="M280" s="664">
        <v>4</v>
      </c>
      <c r="N280" s="665">
        <v>4363.2088808460639</v>
      </c>
    </row>
    <row r="281" spans="1:14" ht="14.4" customHeight="1" x14ac:dyDescent="0.3">
      <c r="A281" s="660" t="s">
        <v>552</v>
      </c>
      <c r="B281" s="661" t="s">
        <v>553</v>
      </c>
      <c r="C281" s="662" t="s">
        <v>566</v>
      </c>
      <c r="D281" s="663" t="s">
        <v>1752</v>
      </c>
      <c r="E281" s="662" t="s">
        <v>575</v>
      </c>
      <c r="F281" s="663" t="s">
        <v>1754</v>
      </c>
      <c r="G281" s="662" t="s">
        <v>582</v>
      </c>
      <c r="H281" s="662" t="s">
        <v>1405</v>
      </c>
      <c r="I281" s="662" t="s">
        <v>1406</v>
      </c>
      <c r="J281" s="662" t="s">
        <v>1407</v>
      </c>
      <c r="K281" s="662" t="s">
        <v>1408</v>
      </c>
      <c r="L281" s="664">
        <v>86.52769058415474</v>
      </c>
      <c r="M281" s="664">
        <v>25</v>
      </c>
      <c r="N281" s="665">
        <v>2163.1922646038684</v>
      </c>
    </row>
    <row r="282" spans="1:14" ht="14.4" customHeight="1" x14ac:dyDescent="0.3">
      <c r="A282" s="660" t="s">
        <v>552</v>
      </c>
      <c r="B282" s="661" t="s">
        <v>553</v>
      </c>
      <c r="C282" s="662" t="s">
        <v>566</v>
      </c>
      <c r="D282" s="663" t="s">
        <v>1752</v>
      </c>
      <c r="E282" s="662" t="s">
        <v>575</v>
      </c>
      <c r="F282" s="663" t="s">
        <v>1754</v>
      </c>
      <c r="G282" s="662" t="s">
        <v>582</v>
      </c>
      <c r="H282" s="662" t="s">
        <v>1409</v>
      </c>
      <c r="I282" s="662" t="s">
        <v>216</v>
      </c>
      <c r="J282" s="662" t="s">
        <v>1410</v>
      </c>
      <c r="K282" s="662" t="s">
        <v>1411</v>
      </c>
      <c r="L282" s="664">
        <v>471.5</v>
      </c>
      <c r="M282" s="664">
        <v>302</v>
      </c>
      <c r="N282" s="665">
        <v>142393</v>
      </c>
    </row>
    <row r="283" spans="1:14" ht="14.4" customHeight="1" x14ac:dyDescent="0.3">
      <c r="A283" s="660" t="s">
        <v>552</v>
      </c>
      <c r="B283" s="661" t="s">
        <v>553</v>
      </c>
      <c r="C283" s="662" t="s">
        <v>566</v>
      </c>
      <c r="D283" s="663" t="s">
        <v>1752</v>
      </c>
      <c r="E283" s="662" t="s">
        <v>575</v>
      </c>
      <c r="F283" s="663" t="s">
        <v>1754</v>
      </c>
      <c r="G283" s="662" t="s">
        <v>582</v>
      </c>
      <c r="H283" s="662" t="s">
        <v>1412</v>
      </c>
      <c r="I283" s="662" t="s">
        <v>1413</v>
      </c>
      <c r="J283" s="662" t="s">
        <v>1414</v>
      </c>
      <c r="K283" s="662" t="s">
        <v>1415</v>
      </c>
      <c r="L283" s="664">
        <v>50.13</v>
      </c>
      <c r="M283" s="664">
        <v>2</v>
      </c>
      <c r="N283" s="665">
        <v>100.26</v>
      </c>
    </row>
    <row r="284" spans="1:14" ht="14.4" customHeight="1" x14ac:dyDescent="0.3">
      <c r="A284" s="660" t="s">
        <v>552</v>
      </c>
      <c r="B284" s="661" t="s">
        <v>553</v>
      </c>
      <c r="C284" s="662" t="s">
        <v>566</v>
      </c>
      <c r="D284" s="663" t="s">
        <v>1752</v>
      </c>
      <c r="E284" s="662" t="s">
        <v>575</v>
      </c>
      <c r="F284" s="663" t="s">
        <v>1754</v>
      </c>
      <c r="G284" s="662" t="s">
        <v>582</v>
      </c>
      <c r="H284" s="662" t="s">
        <v>1416</v>
      </c>
      <c r="I284" s="662" t="s">
        <v>1417</v>
      </c>
      <c r="J284" s="662" t="s">
        <v>1418</v>
      </c>
      <c r="K284" s="662" t="s">
        <v>1419</v>
      </c>
      <c r="L284" s="664">
        <v>269.61750000000006</v>
      </c>
      <c r="M284" s="664">
        <v>5</v>
      </c>
      <c r="N284" s="665">
        <v>1348.0875000000003</v>
      </c>
    </row>
    <row r="285" spans="1:14" ht="14.4" customHeight="1" x14ac:dyDescent="0.3">
      <c r="A285" s="660" t="s">
        <v>552</v>
      </c>
      <c r="B285" s="661" t="s">
        <v>553</v>
      </c>
      <c r="C285" s="662" t="s">
        <v>566</v>
      </c>
      <c r="D285" s="663" t="s">
        <v>1752</v>
      </c>
      <c r="E285" s="662" t="s">
        <v>575</v>
      </c>
      <c r="F285" s="663" t="s">
        <v>1754</v>
      </c>
      <c r="G285" s="662" t="s">
        <v>582</v>
      </c>
      <c r="H285" s="662" t="s">
        <v>1420</v>
      </c>
      <c r="I285" s="662" t="s">
        <v>1421</v>
      </c>
      <c r="J285" s="662" t="s">
        <v>1422</v>
      </c>
      <c r="K285" s="662" t="s">
        <v>1423</v>
      </c>
      <c r="L285" s="664">
        <v>104.06922250059179</v>
      </c>
      <c r="M285" s="664">
        <v>5</v>
      </c>
      <c r="N285" s="665">
        <v>520.34611250295893</v>
      </c>
    </row>
    <row r="286" spans="1:14" ht="14.4" customHeight="1" x14ac:dyDescent="0.3">
      <c r="A286" s="660" t="s">
        <v>552</v>
      </c>
      <c r="B286" s="661" t="s">
        <v>553</v>
      </c>
      <c r="C286" s="662" t="s">
        <v>566</v>
      </c>
      <c r="D286" s="663" t="s">
        <v>1752</v>
      </c>
      <c r="E286" s="662" t="s">
        <v>575</v>
      </c>
      <c r="F286" s="663" t="s">
        <v>1754</v>
      </c>
      <c r="G286" s="662" t="s">
        <v>582</v>
      </c>
      <c r="H286" s="662" t="s">
        <v>1424</v>
      </c>
      <c r="I286" s="662" t="s">
        <v>1425</v>
      </c>
      <c r="J286" s="662" t="s">
        <v>1426</v>
      </c>
      <c r="K286" s="662" t="s">
        <v>1427</v>
      </c>
      <c r="L286" s="664">
        <v>106.72999999999999</v>
      </c>
      <c r="M286" s="664">
        <v>19</v>
      </c>
      <c r="N286" s="665">
        <v>2027.87</v>
      </c>
    </row>
    <row r="287" spans="1:14" ht="14.4" customHeight="1" x14ac:dyDescent="0.3">
      <c r="A287" s="660" t="s">
        <v>552</v>
      </c>
      <c r="B287" s="661" t="s">
        <v>553</v>
      </c>
      <c r="C287" s="662" t="s">
        <v>566</v>
      </c>
      <c r="D287" s="663" t="s">
        <v>1752</v>
      </c>
      <c r="E287" s="662" t="s">
        <v>575</v>
      </c>
      <c r="F287" s="663" t="s">
        <v>1754</v>
      </c>
      <c r="G287" s="662" t="s">
        <v>582</v>
      </c>
      <c r="H287" s="662" t="s">
        <v>1428</v>
      </c>
      <c r="I287" s="662" t="s">
        <v>216</v>
      </c>
      <c r="J287" s="662" t="s">
        <v>1429</v>
      </c>
      <c r="K287" s="662" t="s">
        <v>1430</v>
      </c>
      <c r="L287" s="664">
        <v>23.700000000000003</v>
      </c>
      <c r="M287" s="664">
        <v>144</v>
      </c>
      <c r="N287" s="665">
        <v>3412.8</v>
      </c>
    </row>
    <row r="288" spans="1:14" ht="14.4" customHeight="1" x14ac:dyDescent="0.3">
      <c r="A288" s="660" t="s">
        <v>552</v>
      </c>
      <c r="B288" s="661" t="s">
        <v>553</v>
      </c>
      <c r="C288" s="662" t="s">
        <v>566</v>
      </c>
      <c r="D288" s="663" t="s">
        <v>1752</v>
      </c>
      <c r="E288" s="662" t="s">
        <v>575</v>
      </c>
      <c r="F288" s="663" t="s">
        <v>1754</v>
      </c>
      <c r="G288" s="662" t="s">
        <v>582</v>
      </c>
      <c r="H288" s="662" t="s">
        <v>930</v>
      </c>
      <c r="I288" s="662" t="s">
        <v>216</v>
      </c>
      <c r="J288" s="662" t="s">
        <v>931</v>
      </c>
      <c r="K288" s="662"/>
      <c r="L288" s="664">
        <v>74.24199999999999</v>
      </c>
      <c r="M288" s="664">
        <v>5</v>
      </c>
      <c r="N288" s="665">
        <v>371.20999999999992</v>
      </c>
    </row>
    <row r="289" spans="1:14" ht="14.4" customHeight="1" x14ac:dyDescent="0.3">
      <c r="A289" s="660" t="s">
        <v>552</v>
      </c>
      <c r="B289" s="661" t="s">
        <v>553</v>
      </c>
      <c r="C289" s="662" t="s">
        <v>566</v>
      </c>
      <c r="D289" s="663" t="s">
        <v>1752</v>
      </c>
      <c r="E289" s="662" t="s">
        <v>575</v>
      </c>
      <c r="F289" s="663" t="s">
        <v>1754</v>
      </c>
      <c r="G289" s="662" t="s">
        <v>582</v>
      </c>
      <c r="H289" s="662" t="s">
        <v>1431</v>
      </c>
      <c r="I289" s="662" t="s">
        <v>1432</v>
      </c>
      <c r="J289" s="662" t="s">
        <v>1433</v>
      </c>
      <c r="K289" s="662" t="s">
        <v>1434</v>
      </c>
      <c r="L289" s="664">
        <v>43.7</v>
      </c>
      <c r="M289" s="664">
        <v>1</v>
      </c>
      <c r="N289" s="665">
        <v>43.7</v>
      </c>
    </row>
    <row r="290" spans="1:14" ht="14.4" customHeight="1" x14ac:dyDescent="0.3">
      <c r="A290" s="660" t="s">
        <v>552</v>
      </c>
      <c r="B290" s="661" t="s">
        <v>553</v>
      </c>
      <c r="C290" s="662" t="s">
        <v>566</v>
      </c>
      <c r="D290" s="663" t="s">
        <v>1752</v>
      </c>
      <c r="E290" s="662" t="s">
        <v>575</v>
      </c>
      <c r="F290" s="663" t="s">
        <v>1754</v>
      </c>
      <c r="G290" s="662" t="s">
        <v>582</v>
      </c>
      <c r="H290" s="662" t="s">
        <v>932</v>
      </c>
      <c r="I290" s="662" t="s">
        <v>933</v>
      </c>
      <c r="J290" s="662" t="s">
        <v>934</v>
      </c>
      <c r="K290" s="662" t="s">
        <v>935</v>
      </c>
      <c r="L290" s="664">
        <v>112.61999999999999</v>
      </c>
      <c r="M290" s="664">
        <v>60</v>
      </c>
      <c r="N290" s="665">
        <v>6757.2</v>
      </c>
    </row>
    <row r="291" spans="1:14" ht="14.4" customHeight="1" x14ac:dyDescent="0.3">
      <c r="A291" s="660" t="s">
        <v>552</v>
      </c>
      <c r="B291" s="661" t="s">
        <v>553</v>
      </c>
      <c r="C291" s="662" t="s">
        <v>566</v>
      </c>
      <c r="D291" s="663" t="s">
        <v>1752</v>
      </c>
      <c r="E291" s="662" t="s">
        <v>575</v>
      </c>
      <c r="F291" s="663" t="s">
        <v>1754</v>
      </c>
      <c r="G291" s="662" t="s">
        <v>582</v>
      </c>
      <c r="H291" s="662" t="s">
        <v>1435</v>
      </c>
      <c r="I291" s="662" t="s">
        <v>1435</v>
      </c>
      <c r="J291" s="662" t="s">
        <v>1436</v>
      </c>
      <c r="K291" s="662" t="s">
        <v>1437</v>
      </c>
      <c r="L291" s="664">
        <v>84.610078186864484</v>
      </c>
      <c r="M291" s="664">
        <v>1</v>
      </c>
      <c r="N291" s="665">
        <v>84.610078186864484</v>
      </c>
    </row>
    <row r="292" spans="1:14" ht="14.4" customHeight="1" x14ac:dyDescent="0.3">
      <c r="A292" s="660" t="s">
        <v>552</v>
      </c>
      <c r="B292" s="661" t="s">
        <v>553</v>
      </c>
      <c r="C292" s="662" t="s">
        <v>566</v>
      </c>
      <c r="D292" s="663" t="s">
        <v>1752</v>
      </c>
      <c r="E292" s="662" t="s">
        <v>575</v>
      </c>
      <c r="F292" s="663" t="s">
        <v>1754</v>
      </c>
      <c r="G292" s="662" t="s">
        <v>582</v>
      </c>
      <c r="H292" s="662" t="s">
        <v>1438</v>
      </c>
      <c r="I292" s="662" t="s">
        <v>216</v>
      </c>
      <c r="J292" s="662" t="s">
        <v>1439</v>
      </c>
      <c r="K292" s="662" t="s">
        <v>1440</v>
      </c>
      <c r="L292" s="664">
        <v>199.67000000000004</v>
      </c>
      <c r="M292" s="664">
        <v>7</v>
      </c>
      <c r="N292" s="665">
        <v>1397.6900000000003</v>
      </c>
    </row>
    <row r="293" spans="1:14" ht="14.4" customHeight="1" x14ac:dyDescent="0.3">
      <c r="A293" s="660" t="s">
        <v>552</v>
      </c>
      <c r="B293" s="661" t="s">
        <v>553</v>
      </c>
      <c r="C293" s="662" t="s">
        <v>566</v>
      </c>
      <c r="D293" s="663" t="s">
        <v>1752</v>
      </c>
      <c r="E293" s="662" t="s">
        <v>575</v>
      </c>
      <c r="F293" s="663" t="s">
        <v>1754</v>
      </c>
      <c r="G293" s="662" t="s">
        <v>582</v>
      </c>
      <c r="H293" s="662" t="s">
        <v>1441</v>
      </c>
      <c r="I293" s="662" t="s">
        <v>216</v>
      </c>
      <c r="J293" s="662" t="s">
        <v>1442</v>
      </c>
      <c r="K293" s="662" t="s">
        <v>1443</v>
      </c>
      <c r="L293" s="664">
        <v>186.29</v>
      </c>
      <c r="M293" s="664">
        <v>10</v>
      </c>
      <c r="N293" s="665">
        <v>1862.8999999999999</v>
      </c>
    </row>
    <row r="294" spans="1:14" ht="14.4" customHeight="1" x14ac:dyDescent="0.3">
      <c r="A294" s="660" t="s">
        <v>552</v>
      </c>
      <c r="B294" s="661" t="s">
        <v>553</v>
      </c>
      <c r="C294" s="662" t="s">
        <v>566</v>
      </c>
      <c r="D294" s="663" t="s">
        <v>1752</v>
      </c>
      <c r="E294" s="662" t="s">
        <v>575</v>
      </c>
      <c r="F294" s="663" t="s">
        <v>1754</v>
      </c>
      <c r="G294" s="662" t="s">
        <v>582</v>
      </c>
      <c r="H294" s="662" t="s">
        <v>940</v>
      </c>
      <c r="I294" s="662" t="s">
        <v>941</v>
      </c>
      <c r="J294" s="662" t="s">
        <v>942</v>
      </c>
      <c r="K294" s="662" t="s">
        <v>943</v>
      </c>
      <c r="L294" s="664">
        <v>390.12862068965518</v>
      </c>
      <c r="M294" s="664">
        <v>29</v>
      </c>
      <c r="N294" s="665">
        <v>11313.73</v>
      </c>
    </row>
    <row r="295" spans="1:14" ht="14.4" customHeight="1" x14ac:dyDescent="0.3">
      <c r="A295" s="660" t="s">
        <v>552</v>
      </c>
      <c r="B295" s="661" t="s">
        <v>553</v>
      </c>
      <c r="C295" s="662" t="s">
        <v>566</v>
      </c>
      <c r="D295" s="663" t="s">
        <v>1752</v>
      </c>
      <c r="E295" s="662" t="s">
        <v>575</v>
      </c>
      <c r="F295" s="663" t="s">
        <v>1754</v>
      </c>
      <c r="G295" s="662" t="s">
        <v>582</v>
      </c>
      <c r="H295" s="662" t="s">
        <v>1444</v>
      </c>
      <c r="I295" s="662" t="s">
        <v>1444</v>
      </c>
      <c r="J295" s="662" t="s">
        <v>1445</v>
      </c>
      <c r="K295" s="662" t="s">
        <v>1446</v>
      </c>
      <c r="L295" s="664">
        <v>46.75</v>
      </c>
      <c r="M295" s="664">
        <v>5</v>
      </c>
      <c r="N295" s="665">
        <v>233.75</v>
      </c>
    </row>
    <row r="296" spans="1:14" ht="14.4" customHeight="1" x14ac:dyDescent="0.3">
      <c r="A296" s="660" t="s">
        <v>552</v>
      </c>
      <c r="B296" s="661" t="s">
        <v>553</v>
      </c>
      <c r="C296" s="662" t="s">
        <v>566</v>
      </c>
      <c r="D296" s="663" t="s">
        <v>1752</v>
      </c>
      <c r="E296" s="662" t="s">
        <v>575</v>
      </c>
      <c r="F296" s="663" t="s">
        <v>1754</v>
      </c>
      <c r="G296" s="662" t="s">
        <v>582</v>
      </c>
      <c r="H296" s="662" t="s">
        <v>1447</v>
      </c>
      <c r="I296" s="662" t="s">
        <v>1448</v>
      </c>
      <c r="J296" s="662" t="s">
        <v>745</v>
      </c>
      <c r="K296" s="662" t="s">
        <v>1449</v>
      </c>
      <c r="L296" s="664">
        <v>142.94999999999996</v>
      </c>
      <c r="M296" s="664">
        <v>2</v>
      </c>
      <c r="N296" s="665">
        <v>285.89999999999992</v>
      </c>
    </row>
    <row r="297" spans="1:14" ht="14.4" customHeight="1" x14ac:dyDescent="0.3">
      <c r="A297" s="660" t="s">
        <v>552</v>
      </c>
      <c r="B297" s="661" t="s">
        <v>553</v>
      </c>
      <c r="C297" s="662" t="s">
        <v>566</v>
      </c>
      <c r="D297" s="663" t="s">
        <v>1752</v>
      </c>
      <c r="E297" s="662" t="s">
        <v>575</v>
      </c>
      <c r="F297" s="663" t="s">
        <v>1754</v>
      </c>
      <c r="G297" s="662" t="s">
        <v>582</v>
      </c>
      <c r="H297" s="662" t="s">
        <v>1450</v>
      </c>
      <c r="I297" s="662" t="s">
        <v>1451</v>
      </c>
      <c r="J297" s="662" t="s">
        <v>1452</v>
      </c>
      <c r="K297" s="662"/>
      <c r="L297" s="664">
        <v>0</v>
      </c>
      <c r="M297" s="664">
        <v>0</v>
      </c>
      <c r="N297" s="665">
        <v>0</v>
      </c>
    </row>
    <row r="298" spans="1:14" ht="14.4" customHeight="1" x14ac:dyDescent="0.3">
      <c r="A298" s="660" t="s">
        <v>552</v>
      </c>
      <c r="B298" s="661" t="s">
        <v>553</v>
      </c>
      <c r="C298" s="662" t="s">
        <v>566</v>
      </c>
      <c r="D298" s="663" t="s">
        <v>1752</v>
      </c>
      <c r="E298" s="662" t="s">
        <v>575</v>
      </c>
      <c r="F298" s="663" t="s">
        <v>1754</v>
      </c>
      <c r="G298" s="662" t="s">
        <v>582</v>
      </c>
      <c r="H298" s="662" t="s">
        <v>1453</v>
      </c>
      <c r="I298" s="662" t="s">
        <v>1454</v>
      </c>
      <c r="J298" s="662" t="s">
        <v>1455</v>
      </c>
      <c r="K298" s="662" t="s">
        <v>1456</v>
      </c>
      <c r="L298" s="664">
        <v>715.6400000000001</v>
      </c>
      <c r="M298" s="664">
        <v>4</v>
      </c>
      <c r="N298" s="665">
        <v>2862.5600000000004</v>
      </c>
    </row>
    <row r="299" spans="1:14" ht="14.4" customHeight="1" x14ac:dyDescent="0.3">
      <c r="A299" s="660" t="s">
        <v>552</v>
      </c>
      <c r="B299" s="661" t="s">
        <v>553</v>
      </c>
      <c r="C299" s="662" t="s">
        <v>566</v>
      </c>
      <c r="D299" s="663" t="s">
        <v>1752</v>
      </c>
      <c r="E299" s="662" t="s">
        <v>575</v>
      </c>
      <c r="F299" s="663" t="s">
        <v>1754</v>
      </c>
      <c r="G299" s="662" t="s">
        <v>582</v>
      </c>
      <c r="H299" s="662" t="s">
        <v>956</v>
      </c>
      <c r="I299" s="662" t="s">
        <v>957</v>
      </c>
      <c r="J299" s="662" t="s">
        <v>958</v>
      </c>
      <c r="K299" s="662" t="s">
        <v>959</v>
      </c>
      <c r="L299" s="664">
        <v>84.329118786855972</v>
      </c>
      <c r="M299" s="664">
        <v>4</v>
      </c>
      <c r="N299" s="665">
        <v>337.31647514742389</v>
      </c>
    </row>
    <row r="300" spans="1:14" ht="14.4" customHeight="1" x14ac:dyDescent="0.3">
      <c r="A300" s="660" t="s">
        <v>552</v>
      </c>
      <c r="B300" s="661" t="s">
        <v>553</v>
      </c>
      <c r="C300" s="662" t="s">
        <v>566</v>
      </c>
      <c r="D300" s="663" t="s">
        <v>1752</v>
      </c>
      <c r="E300" s="662" t="s">
        <v>575</v>
      </c>
      <c r="F300" s="663" t="s">
        <v>1754</v>
      </c>
      <c r="G300" s="662" t="s">
        <v>582</v>
      </c>
      <c r="H300" s="662" t="s">
        <v>1457</v>
      </c>
      <c r="I300" s="662" t="s">
        <v>1458</v>
      </c>
      <c r="J300" s="662" t="s">
        <v>1459</v>
      </c>
      <c r="K300" s="662" t="s">
        <v>1460</v>
      </c>
      <c r="L300" s="664">
        <v>325.15971386607134</v>
      </c>
      <c r="M300" s="664">
        <v>2</v>
      </c>
      <c r="N300" s="665">
        <v>650.31942773214269</v>
      </c>
    </row>
    <row r="301" spans="1:14" ht="14.4" customHeight="1" x14ac:dyDescent="0.3">
      <c r="A301" s="660" t="s">
        <v>552</v>
      </c>
      <c r="B301" s="661" t="s">
        <v>553</v>
      </c>
      <c r="C301" s="662" t="s">
        <v>566</v>
      </c>
      <c r="D301" s="663" t="s">
        <v>1752</v>
      </c>
      <c r="E301" s="662" t="s">
        <v>575</v>
      </c>
      <c r="F301" s="663" t="s">
        <v>1754</v>
      </c>
      <c r="G301" s="662" t="s">
        <v>582</v>
      </c>
      <c r="H301" s="662" t="s">
        <v>1461</v>
      </c>
      <c r="I301" s="662" t="s">
        <v>1462</v>
      </c>
      <c r="J301" s="662" t="s">
        <v>1463</v>
      </c>
      <c r="K301" s="662" t="s">
        <v>1464</v>
      </c>
      <c r="L301" s="664">
        <v>32.72</v>
      </c>
      <c r="M301" s="664">
        <v>9</v>
      </c>
      <c r="N301" s="665">
        <v>294.47999999999996</v>
      </c>
    </row>
    <row r="302" spans="1:14" ht="14.4" customHeight="1" x14ac:dyDescent="0.3">
      <c r="A302" s="660" t="s">
        <v>552</v>
      </c>
      <c r="B302" s="661" t="s">
        <v>553</v>
      </c>
      <c r="C302" s="662" t="s">
        <v>566</v>
      </c>
      <c r="D302" s="663" t="s">
        <v>1752</v>
      </c>
      <c r="E302" s="662" t="s">
        <v>575</v>
      </c>
      <c r="F302" s="663" t="s">
        <v>1754</v>
      </c>
      <c r="G302" s="662" t="s">
        <v>582</v>
      </c>
      <c r="H302" s="662" t="s">
        <v>1465</v>
      </c>
      <c r="I302" s="662" t="s">
        <v>216</v>
      </c>
      <c r="J302" s="662" t="s">
        <v>1466</v>
      </c>
      <c r="K302" s="662"/>
      <c r="L302" s="664">
        <v>167.86295942711016</v>
      </c>
      <c r="M302" s="664">
        <v>3</v>
      </c>
      <c r="N302" s="665">
        <v>503.58887828133044</v>
      </c>
    </row>
    <row r="303" spans="1:14" ht="14.4" customHeight="1" x14ac:dyDescent="0.3">
      <c r="A303" s="660" t="s">
        <v>552</v>
      </c>
      <c r="B303" s="661" t="s">
        <v>553</v>
      </c>
      <c r="C303" s="662" t="s">
        <v>566</v>
      </c>
      <c r="D303" s="663" t="s">
        <v>1752</v>
      </c>
      <c r="E303" s="662" t="s">
        <v>575</v>
      </c>
      <c r="F303" s="663" t="s">
        <v>1754</v>
      </c>
      <c r="G303" s="662" t="s">
        <v>582</v>
      </c>
      <c r="H303" s="662" t="s">
        <v>1467</v>
      </c>
      <c r="I303" s="662" t="s">
        <v>1468</v>
      </c>
      <c r="J303" s="662" t="s">
        <v>1469</v>
      </c>
      <c r="K303" s="662" t="s">
        <v>1470</v>
      </c>
      <c r="L303" s="664">
        <v>3302.5</v>
      </c>
      <c r="M303" s="664">
        <v>2</v>
      </c>
      <c r="N303" s="665">
        <v>6605</v>
      </c>
    </row>
    <row r="304" spans="1:14" ht="14.4" customHeight="1" x14ac:dyDescent="0.3">
      <c r="A304" s="660" t="s">
        <v>552</v>
      </c>
      <c r="B304" s="661" t="s">
        <v>553</v>
      </c>
      <c r="C304" s="662" t="s">
        <v>566</v>
      </c>
      <c r="D304" s="663" t="s">
        <v>1752</v>
      </c>
      <c r="E304" s="662" t="s">
        <v>575</v>
      </c>
      <c r="F304" s="663" t="s">
        <v>1754</v>
      </c>
      <c r="G304" s="662" t="s">
        <v>582</v>
      </c>
      <c r="H304" s="662" t="s">
        <v>1471</v>
      </c>
      <c r="I304" s="662" t="s">
        <v>216</v>
      </c>
      <c r="J304" s="662" t="s">
        <v>1472</v>
      </c>
      <c r="K304" s="662"/>
      <c r="L304" s="664">
        <v>186.72530211689917</v>
      </c>
      <c r="M304" s="664">
        <v>8</v>
      </c>
      <c r="N304" s="665">
        <v>1493.8024169351934</v>
      </c>
    </row>
    <row r="305" spans="1:14" ht="14.4" customHeight="1" x14ac:dyDescent="0.3">
      <c r="A305" s="660" t="s">
        <v>552</v>
      </c>
      <c r="B305" s="661" t="s">
        <v>553</v>
      </c>
      <c r="C305" s="662" t="s">
        <v>566</v>
      </c>
      <c r="D305" s="663" t="s">
        <v>1752</v>
      </c>
      <c r="E305" s="662" t="s">
        <v>575</v>
      </c>
      <c r="F305" s="663" t="s">
        <v>1754</v>
      </c>
      <c r="G305" s="662" t="s">
        <v>582</v>
      </c>
      <c r="H305" s="662" t="s">
        <v>1473</v>
      </c>
      <c r="I305" s="662" t="s">
        <v>1473</v>
      </c>
      <c r="J305" s="662" t="s">
        <v>1474</v>
      </c>
      <c r="K305" s="662" t="s">
        <v>1475</v>
      </c>
      <c r="L305" s="664">
        <v>184.53818181818181</v>
      </c>
      <c r="M305" s="664">
        <v>11</v>
      </c>
      <c r="N305" s="665">
        <v>2029.92</v>
      </c>
    </row>
    <row r="306" spans="1:14" ht="14.4" customHeight="1" x14ac:dyDescent="0.3">
      <c r="A306" s="660" t="s">
        <v>552</v>
      </c>
      <c r="B306" s="661" t="s">
        <v>553</v>
      </c>
      <c r="C306" s="662" t="s">
        <v>566</v>
      </c>
      <c r="D306" s="663" t="s">
        <v>1752</v>
      </c>
      <c r="E306" s="662" t="s">
        <v>575</v>
      </c>
      <c r="F306" s="663" t="s">
        <v>1754</v>
      </c>
      <c r="G306" s="662" t="s">
        <v>582</v>
      </c>
      <c r="H306" s="662" t="s">
        <v>1476</v>
      </c>
      <c r="I306" s="662" t="s">
        <v>216</v>
      </c>
      <c r="J306" s="662" t="s">
        <v>1477</v>
      </c>
      <c r="K306" s="662" t="s">
        <v>1478</v>
      </c>
      <c r="L306" s="664">
        <v>152.71998270371256</v>
      </c>
      <c r="M306" s="664">
        <v>6</v>
      </c>
      <c r="N306" s="665">
        <v>916.31989622227536</v>
      </c>
    </row>
    <row r="307" spans="1:14" ht="14.4" customHeight="1" x14ac:dyDescent="0.3">
      <c r="A307" s="660" t="s">
        <v>552</v>
      </c>
      <c r="B307" s="661" t="s">
        <v>553</v>
      </c>
      <c r="C307" s="662" t="s">
        <v>566</v>
      </c>
      <c r="D307" s="663" t="s">
        <v>1752</v>
      </c>
      <c r="E307" s="662" t="s">
        <v>575</v>
      </c>
      <c r="F307" s="663" t="s">
        <v>1754</v>
      </c>
      <c r="G307" s="662" t="s">
        <v>582</v>
      </c>
      <c r="H307" s="662" t="s">
        <v>1479</v>
      </c>
      <c r="I307" s="662" t="s">
        <v>1479</v>
      </c>
      <c r="J307" s="662" t="s">
        <v>1480</v>
      </c>
      <c r="K307" s="662" t="s">
        <v>1481</v>
      </c>
      <c r="L307" s="664">
        <v>287.05349248962682</v>
      </c>
      <c r="M307" s="664">
        <v>8</v>
      </c>
      <c r="N307" s="665">
        <v>2296.4279399170146</v>
      </c>
    </row>
    <row r="308" spans="1:14" ht="14.4" customHeight="1" x14ac:dyDescent="0.3">
      <c r="A308" s="660" t="s">
        <v>552</v>
      </c>
      <c r="B308" s="661" t="s">
        <v>553</v>
      </c>
      <c r="C308" s="662" t="s">
        <v>566</v>
      </c>
      <c r="D308" s="663" t="s">
        <v>1752</v>
      </c>
      <c r="E308" s="662" t="s">
        <v>575</v>
      </c>
      <c r="F308" s="663" t="s">
        <v>1754</v>
      </c>
      <c r="G308" s="662" t="s">
        <v>582</v>
      </c>
      <c r="H308" s="662" t="s">
        <v>1482</v>
      </c>
      <c r="I308" s="662" t="s">
        <v>1482</v>
      </c>
      <c r="J308" s="662" t="s">
        <v>1483</v>
      </c>
      <c r="K308" s="662" t="s">
        <v>1484</v>
      </c>
      <c r="L308" s="664">
        <v>478.26000000000005</v>
      </c>
      <c r="M308" s="664">
        <v>1</v>
      </c>
      <c r="N308" s="665">
        <v>478.26000000000005</v>
      </c>
    </row>
    <row r="309" spans="1:14" ht="14.4" customHeight="1" x14ac:dyDescent="0.3">
      <c r="A309" s="660" t="s">
        <v>552</v>
      </c>
      <c r="B309" s="661" t="s">
        <v>553</v>
      </c>
      <c r="C309" s="662" t="s">
        <v>566</v>
      </c>
      <c r="D309" s="663" t="s">
        <v>1752</v>
      </c>
      <c r="E309" s="662" t="s">
        <v>575</v>
      </c>
      <c r="F309" s="663" t="s">
        <v>1754</v>
      </c>
      <c r="G309" s="662" t="s">
        <v>582</v>
      </c>
      <c r="H309" s="662" t="s">
        <v>1485</v>
      </c>
      <c r="I309" s="662" t="s">
        <v>1486</v>
      </c>
      <c r="J309" s="662" t="s">
        <v>1487</v>
      </c>
      <c r="K309" s="662" t="s">
        <v>1488</v>
      </c>
      <c r="L309" s="664">
        <v>62.210585881819817</v>
      </c>
      <c r="M309" s="664">
        <v>1</v>
      </c>
      <c r="N309" s="665">
        <v>62.210585881819817</v>
      </c>
    </row>
    <row r="310" spans="1:14" ht="14.4" customHeight="1" x14ac:dyDescent="0.3">
      <c r="A310" s="660" t="s">
        <v>552</v>
      </c>
      <c r="B310" s="661" t="s">
        <v>553</v>
      </c>
      <c r="C310" s="662" t="s">
        <v>566</v>
      </c>
      <c r="D310" s="663" t="s">
        <v>1752</v>
      </c>
      <c r="E310" s="662" t="s">
        <v>575</v>
      </c>
      <c r="F310" s="663" t="s">
        <v>1754</v>
      </c>
      <c r="G310" s="662" t="s">
        <v>582</v>
      </c>
      <c r="H310" s="662" t="s">
        <v>1489</v>
      </c>
      <c r="I310" s="662" t="s">
        <v>1490</v>
      </c>
      <c r="J310" s="662" t="s">
        <v>1491</v>
      </c>
      <c r="K310" s="662" t="s">
        <v>1492</v>
      </c>
      <c r="L310" s="664">
        <v>87.649772672385808</v>
      </c>
      <c r="M310" s="664">
        <v>8</v>
      </c>
      <c r="N310" s="665">
        <v>701.19818137908646</v>
      </c>
    </row>
    <row r="311" spans="1:14" ht="14.4" customHeight="1" x14ac:dyDescent="0.3">
      <c r="A311" s="660" t="s">
        <v>552</v>
      </c>
      <c r="B311" s="661" t="s">
        <v>553</v>
      </c>
      <c r="C311" s="662" t="s">
        <v>566</v>
      </c>
      <c r="D311" s="663" t="s">
        <v>1752</v>
      </c>
      <c r="E311" s="662" t="s">
        <v>575</v>
      </c>
      <c r="F311" s="663" t="s">
        <v>1754</v>
      </c>
      <c r="G311" s="662" t="s">
        <v>582</v>
      </c>
      <c r="H311" s="662" t="s">
        <v>1493</v>
      </c>
      <c r="I311" s="662" t="s">
        <v>1494</v>
      </c>
      <c r="J311" s="662" t="s">
        <v>1397</v>
      </c>
      <c r="K311" s="662" t="s">
        <v>1495</v>
      </c>
      <c r="L311" s="664">
        <v>84.77</v>
      </c>
      <c r="M311" s="664">
        <v>14</v>
      </c>
      <c r="N311" s="665">
        <v>1186.78</v>
      </c>
    </row>
    <row r="312" spans="1:14" ht="14.4" customHeight="1" x14ac:dyDescent="0.3">
      <c r="A312" s="660" t="s">
        <v>552</v>
      </c>
      <c r="B312" s="661" t="s">
        <v>553</v>
      </c>
      <c r="C312" s="662" t="s">
        <v>566</v>
      </c>
      <c r="D312" s="663" t="s">
        <v>1752</v>
      </c>
      <c r="E312" s="662" t="s">
        <v>575</v>
      </c>
      <c r="F312" s="663" t="s">
        <v>1754</v>
      </c>
      <c r="G312" s="662" t="s">
        <v>582</v>
      </c>
      <c r="H312" s="662" t="s">
        <v>1496</v>
      </c>
      <c r="I312" s="662" t="s">
        <v>1497</v>
      </c>
      <c r="J312" s="662" t="s">
        <v>1498</v>
      </c>
      <c r="K312" s="662" t="s">
        <v>1499</v>
      </c>
      <c r="L312" s="664">
        <v>84.96999999999997</v>
      </c>
      <c r="M312" s="664">
        <v>4</v>
      </c>
      <c r="N312" s="665">
        <v>339.87999999999988</v>
      </c>
    </row>
    <row r="313" spans="1:14" ht="14.4" customHeight="1" x14ac:dyDescent="0.3">
      <c r="A313" s="660" t="s">
        <v>552</v>
      </c>
      <c r="B313" s="661" t="s">
        <v>553</v>
      </c>
      <c r="C313" s="662" t="s">
        <v>566</v>
      </c>
      <c r="D313" s="663" t="s">
        <v>1752</v>
      </c>
      <c r="E313" s="662" t="s">
        <v>575</v>
      </c>
      <c r="F313" s="663" t="s">
        <v>1754</v>
      </c>
      <c r="G313" s="662" t="s">
        <v>582</v>
      </c>
      <c r="H313" s="662" t="s">
        <v>1500</v>
      </c>
      <c r="I313" s="662" t="s">
        <v>216</v>
      </c>
      <c r="J313" s="662" t="s">
        <v>1501</v>
      </c>
      <c r="K313" s="662" t="s">
        <v>1502</v>
      </c>
      <c r="L313" s="664">
        <v>396.75</v>
      </c>
      <c r="M313" s="664">
        <v>36</v>
      </c>
      <c r="N313" s="665">
        <v>14283</v>
      </c>
    </row>
    <row r="314" spans="1:14" ht="14.4" customHeight="1" x14ac:dyDescent="0.3">
      <c r="A314" s="660" t="s">
        <v>552</v>
      </c>
      <c r="B314" s="661" t="s">
        <v>553</v>
      </c>
      <c r="C314" s="662" t="s">
        <v>566</v>
      </c>
      <c r="D314" s="663" t="s">
        <v>1752</v>
      </c>
      <c r="E314" s="662" t="s">
        <v>575</v>
      </c>
      <c r="F314" s="663" t="s">
        <v>1754</v>
      </c>
      <c r="G314" s="662" t="s">
        <v>582</v>
      </c>
      <c r="H314" s="662" t="s">
        <v>1503</v>
      </c>
      <c r="I314" s="662" t="s">
        <v>1504</v>
      </c>
      <c r="J314" s="662" t="s">
        <v>1505</v>
      </c>
      <c r="K314" s="662" t="s">
        <v>1506</v>
      </c>
      <c r="L314" s="664">
        <v>244.17</v>
      </c>
      <c r="M314" s="664">
        <v>1</v>
      </c>
      <c r="N314" s="665">
        <v>244.17</v>
      </c>
    </row>
    <row r="315" spans="1:14" ht="14.4" customHeight="1" x14ac:dyDescent="0.3">
      <c r="A315" s="660" t="s">
        <v>552</v>
      </c>
      <c r="B315" s="661" t="s">
        <v>553</v>
      </c>
      <c r="C315" s="662" t="s">
        <v>566</v>
      </c>
      <c r="D315" s="663" t="s">
        <v>1752</v>
      </c>
      <c r="E315" s="662" t="s">
        <v>575</v>
      </c>
      <c r="F315" s="663" t="s">
        <v>1754</v>
      </c>
      <c r="G315" s="662" t="s">
        <v>582</v>
      </c>
      <c r="H315" s="662" t="s">
        <v>1507</v>
      </c>
      <c r="I315" s="662" t="s">
        <v>1508</v>
      </c>
      <c r="J315" s="662" t="s">
        <v>1509</v>
      </c>
      <c r="K315" s="662" t="s">
        <v>1510</v>
      </c>
      <c r="L315" s="664">
        <v>461.99999999999989</v>
      </c>
      <c r="M315" s="664">
        <v>30</v>
      </c>
      <c r="N315" s="665">
        <v>13859.999999999996</v>
      </c>
    </row>
    <row r="316" spans="1:14" ht="14.4" customHeight="1" x14ac:dyDescent="0.3">
      <c r="A316" s="660" t="s">
        <v>552</v>
      </c>
      <c r="B316" s="661" t="s">
        <v>553</v>
      </c>
      <c r="C316" s="662" t="s">
        <v>566</v>
      </c>
      <c r="D316" s="663" t="s">
        <v>1752</v>
      </c>
      <c r="E316" s="662" t="s">
        <v>575</v>
      </c>
      <c r="F316" s="663" t="s">
        <v>1754</v>
      </c>
      <c r="G316" s="662" t="s">
        <v>582</v>
      </c>
      <c r="H316" s="662" t="s">
        <v>1511</v>
      </c>
      <c r="I316" s="662" t="s">
        <v>1512</v>
      </c>
      <c r="J316" s="662" t="s">
        <v>1513</v>
      </c>
      <c r="K316" s="662" t="s">
        <v>1514</v>
      </c>
      <c r="L316" s="664">
        <v>374.00049999999993</v>
      </c>
      <c r="M316" s="664">
        <v>20</v>
      </c>
      <c r="N316" s="665">
        <v>7480.0099999999984</v>
      </c>
    </row>
    <row r="317" spans="1:14" ht="14.4" customHeight="1" x14ac:dyDescent="0.3">
      <c r="A317" s="660" t="s">
        <v>552</v>
      </c>
      <c r="B317" s="661" t="s">
        <v>553</v>
      </c>
      <c r="C317" s="662" t="s">
        <v>566</v>
      </c>
      <c r="D317" s="663" t="s">
        <v>1752</v>
      </c>
      <c r="E317" s="662" t="s">
        <v>575</v>
      </c>
      <c r="F317" s="663" t="s">
        <v>1754</v>
      </c>
      <c r="G317" s="662" t="s">
        <v>582</v>
      </c>
      <c r="H317" s="662" t="s">
        <v>1515</v>
      </c>
      <c r="I317" s="662" t="s">
        <v>1515</v>
      </c>
      <c r="J317" s="662" t="s">
        <v>1516</v>
      </c>
      <c r="K317" s="662" t="s">
        <v>1517</v>
      </c>
      <c r="L317" s="664">
        <v>4295.75</v>
      </c>
      <c r="M317" s="664">
        <v>1</v>
      </c>
      <c r="N317" s="665">
        <v>4295.75</v>
      </c>
    </row>
    <row r="318" spans="1:14" ht="14.4" customHeight="1" x14ac:dyDescent="0.3">
      <c r="A318" s="660" t="s">
        <v>552</v>
      </c>
      <c r="B318" s="661" t="s">
        <v>553</v>
      </c>
      <c r="C318" s="662" t="s">
        <v>566</v>
      </c>
      <c r="D318" s="663" t="s">
        <v>1752</v>
      </c>
      <c r="E318" s="662" t="s">
        <v>575</v>
      </c>
      <c r="F318" s="663" t="s">
        <v>1754</v>
      </c>
      <c r="G318" s="662" t="s">
        <v>582</v>
      </c>
      <c r="H318" s="662" t="s">
        <v>1518</v>
      </c>
      <c r="I318" s="662" t="s">
        <v>1518</v>
      </c>
      <c r="J318" s="662" t="s">
        <v>1519</v>
      </c>
      <c r="K318" s="662" t="s">
        <v>1520</v>
      </c>
      <c r="L318" s="664">
        <v>3484.9671428571432</v>
      </c>
      <c r="M318" s="664">
        <v>7</v>
      </c>
      <c r="N318" s="665">
        <v>24394.770000000004</v>
      </c>
    </row>
    <row r="319" spans="1:14" ht="14.4" customHeight="1" x14ac:dyDescent="0.3">
      <c r="A319" s="660" t="s">
        <v>552</v>
      </c>
      <c r="B319" s="661" t="s">
        <v>553</v>
      </c>
      <c r="C319" s="662" t="s">
        <v>566</v>
      </c>
      <c r="D319" s="663" t="s">
        <v>1752</v>
      </c>
      <c r="E319" s="662" t="s">
        <v>575</v>
      </c>
      <c r="F319" s="663" t="s">
        <v>1754</v>
      </c>
      <c r="G319" s="662" t="s">
        <v>582</v>
      </c>
      <c r="H319" s="662" t="s">
        <v>984</v>
      </c>
      <c r="I319" s="662" t="s">
        <v>984</v>
      </c>
      <c r="J319" s="662" t="s">
        <v>985</v>
      </c>
      <c r="K319" s="662" t="s">
        <v>986</v>
      </c>
      <c r="L319" s="664">
        <v>57.502292994306728</v>
      </c>
      <c r="M319" s="664">
        <v>8</v>
      </c>
      <c r="N319" s="665">
        <v>460.01834395445383</v>
      </c>
    </row>
    <row r="320" spans="1:14" ht="14.4" customHeight="1" x14ac:dyDescent="0.3">
      <c r="A320" s="660" t="s">
        <v>552</v>
      </c>
      <c r="B320" s="661" t="s">
        <v>553</v>
      </c>
      <c r="C320" s="662" t="s">
        <v>566</v>
      </c>
      <c r="D320" s="663" t="s">
        <v>1752</v>
      </c>
      <c r="E320" s="662" t="s">
        <v>575</v>
      </c>
      <c r="F320" s="663" t="s">
        <v>1754</v>
      </c>
      <c r="G320" s="662" t="s">
        <v>582</v>
      </c>
      <c r="H320" s="662" t="s">
        <v>1521</v>
      </c>
      <c r="I320" s="662" t="s">
        <v>216</v>
      </c>
      <c r="J320" s="662" t="s">
        <v>1522</v>
      </c>
      <c r="K320" s="662"/>
      <c r="L320" s="664">
        <v>37.200000000000003</v>
      </c>
      <c r="M320" s="664">
        <v>3</v>
      </c>
      <c r="N320" s="665">
        <v>111.60000000000001</v>
      </c>
    </row>
    <row r="321" spans="1:14" ht="14.4" customHeight="1" x14ac:dyDescent="0.3">
      <c r="A321" s="660" t="s">
        <v>552</v>
      </c>
      <c r="B321" s="661" t="s">
        <v>553</v>
      </c>
      <c r="C321" s="662" t="s">
        <v>566</v>
      </c>
      <c r="D321" s="663" t="s">
        <v>1752</v>
      </c>
      <c r="E321" s="662" t="s">
        <v>575</v>
      </c>
      <c r="F321" s="663" t="s">
        <v>1754</v>
      </c>
      <c r="G321" s="662" t="s">
        <v>582</v>
      </c>
      <c r="H321" s="662" t="s">
        <v>987</v>
      </c>
      <c r="I321" s="662" t="s">
        <v>216</v>
      </c>
      <c r="J321" s="662" t="s">
        <v>988</v>
      </c>
      <c r="K321" s="662"/>
      <c r="L321" s="664">
        <v>37.408282503897759</v>
      </c>
      <c r="M321" s="664">
        <v>6</v>
      </c>
      <c r="N321" s="665">
        <v>224.44969502338654</v>
      </c>
    </row>
    <row r="322" spans="1:14" ht="14.4" customHeight="1" x14ac:dyDescent="0.3">
      <c r="A322" s="660" t="s">
        <v>552</v>
      </c>
      <c r="B322" s="661" t="s">
        <v>553</v>
      </c>
      <c r="C322" s="662" t="s">
        <v>566</v>
      </c>
      <c r="D322" s="663" t="s">
        <v>1752</v>
      </c>
      <c r="E322" s="662" t="s">
        <v>575</v>
      </c>
      <c r="F322" s="663" t="s">
        <v>1754</v>
      </c>
      <c r="G322" s="662" t="s">
        <v>582</v>
      </c>
      <c r="H322" s="662" t="s">
        <v>1523</v>
      </c>
      <c r="I322" s="662" t="s">
        <v>1524</v>
      </c>
      <c r="J322" s="662" t="s">
        <v>1525</v>
      </c>
      <c r="K322" s="662" t="s">
        <v>1526</v>
      </c>
      <c r="L322" s="664">
        <v>596.2995019438489</v>
      </c>
      <c r="M322" s="664">
        <v>4</v>
      </c>
      <c r="N322" s="665">
        <v>2385.1980077753956</v>
      </c>
    </row>
    <row r="323" spans="1:14" ht="14.4" customHeight="1" x14ac:dyDescent="0.3">
      <c r="A323" s="660" t="s">
        <v>552</v>
      </c>
      <c r="B323" s="661" t="s">
        <v>553</v>
      </c>
      <c r="C323" s="662" t="s">
        <v>566</v>
      </c>
      <c r="D323" s="663" t="s">
        <v>1752</v>
      </c>
      <c r="E323" s="662" t="s">
        <v>575</v>
      </c>
      <c r="F323" s="663" t="s">
        <v>1754</v>
      </c>
      <c r="G323" s="662" t="s">
        <v>582</v>
      </c>
      <c r="H323" s="662" t="s">
        <v>1527</v>
      </c>
      <c r="I323" s="662" t="s">
        <v>1527</v>
      </c>
      <c r="J323" s="662" t="s">
        <v>993</v>
      </c>
      <c r="K323" s="662" t="s">
        <v>1528</v>
      </c>
      <c r="L323" s="664">
        <v>44</v>
      </c>
      <c r="M323" s="664">
        <v>1</v>
      </c>
      <c r="N323" s="665">
        <v>44</v>
      </c>
    </row>
    <row r="324" spans="1:14" ht="14.4" customHeight="1" x14ac:dyDescent="0.3">
      <c r="A324" s="660" t="s">
        <v>552</v>
      </c>
      <c r="B324" s="661" t="s">
        <v>553</v>
      </c>
      <c r="C324" s="662" t="s">
        <v>566</v>
      </c>
      <c r="D324" s="663" t="s">
        <v>1752</v>
      </c>
      <c r="E324" s="662" t="s">
        <v>575</v>
      </c>
      <c r="F324" s="663" t="s">
        <v>1754</v>
      </c>
      <c r="G324" s="662" t="s">
        <v>582</v>
      </c>
      <c r="H324" s="662" t="s">
        <v>1529</v>
      </c>
      <c r="I324" s="662" t="s">
        <v>1529</v>
      </c>
      <c r="J324" s="662" t="s">
        <v>1530</v>
      </c>
      <c r="K324" s="662" t="s">
        <v>685</v>
      </c>
      <c r="L324" s="664">
        <v>56.02</v>
      </c>
      <c r="M324" s="664">
        <v>3</v>
      </c>
      <c r="N324" s="665">
        <v>168.06</v>
      </c>
    </row>
    <row r="325" spans="1:14" ht="14.4" customHeight="1" x14ac:dyDescent="0.3">
      <c r="A325" s="660" t="s">
        <v>552</v>
      </c>
      <c r="B325" s="661" t="s">
        <v>553</v>
      </c>
      <c r="C325" s="662" t="s">
        <v>566</v>
      </c>
      <c r="D325" s="663" t="s">
        <v>1752</v>
      </c>
      <c r="E325" s="662" t="s">
        <v>575</v>
      </c>
      <c r="F325" s="663" t="s">
        <v>1754</v>
      </c>
      <c r="G325" s="662" t="s">
        <v>582</v>
      </c>
      <c r="H325" s="662" t="s">
        <v>1531</v>
      </c>
      <c r="I325" s="662" t="s">
        <v>1531</v>
      </c>
      <c r="J325" s="662" t="s">
        <v>1532</v>
      </c>
      <c r="K325" s="662" t="s">
        <v>1533</v>
      </c>
      <c r="L325" s="664">
        <v>804.89831078565737</v>
      </c>
      <c r="M325" s="664">
        <v>7</v>
      </c>
      <c r="N325" s="665">
        <v>5634.2881754996015</v>
      </c>
    </row>
    <row r="326" spans="1:14" ht="14.4" customHeight="1" x14ac:dyDescent="0.3">
      <c r="A326" s="660" t="s">
        <v>552</v>
      </c>
      <c r="B326" s="661" t="s">
        <v>553</v>
      </c>
      <c r="C326" s="662" t="s">
        <v>566</v>
      </c>
      <c r="D326" s="663" t="s">
        <v>1752</v>
      </c>
      <c r="E326" s="662" t="s">
        <v>575</v>
      </c>
      <c r="F326" s="663" t="s">
        <v>1754</v>
      </c>
      <c r="G326" s="662" t="s">
        <v>582</v>
      </c>
      <c r="H326" s="662" t="s">
        <v>1534</v>
      </c>
      <c r="I326" s="662" t="s">
        <v>1534</v>
      </c>
      <c r="J326" s="662" t="s">
        <v>1535</v>
      </c>
      <c r="K326" s="662" t="s">
        <v>1536</v>
      </c>
      <c r="L326" s="664">
        <v>170.07</v>
      </c>
      <c r="M326" s="664">
        <v>2</v>
      </c>
      <c r="N326" s="665">
        <v>340.14</v>
      </c>
    </row>
    <row r="327" spans="1:14" ht="14.4" customHeight="1" x14ac:dyDescent="0.3">
      <c r="A327" s="660" t="s">
        <v>552</v>
      </c>
      <c r="B327" s="661" t="s">
        <v>553</v>
      </c>
      <c r="C327" s="662" t="s">
        <v>566</v>
      </c>
      <c r="D327" s="663" t="s">
        <v>1752</v>
      </c>
      <c r="E327" s="662" t="s">
        <v>575</v>
      </c>
      <c r="F327" s="663" t="s">
        <v>1754</v>
      </c>
      <c r="G327" s="662" t="s">
        <v>995</v>
      </c>
      <c r="H327" s="662" t="s">
        <v>999</v>
      </c>
      <c r="I327" s="662" t="s">
        <v>999</v>
      </c>
      <c r="J327" s="662" t="s">
        <v>1000</v>
      </c>
      <c r="K327" s="662" t="s">
        <v>1001</v>
      </c>
      <c r="L327" s="664">
        <v>7.7999364809556813</v>
      </c>
      <c r="M327" s="664">
        <v>1</v>
      </c>
      <c r="N327" s="665">
        <v>7.7999364809556813</v>
      </c>
    </row>
    <row r="328" spans="1:14" ht="14.4" customHeight="1" x14ac:dyDescent="0.3">
      <c r="A328" s="660" t="s">
        <v>552</v>
      </c>
      <c r="B328" s="661" t="s">
        <v>553</v>
      </c>
      <c r="C328" s="662" t="s">
        <v>566</v>
      </c>
      <c r="D328" s="663" t="s">
        <v>1752</v>
      </c>
      <c r="E328" s="662" t="s">
        <v>575</v>
      </c>
      <c r="F328" s="663" t="s">
        <v>1754</v>
      </c>
      <c r="G328" s="662" t="s">
        <v>995</v>
      </c>
      <c r="H328" s="662" t="s">
        <v>1005</v>
      </c>
      <c r="I328" s="662" t="s">
        <v>1006</v>
      </c>
      <c r="J328" s="662" t="s">
        <v>1007</v>
      </c>
      <c r="K328" s="662" t="s">
        <v>1008</v>
      </c>
      <c r="L328" s="664">
        <v>198.89009276265651</v>
      </c>
      <c r="M328" s="664">
        <v>1</v>
      </c>
      <c r="N328" s="665">
        <v>198.89009276265651</v>
      </c>
    </row>
    <row r="329" spans="1:14" ht="14.4" customHeight="1" x14ac:dyDescent="0.3">
      <c r="A329" s="660" t="s">
        <v>552</v>
      </c>
      <c r="B329" s="661" t="s">
        <v>553</v>
      </c>
      <c r="C329" s="662" t="s">
        <v>566</v>
      </c>
      <c r="D329" s="663" t="s">
        <v>1752</v>
      </c>
      <c r="E329" s="662" t="s">
        <v>575</v>
      </c>
      <c r="F329" s="663" t="s">
        <v>1754</v>
      </c>
      <c r="G329" s="662" t="s">
        <v>995</v>
      </c>
      <c r="H329" s="662" t="s">
        <v>1025</v>
      </c>
      <c r="I329" s="662" t="s">
        <v>1026</v>
      </c>
      <c r="J329" s="662" t="s">
        <v>1027</v>
      </c>
      <c r="K329" s="662" t="s">
        <v>1028</v>
      </c>
      <c r="L329" s="664">
        <v>138.24999944338353</v>
      </c>
      <c r="M329" s="664">
        <v>14</v>
      </c>
      <c r="N329" s="665">
        <v>1935.4999922073696</v>
      </c>
    </row>
    <row r="330" spans="1:14" ht="14.4" customHeight="1" x14ac:dyDescent="0.3">
      <c r="A330" s="660" t="s">
        <v>552</v>
      </c>
      <c r="B330" s="661" t="s">
        <v>553</v>
      </c>
      <c r="C330" s="662" t="s">
        <v>566</v>
      </c>
      <c r="D330" s="663" t="s">
        <v>1752</v>
      </c>
      <c r="E330" s="662" t="s">
        <v>575</v>
      </c>
      <c r="F330" s="663" t="s">
        <v>1754</v>
      </c>
      <c r="G330" s="662" t="s">
        <v>995</v>
      </c>
      <c r="H330" s="662" t="s">
        <v>1033</v>
      </c>
      <c r="I330" s="662" t="s">
        <v>1034</v>
      </c>
      <c r="J330" s="662" t="s">
        <v>1035</v>
      </c>
      <c r="K330" s="662" t="s">
        <v>1036</v>
      </c>
      <c r="L330" s="664">
        <v>630.66099999999994</v>
      </c>
      <c r="M330" s="664">
        <v>3</v>
      </c>
      <c r="N330" s="665">
        <v>1891.9829999999997</v>
      </c>
    </row>
    <row r="331" spans="1:14" ht="14.4" customHeight="1" x14ac:dyDescent="0.3">
      <c r="A331" s="660" t="s">
        <v>552</v>
      </c>
      <c r="B331" s="661" t="s">
        <v>553</v>
      </c>
      <c r="C331" s="662" t="s">
        <v>566</v>
      </c>
      <c r="D331" s="663" t="s">
        <v>1752</v>
      </c>
      <c r="E331" s="662" t="s">
        <v>575</v>
      </c>
      <c r="F331" s="663" t="s">
        <v>1754</v>
      </c>
      <c r="G331" s="662" t="s">
        <v>995</v>
      </c>
      <c r="H331" s="662" t="s">
        <v>1537</v>
      </c>
      <c r="I331" s="662" t="s">
        <v>1538</v>
      </c>
      <c r="J331" s="662" t="s">
        <v>1539</v>
      </c>
      <c r="K331" s="662" t="s">
        <v>1540</v>
      </c>
      <c r="L331" s="664">
        <v>59.359999999999985</v>
      </c>
      <c r="M331" s="664">
        <v>1</v>
      </c>
      <c r="N331" s="665">
        <v>59.359999999999985</v>
      </c>
    </row>
    <row r="332" spans="1:14" ht="14.4" customHeight="1" x14ac:dyDescent="0.3">
      <c r="A332" s="660" t="s">
        <v>552</v>
      </c>
      <c r="B332" s="661" t="s">
        <v>553</v>
      </c>
      <c r="C332" s="662" t="s">
        <v>566</v>
      </c>
      <c r="D332" s="663" t="s">
        <v>1752</v>
      </c>
      <c r="E332" s="662" t="s">
        <v>575</v>
      </c>
      <c r="F332" s="663" t="s">
        <v>1754</v>
      </c>
      <c r="G332" s="662" t="s">
        <v>995</v>
      </c>
      <c r="H332" s="662" t="s">
        <v>1047</v>
      </c>
      <c r="I332" s="662" t="s">
        <v>1048</v>
      </c>
      <c r="J332" s="662" t="s">
        <v>1049</v>
      </c>
      <c r="K332" s="662" t="s">
        <v>1050</v>
      </c>
      <c r="L332" s="664">
        <v>43.570000000000014</v>
      </c>
      <c r="M332" s="664">
        <v>1</v>
      </c>
      <c r="N332" s="665">
        <v>43.570000000000014</v>
      </c>
    </row>
    <row r="333" spans="1:14" ht="14.4" customHeight="1" x14ac:dyDescent="0.3">
      <c r="A333" s="660" t="s">
        <v>552</v>
      </c>
      <c r="B333" s="661" t="s">
        <v>553</v>
      </c>
      <c r="C333" s="662" t="s">
        <v>566</v>
      </c>
      <c r="D333" s="663" t="s">
        <v>1752</v>
      </c>
      <c r="E333" s="662" t="s">
        <v>575</v>
      </c>
      <c r="F333" s="663" t="s">
        <v>1754</v>
      </c>
      <c r="G333" s="662" t="s">
        <v>995</v>
      </c>
      <c r="H333" s="662" t="s">
        <v>1066</v>
      </c>
      <c r="I333" s="662" t="s">
        <v>1067</v>
      </c>
      <c r="J333" s="662" t="s">
        <v>1068</v>
      </c>
      <c r="K333" s="662" t="s">
        <v>1069</v>
      </c>
      <c r="L333" s="664">
        <v>81.269785895922837</v>
      </c>
      <c r="M333" s="664">
        <v>8</v>
      </c>
      <c r="N333" s="665">
        <v>650.1582871673827</v>
      </c>
    </row>
    <row r="334" spans="1:14" ht="14.4" customHeight="1" x14ac:dyDescent="0.3">
      <c r="A334" s="660" t="s">
        <v>552</v>
      </c>
      <c r="B334" s="661" t="s">
        <v>553</v>
      </c>
      <c r="C334" s="662" t="s">
        <v>566</v>
      </c>
      <c r="D334" s="663" t="s">
        <v>1752</v>
      </c>
      <c r="E334" s="662" t="s">
        <v>575</v>
      </c>
      <c r="F334" s="663" t="s">
        <v>1754</v>
      </c>
      <c r="G334" s="662" t="s">
        <v>995</v>
      </c>
      <c r="H334" s="662" t="s">
        <v>1096</v>
      </c>
      <c r="I334" s="662" t="s">
        <v>1097</v>
      </c>
      <c r="J334" s="662" t="s">
        <v>1011</v>
      </c>
      <c r="K334" s="662" t="s">
        <v>1098</v>
      </c>
      <c r="L334" s="664">
        <v>130.90229361272259</v>
      </c>
      <c r="M334" s="664">
        <v>58</v>
      </c>
      <c r="N334" s="665">
        <v>7592.3330295379101</v>
      </c>
    </row>
    <row r="335" spans="1:14" ht="14.4" customHeight="1" x14ac:dyDescent="0.3">
      <c r="A335" s="660" t="s">
        <v>552</v>
      </c>
      <c r="B335" s="661" t="s">
        <v>553</v>
      </c>
      <c r="C335" s="662" t="s">
        <v>566</v>
      </c>
      <c r="D335" s="663" t="s">
        <v>1752</v>
      </c>
      <c r="E335" s="662" t="s">
        <v>575</v>
      </c>
      <c r="F335" s="663" t="s">
        <v>1754</v>
      </c>
      <c r="G335" s="662" t="s">
        <v>995</v>
      </c>
      <c r="H335" s="662" t="s">
        <v>1541</v>
      </c>
      <c r="I335" s="662" t="s">
        <v>1542</v>
      </c>
      <c r="J335" s="662" t="s">
        <v>1543</v>
      </c>
      <c r="K335" s="662" t="s">
        <v>1544</v>
      </c>
      <c r="L335" s="664">
        <v>67.881071347812252</v>
      </c>
      <c r="M335" s="664">
        <v>225</v>
      </c>
      <c r="N335" s="665">
        <v>15273.241053257756</v>
      </c>
    </row>
    <row r="336" spans="1:14" ht="14.4" customHeight="1" x14ac:dyDescent="0.3">
      <c r="A336" s="660" t="s">
        <v>552</v>
      </c>
      <c r="B336" s="661" t="s">
        <v>553</v>
      </c>
      <c r="C336" s="662" t="s">
        <v>566</v>
      </c>
      <c r="D336" s="663" t="s">
        <v>1752</v>
      </c>
      <c r="E336" s="662" t="s">
        <v>575</v>
      </c>
      <c r="F336" s="663" t="s">
        <v>1754</v>
      </c>
      <c r="G336" s="662" t="s">
        <v>995</v>
      </c>
      <c r="H336" s="662" t="s">
        <v>1545</v>
      </c>
      <c r="I336" s="662" t="s">
        <v>1546</v>
      </c>
      <c r="J336" s="662" t="s">
        <v>1144</v>
      </c>
      <c r="K336" s="662" t="s">
        <v>1547</v>
      </c>
      <c r="L336" s="664">
        <v>855.08462488523378</v>
      </c>
      <c r="M336" s="664">
        <v>21</v>
      </c>
      <c r="N336" s="665">
        <v>17956.777122589909</v>
      </c>
    </row>
    <row r="337" spans="1:14" ht="14.4" customHeight="1" x14ac:dyDescent="0.3">
      <c r="A337" s="660" t="s">
        <v>552</v>
      </c>
      <c r="B337" s="661" t="s">
        <v>553</v>
      </c>
      <c r="C337" s="662" t="s">
        <v>566</v>
      </c>
      <c r="D337" s="663" t="s">
        <v>1752</v>
      </c>
      <c r="E337" s="662" t="s">
        <v>575</v>
      </c>
      <c r="F337" s="663" t="s">
        <v>1754</v>
      </c>
      <c r="G337" s="662" t="s">
        <v>995</v>
      </c>
      <c r="H337" s="662" t="s">
        <v>1548</v>
      </c>
      <c r="I337" s="662" t="s">
        <v>1549</v>
      </c>
      <c r="J337" s="662" t="s">
        <v>1027</v>
      </c>
      <c r="K337" s="662" t="s">
        <v>1550</v>
      </c>
      <c r="L337" s="664">
        <v>144.10205043229715</v>
      </c>
      <c r="M337" s="664">
        <v>68</v>
      </c>
      <c r="N337" s="665">
        <v>9798.9394293962068</v>
      </c>
    </row>
    <row r="338" spans="1:14" ht="14.4" customHeight="1" x14ac:dyDescent="0.3">
      <c r="A338" s="660" t="s">
        <v>552</v>
      </c>
      <c r="B338" s="661" t="s">
        <v>553</v>
      </c>
      <c r="C338" s="662" t="s">
        <v>566</v>
      </c>
      <c r="D338" s="663" t="s">
        <v>1752</v>
      </c>
      <c r="E338" s="662" t="s">
        <v>575</v>
      </c>
      <c r="F338" s="663" t="s">
        <v>1754</v>
      </c>
      <c r="G338" s="662" t="s">
        <v>995</v>
      </c>
      <c r="H338" s="662" t="s">
        <v>1150</v>
      </c>
      <c r="I338" s="662" t="s">
        <v>1151</v>
      </c>
      <c r="J338" s="662" t="s">
        <v>1035</v>
      </c>
      <c r="K338" s="662" t="s">
        <v>1152</v>
      </c>
      <c r="L338" s="664">
        <v>301.46946435610124</v>
      </c>
      <c r="M338" s="664">
        <v>33</v>
      </c>
      <c r="N338" s="665">
        <v>9948.4923237513412</v>
      </c>
    </row>
    <row r="339" spans="1:14" ht="14.4" customHeight="1" x14ac:dyDescent="0.3">
      <c r="A339" s="660" t="s">
        <v>552</v>
      </c>
      <c r="B339" s="661" t="s">
        <v>553</v>
      </c>
      <c r="C339" s="662" t="s">
        <v>566</v>
      </c>
      <c r="D339" s="663" t="s">
        <v>1752</v>
      </c>
      <c r="E339" s="662" t="s">
        <v>575</v>
      </c>
      <c r="F339" s="663" t="s">
        <v>1754</v>
      </c>
      <c r="G339" s="662" t="s">
        <v>995</v>
      </c>
      <c r="H339" s="662" t="s">
        <v>1153</v>
      </c>
      <c r="I339" s="662" t="s">
        <v>1154</v>
      </c>
      <c r="J339" s="662" t="s">
        <v>1035</v>
      </c>
      <c r="K339" s="662" t="s">
        <v>1155</v>
      </c>
      <c r="L339" s="664">
        <v>408.94972500874792</v>
      </c>
      <c r="M339" s="664">
        <v>12</v>
      </c>
      <c r="N339" s="665">
        <v>4907.396700104975</v>
      </c>
    </row>
    <row r="340" spans="1:14" ht="14.4" customHeight="1" x14ac:dyDescent="0.3">
      <c r="A340" s="660" t="s">
        <v>552</v>
      </c>
      <c r="B340" s="661" t="s">
        <v>553</v>
      </c>
      <c r="C340" s="662" t="s">
        <v>566</v>
      </c>
      <c r="D340" s="663" t="s">
        <v>1752</v>
      </c>
      <c r="E340" s="662" t="s">
        <v>575</v>
      </c>
      <c r="F340" s="663" t="s">
        <v>1754</v>
      </c>
      <c r="G340" s="662" t="s">
        <v>995</v>
      </c>
      <c r="H340" s="662" t="s">
        <v>1551</v>
      </c>
      <c r="I340" s="662" t="s">
        <v>1552</v>
      </c>
      <c r="J340" s="662" t="s">
        <v>1553</v>
      </c>
      <c r="K340" s="662" t="s">
        <v>1554</v>
      </c>
      <c r="L340" s="664">
        <v>363.9780904043522</v>
      </c>
      <c r="M340" s="664">
        <v>2</v>
      </c>
      <c r="N340" s="665">
        <v>727.9561808087044</v>
      </c>
    </row>
    <row r="341" spans="1:14" ht="14.4" customHeight="1" x14ac:dyDescent="0.3">
      <c r="A341" s="660" t="s">
        <v>552</v>
      </c>
      <c r="B341" s="661" t="s">
        <v>553</v>
      </c>
      <c r="C341" s="662" t="s">
        <v>566</v>
      </c>
      <c r="D341" s="663" t="s">
        <v>1752</v>
      </c>
      <c r="E341" s="662" t="s">
        <v>575</v>
      </c>
      <c r="F341" s="663" t="s">
        <v>1754</v>
      </c>
      <c r="G341" s="662" t="s">
        <v>995</v>
      </c>
      <c r="H341" s="662" t="s">
        <v>1555</v>
      </c>
      <c r="I341" s="662" t="s">
        <v>1556</v>
      </c>
      <c r="J341" s="662" t="s">
        <v>1557</v>
      </c>
      <c r="K341" s="662" t="s">
        <v>1558</v>
      </c>
      <c r="L341" s="664">
        <v>336.77833685363032</v>
      </c>
      <c r="M341" s="664">
        <v>4</v>
      </c>
      <c r="N341" s="665">
        <v>1347.1133474145213</v>
      </c>
    </row>
    <row r="342" spans="1:14" ht="14.4" customHeight="1" x14ac:dyDescent="0.3">
      <c r="A342" s="660" t="s">
        <v>552</v>
      </c>
      <c r="B342" s="661" t="s">
        <v>553</v>
      </c>
      <c r="C342" s="662" t="s">
        <v>566</v>
      </c>
      <c r="D342" s="663" t="s">
        <v>1752</v>
      </c>
      <c r="E342" s="662" t="s">
        <v>575</v>
      </c>
      <c r="F342" s="663" t="s">
        <v>1754</v>
      </c>
      <c r="G342" s="662" t="s">
        <v>995</v>
      </c>
      <c r="H342" s="662" t="s">
        <v>1163</v>
      </c>
      <c r="I342" s="662" t="s">
        <v>1164</v>
      </c>
      <c r="J342" s="662" t="s">
        <v>1165</v>
      </c>
      <c r="K342" s="662" t="s">
        <v>1166</v>
      </c>
      <c r="L342" s="664">
        <v>70.179706125286216</v>
      </c>
      <c r="M342" s="664">
        <v>2</v>
      </c>
      <c r="N342" s="665">
        <v>140.35941225057243</v>
      </c>
    </row>
    <row r="343" spans="1:14" ht="14.4" customHeight="1" x14ac:dyDescent="0.3">
      <c r="A343" s="660" t="s">
        <v>552</v>
      </c>
      <c r="B343" s="661" t="s">
        <v>553</v>
      </c>
      <c r="C343" s="662" t="s">
        <v>566</v>
      </c>
      <c r="D343" s="663" t="s">
        <v>1752</v>
      </c>
      <c r="E343" s="662" t="s">
        <v>575</v>
      </c>
      <c r="F343" s="663" t="s">
        <v>1754</v>
      </c>
      <c r="G343" s="662" t="s">
        <v>995</v>
      </c>
      <c r="H343" s="662" t="s">
        <v>1559</v>
      </c>
      <c r="I343" s="662" t="s">
        <v>1559</v>
      </c>
      <c r="J343" s="662" t="s">
        <v>1560</v>
      </c>
      <c r="K343" s="662" t="s">
        <v>1561</v>
      </c>
      <c r="L343" s="664">
        <v>64.860000000000014</v>
      </c>
      <c r="M343" s="664">
        <v>1</v>
      </c>
      <c r="N343" s="665">
        <v>64.860000000000014</v>
      </c>
    </row>
    <row r="344" spans="1:14" ht="14.4" customHeight="1" x14ac:dyDescent="0.3">
      <c r="A344" s="660" t="s">
        <v>552</v>
      </c>
      <c r="B344" s="661" t="s">
        <v>553</v>
      </c>
      <c r="C344" s="662" t="s">
        <v>566</v>
      </c>
      <c r="D344" s="663" t="s">
        <v>1752</v>
      </c>
      <c r="E344" s="662" t="s">
        <v>1177</v>
      </c>
      <c r="F344" s="663" t="s">
        <v>1755</v>
      </c>
      <c r="G344" s="662"/>
      <c r="H344" s="662" t="s">
        <v>1562</v>
      </c>
      <c r="I344" s="662" t="s">
        <v>1563</v>
      </c>
      <c r="J344" s="662" t="s">
        <v>1564</v>
      </c>
      <c r="K344" s="662" t="s">
        <v>1565</v>
      </c>
      <c r="L344" s="664">
        <v>1133.52</v>
      </c>
      <c r="M344" s="664">
        <v>5</v>
      </c>
      <c r="N344" s="665">
        <v>5667.6</v>
      </c>
    </row>
    <row r="345" spans="1:14" ht="14.4" customHeight="1" x14ac:dyDescent="0.3">
      <c r="A345" s="660" t="s">
        <v>552</v>
      </c>
      <c r="B345" s="661" t="s">
        <v>553</v>
      </c>
      <c r="C345" s="662" t="s">
        <v>566</v>
      </c>
      <c r="D345" s="663" t="s">
        <v>1752</v>
      </c>
      <c r="E345" s="662" t="s">
        <v>1177</v>
      </c>
      <c r="F345" s="663" t="s">
        <v>1755</v>
      </c>
      <c r="G345" s="662" t="s">
        <v>582</v>
      </c>
      <c r="H345" s="662" t="s">
        <v>1566</v>
      </c>
      <c r="I345" s="662" t="s">
        <v>1567</v>
      </c>
      <c r="J345" s="662" t="s">
        <v>1568</v>
      </c>
      <c r="K345" s="662" t="s">
        <v>1569</v>
      </c>
      <c r="L345" s="664">
        <v>2719.2000000000003</v>
      </c>
      <c r="M345" s="664">
        <v>11</v>
      </c>
      <c r="N345" s="665">
        <v>29911.200000000001</v>
      </c>
    </row>
    <row r="346" spans="1:14" ht="14.4" customHeight="1" x14ac:dyDescent="0.3">
      <c r="A346" s="660" t="s">
        <v>552</v>
      </c>
      <c r="B346" s="661" t="s">
        <v>553</v>
      </c>
      <c r="C346" s="662" t="s">
        <v>566</v>
      </c>
      <c r="D346" s="663" t="s">
        <v>1752</v>
      </c>
      <c r="E346" s="662" t="s">
        <v>1177</v>
      </c>
      <c r="F346" s="663" t="s">
        <v>1755</v>
      </c>
      <c r="G346" s="662" t="s">
        <v>582</v>
      </c>
      <c r="H346" s="662" t="s">
        <v>1570</v>
      </c>
      <c r="I346" s="662" t="s">
        <v>216</v>
      </c>
      <c r="J346" s="662" t="s">
        <v>1571</v>
      </c>
      <c r="K346" s="662" t="s">
        <v>1572</v>
      </c>
      <c r="L346" s="664">
        <v>211.92</v>
      </c>
      <c r="M346" s="664">
        <v>16</v>
      </c>
      <c r="N346" s="665">
        <v>3390.72</v>
      </c>
    </row>
    <row r="347" spans="1:14" ht="14.4" customHeight="1" x14ac:dyDescent="0.3">
      <c r="A347" s="660" t="s">
        <v>552</v>
      </c>
      <c r="B347" s="661" t="s">
        <v>553</v>
      </c>
      <c r="C347" s="662" t="s">
        <v>566</v>
      </c>
      <c r="D347" s="663" t="s">
        <v>1752</v>
      </c>
      <c r="E347" s="662" t="s">
        <v>1177</v>
      </c>
      <c r="F347" s="663" t="s">
        <v>1755</v>
      </c>
      <c r="G347" s="662" t="s">
        <v>582</v>
      </c>
      <c r="H347" s="662" t="s">
        <v>1573</v>
      </c>
      <c r="I347" s="662" t="s">
        <v>1573</v>
      </c>
      <c r="J347" s="662" t="s">
        <v>1574</v>
      </c>
      <c r="K347" s="662" t="s">
        <v>1575</v>
      </c>
      <c r="L347" s="664">
        <v>3681.0099999999998</v>
      </c>
      <c r="M347" s="664">
        <v>1</v>
      </c>
      <c r="N347" s="665">
        <v>3681.0099999999998</v>
      </c>
    </row>
    <row r="348" spans="1:14" ht="14.4" customHeight="1" x14ac:dyDescent="0.3">
      <c r="A348" s="660" t="s">
        <v>552</v>
      </c>
      <c r="B348" s="661" t="s">
        <v>553</v>
      </c>
      <c r="C348" s="662" t="s">
        <v>566</v>
      </c>
      <c r="D348" s="663" t="s">
        <v>1752</v>
      </c>
      <c r="E348" s="662" t="s">
        <v>1177</v>
      </c>
      <c r="F348" s="663" t="s">
        <v>1755</v>
      </c>
      <c r="G348" s="662" t="s">
        <v>582</v>
      </c>
      <c r="H348" s="662" t="s">
        <v>1576</v>
      </c>
      <c r="I348" s="662" t="s">
        <v>1577</v>
      </c>
      <c r="J348" s="662" t="s">
        <v>1578</v>
      </c>
      <c r="K348" s="662" t="s">
        <v>1575</v>
      </c>
      <c r="L348" s="664">
        <v>1372.61550647382</v>
      </c>
      <c r="M348" s="664">
        <v>7</v>
      </c>
      <c r="N348" s="665">
        <v>9608.3085453167405</v>
      </c>
    </row>
    <row r="349" spans="1:14" ht="14.4" customHeight="1" x14ac:dyDescent="0.3">
      <c r="A349" s="660" t="s">
        <v>552</v>
      </c>
      <c r="B349" s="661" t="s">
        <v>553</v>
      </c>
      <c r="C349" s="662" t="s">
        <v>566</v>
      </c>
      <c r="D349" s="663" t="s">
        <v>1752</v>
      </c>
      <c r="E349" s="662" t="s">
        <v>1177</v>
      </c>
      <c r="F349" s="663" t="s">
        <v>1755</v>
      </c>
      <c r="G349" s="662" t="s">
        <v>582</v>
      </c>
      <c r="H349" s="662" t="s">
        <v>1182</v>
      </c>
      <c r="I349" s="662" t="s">
        <v>216</v>
      </c>
      <c r="J349" s="662" t="s">
        <v>1183</v>
      </c>
      <c r="K349" s="662"/>
      <c r="L349" s="664">
        <v>113.34007585728466</v>
      </c>
      <c r="M349" s="664">
        <v>2</v>
      </c>
      <c r="N349" s="665">
        <v>226.68015171456932</v>
      </c>
    </row>
    <row r="350" spans="1:14" ht="14.4" customHeight="1" x14ac:dyDescent="0.3">
      <c r="A350" s="660" t="s">
        <v>552</v>
      </c>
      <c r="B350" s="661" t="s">
        <v>553</v>
      </c>
      <c r="C350" s="662" t="s">
        <v>566</v>
      </c>
      <c r="D350" s="663" t="s">
        <v>1752</v>
      </c>
      <c r="E350" s="662" t="s">
        <v>1177</v>
      </c>
      <c r="F350" s="663" t="s">
        <v>1755</v>
      </c>
      <c r="G350" s="662" t="s">
        <v>582</v>
      </c>
      <c r="H350" s="662" t="s">
        <v>1579</v>
      </c>
      <c r="I350" s="662" t="s">
        <v>1579</v>
      </c>
      <c r="J350" s="662" t="s">
        <v>1580</v>
      </c>
      <c r="K350" s="662" t="s">
        <v>1581</v>
      </c>
      <c r="L350" s="664">
        <v>3524.84</v>
      </c>
      <c r="M350" s="664">
        <v>5</v>
      </c>
      <c r="N350" s="665">
        <v>17624.2</v>
      </c>
    </row>
    <row r="351" spans="1:14" ht="14.4" customHeight="1" x14ac:dyDescent="0.3">
      <c r="A351" s="660" t="s">
        <v>552</v>
      </c>
      <c r="B351" s="661" t="s">
        <v>553</v>
      </c>
      <c r="C351" s="662" t="s">
        <v>566</v>
      </c>
      <c r="D351" s="663" t="s">
        <v>1752</v>
      </c>
      <c r="E351" s="662" t="s">
        <v>1177</v>
      </c>
      <c r="F351" s="663" t="s">
        <v>1755</v>
      </c>
      <c r="G351" s="662" t="s">
        <v>995</v>
      </c>
      <c r="H351" s="662" t="s">
        <v>1188</v>
      </c>
      <c r="I351" s="662" t="s">
        <v>1189</v>
      </c>
      <c r="J351" s="662" t="s">
        <v>1190</v>
      </c>
      <c r="K351" s="662" t="s">
        <v>1191</v>
      </c>
      <c r="L351" s="664">
        <v>202.85999771310955</v>
      </c>
      <c r="M351" s="664">
        <v>1</v>
      </c>
      <c r="N351" s="665">
        <v>202.85999771310955</v>
      </c>
    </row>
    <row r="352" spans="1:14" ht="14.4" customHeight="1" x14ac:dyDescent="0.3">
      <c r="A352" s="660" t="s">
        <v>552</v>
      </c>
      <c r="B352" s="661" t="s">
        <v>553</v>
      </c>
      <c r="C352" s="662" t="s">
        <v>566</v>
      </c>
      <c r="D352" s="663" t="s">
        <v>1752</v>
      </c>
      <c r="E352" s="662" t="s">
        <v>1177</v>
      </c>
      <c r="F352" s="663" t="s">
        <v>1755</v>
      </c>
      <c r="G352" s="662" t="s">
        <v>995</v>
      </c>
      <c r="H352" s="662" t="s">
        <v>1582</v>
      </c>
      <c r="I352" s="662" t="s">
        <v>1583</v>
      </c>
      <c r="J352" s="662" t="s">
        <v>1584</v>
      </c>
      <c r="K352" s="662" t="s">
        <v>1198</v>
      </c>
      <c r="L352" s="664">
        <v>33.57</v>
      </c>
      <c r="M352" s="664">
        <v>4</v>
      </c>
      <c r="N352" s="665">
        <v>134.28</v>
      </c>
    </row>
    <row r="353" spans="1:14" ht="14.4" customHeight="1" x14ac:dyDescent="0.3">
      <c r="A353" s="660" t="s">
        <v>552</v>
      </c>
      <c r="B353" s="661" t="s">
        <v>553</v>
      </c>
      <c r="C353" s="662" t="s">
        <v>566</v>
      </c>
      <c r="D353" s="663" t="s">
        <v>1752</v>
      </c>
      <c r="E353" s="662" t="s">
        <v>1177</v>
      </c>
      <c r="F353" s="663" t="s">
        <v>1755</v>
      </c>
      <c r="G353" s="662" t="s">
        <v>995</v>
      </c>
      <c r="H353" s="662" t="s">
        <v>1585</v>
      </c>
      <c r="I353" s="662" t="s">
        <v>1586</v>
      </c>
      <c r="J353" s="662" t="s">
        <v>1587</v>
      </c>
      <c r="K353" s="662" t="s">
        <v>1198</v>
      </c>
      <c r="L353" s="664">
        <v>33.569955813668209</v>
      </c>
      <c r="M353" s="664">
        <v>4</v>
      </c>
      <c r="N353" s="665">
        <v>134.27982325467283</v>
      </c>
    </row>
    <row r="354" spans="1:14" ht="14.4" customHeight="1" x14ac:dyDescent="0.3">
      <c r="A354" s="660" t="s">
        <v>552</v>
      </c>
      <c r="B354" s="661" t="s">
        <v>553</v>
      </c>
      <c r="C354" s="662" t="s">
        <v>566</v>
      </c>
      <c r="D354" s="663" t="s">
        <v>1752</v>
      </c>
      <c r="E354" s="662" t="s">
        <v>1177</v>
      </c>
      <c r="F354" s="663" t="s">
        <v>1755</v>
      </c>
      <c r="G354" s="662" t="s">
        <v>995</v>
      </c>
      <c r="H354" s="662" t="s">
        <v>1588</v>
      </c>
      <c r="I354" s="662" t="s">
        <v>1588</v>
      </c>
      <c r="J354" s="662" t="s">
        <v>1589</v>
      </c>
      <c r="K354" s="662" t="s">
        <v>1590</v>
      </c>
      <c r="L354" s="664">
        <v>424.31400008704048</v>
      </c>
      <c r="M354" s="664">
        <v>15</v>
      </c>
      <c r="N354" s="665">
        <v>6364.710001305607</v>
      </c>
    </row>
    <row r="355" spans="1:14" ht="14.4" customHeight="1" x14ac:dyDescent="0.3">
      <c r="A355" s="660" t="s">
        <v>552</v>
      </c>
      <c r="B355" s="661" t="s">
        <v>553</v>
      </c>
      <c r="C355" s="662" t="s">
        <v>566</v>
      </c>
      <c r="D355" s="663" t="s">
        <v>1752</v>
      </c>
      <c r="E355" s="662" t="s">
        <v>1177</v>
      </c>
      <c r="F355" s="663" t="s">
        <v>1755</v>
      </c>
      <c r="G355" s="662" t="s">
        <v>995</v>
      </c>
      <c r="H355" s="662" t="s">
        <v>1192</v>
      </c>
      <c r="I355" s="662" t="s">
        <v>1192</v>
      </c>
      <c r="J355" s="662" t="s">
        <v>1193</v>
      </c>
      <c r="K355" s="662" t="s">
        <v>1194</v>
      </c>
      <c r="L355" s="664">
        <v>116.25</v>
      </c>
      <c r="M355" s="664">
        <v>1</v>
      </c>
      <c r="N355" s="665">
        <v>116.25</v>
      </c>
    </row>
    <row r="356" spans="1:14" ht="14.4" customHeight="1" x14ac:dyDescent="0.3">
      <c r="A356" s="660" t="s">
        <v>552</v>
      </c>
      <c r="B356" s="661" t="s">
        <v>553</v>
      </c>
      <c r="C356" s="662" t="s">
        <v>566</v>
      </c>
      <c r="D356" s="663" t="s">
        <v>1752</v>
      </c>
      <c r="E356" s="662" t="s">
        <v>1177</v>
      </c>
      <c r="F356" s="663" t="s">
        <v>1755</v>
      </c>
      <c r="G356" s="662" t="s">
        <v>995</v>
      </c>
      <c r="H356" s="662" t="s">
        <v>1591</v>
      </c>
      <c r="I356" s="662" t="s">
        <v>1592</v>
      </c>
      <c r="J356" s="662" t="s">
        <v>1593</v>
      </c>
      <c r="K356" s="662" t="s">
        <v>1594</v>
      </c>
      <c r="L356" s="664">
        <v>116.25</v>
      </c>
      <c r="M356" s="664">
        <v>1</v>
      </c>
      <c r="N356" s="665">
        <v>116.25</v>
      </c>
    </row>
    <row r="357" spans="1:14" ht="14.4" customHeight="1" x14ac:dyDescent="0.3">
      <c r="A357" s="660" t="s">
        <v>552</v>
      </c>
      <c r="B357" s="661" t="s">
        <v>553</v>
      </c>
      <c r="C357" s="662" t="s">
        <v>566</v>
      </c>
      <c r="D357" s="663" t="s">
        <v>1752</v>
      </c>
      <c r="E357" s="662" t="s">
        <v>1205</v>
      </c>
      <c r="F357" s="663" t="s">
        <v>1756</v>
      </c>
      <c r="G357" s="662"/>
      <c r="H357" s="662" t="s">
        <v>1595</v>
      </c>
      <c r="I357" s="662" t="s">
        <v>1596</v>
      </c>
      <c r="J357" s="662" t="s">
        <v>1597</v>
      </c>
      <c r="K357" s="662" t="s">
        <v>1598</v>
      </c>
      <c r="L357" s="664">
        <v>431.70599999999996</v>
      </c>
      <c r="M357" s="664">
        <v>1.5</v>
      </c>
      <c r="N357" s="665">
        <v>647.55899999999997</v>
      </c>
    </row>
    <row r="358" spans="1:14" ht="14.4" customHeight="1" x14ac:dyDescent="0.3">
      <c r="A358" s="660" t="s">
        <v>552</v>
      </c>
      <c r="B358" s="661" t="s">
        <v>553</v>
      </c>
      <c r="C358" s="662" t="s">
        <v>566</v>
      </c>
      <c r="D358" s="663" t="s">
        <v>1752</v>
      </c>
      <c r="E358" s="662" t="s">
        <v>1205</v>
      </c>
      <c r="F358" s="663" t="s">
        <v>1756</v>
      </c>
      <c r="G358" s="662"/>
      <c r="H358" s="662" t="s">
        <v>1206</v>
      </c>
      <c r="I358" s="662" t="s">
        <v>1207</v>
      </c>
      <c r="J358" s="662" t="s">
        <v>1208</v>
      </c>
      <c r="K358" s="662" t="s">
        <v>1209</v>
      </c>
      <c r="L358" s="664">
        <v>72.207583778261153</v>
      </c>
      <c r="M358" s="664">
        <v>26</v>
      </c>
      <c r="N358" s="665">
        <v>1877.3971782347899</v>
      </c>
    </row>
    <row r="359" spans="1:14" ht="14.4" customHeight="1" x14ac:dyDescent="0.3">
      <c r="A359" s="660" t="s">
        <v>552</v>
      </c>
      <c r="B359" s="661" t="s">
        <v>553</v>
      </c>
      <c r="C359" s="662" t="s">
        <v>566</v>
      </c>
      <c r="D359" s="663" t="s">
        <v>1752</v>
      </c>
      <c r="E359" s="662" t="s">
        <v>1205</v>
      </c>
      <c r="F359" s="663" t="s">
        <v>1756</v>
      </c>
      <c r="G359" s="662"/>
      <c r="H359" s="662" t="s">
        <v>1599</v>
      </c>
      <c r="I359" s="662" t="s">
        <v>1600</v>
      </c>
      <c r="J359" s="662" t="s">
        <v>1601</v>
      </c>
      <c r="K359" s="662" t="s">
        <v>1602</v>
      </c>
      <c r="L359" s="664">
        <v>1528.0710466820738</v>
      </c>
      <c r="M359" s="664">
        <v>2</v>
      </c>
      <c r="N359" s="665">
        <v>3056.1420933641475</v>
      </c>
    </row>
    <row r="360" spans="1:14" ht="14.4" customHeight="1" x14ac:dyDescent="0.3">
      <c r="A360" s="660" t="s">
        <v>552</v>
      </c>
      <c r="B360" s="661" t="s">
        <v>553</v>
      </c>
      <c r="C360" s="662" t="s">
        <v>566</v>
      </c>
      <c r="D360" s="663" t="s">
        <v>1752</v>
      </c>
      <c r="E360" s="662" t="s">
        <v>1205</v>
      </c>
      <c r="F360" s="663" t="s">
        <v>1756</v>
      </c>
      <c r="G360" s="662"/>
      <c r="H360" s="662" t="s">
        <v>1603</v>
      </c>
      <c r="I360" s="662" t="s">
        <v>1603</v>
      </c>
      <c r="J360" s="662" t="s">
        <v>1604</v>
      </c>
      <c r="K360" s="662" t="s">
        <v>1605</v>
      </c>
      <c r="L360" s="664">
        <v>1771</v>
      </c>
      <c r="M360" s="664">
        <v>1</v>
      </c>
      <c r="N360" s="665">
        <v>1771</v>
      </c>
    </row>
    <row r="361" spans="1:14" ht="14.4" customHeight="1" x14ac:dyDescent="0.3">
      <c r="A361" s="660" t="s">
        <v>552</v>
      </c>
      <c r="B361" s="661" t="s">
        <v>553</v>
      </c>
      <c r="C361" s="662" t="s">
        <v>566</v>
      </c>
      <c r="D361" s="663" t="s">
        <v>1752</v>
      </c>
      <c r="E361" s="662" t="s">
        <v>1205</v>
      </c>
      <c r="F361" s="663" t="s">
        <v>1756</v>
      </c>
      <c r="G361" s="662" t="s">
        <v>582</v>
      </c>
      <c r="H361" s="662" t="s">
        <v>1606</v>
      </c>
      <c r="I361" s="662" t="s">
        <v>1607</v>
      </c>
      <c r="J361" s="662" t="s">
        <v>1228</v>
      </c>
      <c r="K361" s="662" t="s">
        <v>1217</v>
      </c>
      <c r="L361" s="664">
        <v>53.8</v>
      </c>
      <c r="M361" s="664">
        <v>1</v>
      </c>
      <c r="N361" s="665">
        <v>53.8</v>
      </c>
    </row>
    <row r="362" spans="1:14" ht="14.4" customHeight="1" x14ac:dyDescent="0.3">
      <c r="A362" s="660" t="s">
        <v>552</v>
      </c>
      <c r="B362" s="661" t="s">
        <v>553</v>
      </c>
      <c r="C362" s="662" t="s">
        <v>566</v>
      </c>
      <c r="D362" s="663" t="s">
        <v>1752</v>
      </c>
      <c r="E362" s="662" t="s">
        <v>1205</v>
      </c>
      <c r="F362" s="663" t="s">
        <v>1756</v>
      </c>
      <c r="G362" s="662" t="s">
        <v>582</v>
      </c>
      <c r="H362" s="662" t="s">
        <v>1608</v>
      </c>
      <c r="I362" s="662" t="s">
        <v>1609</v>
      </c>
      <c r="J362" s="662" t="s">
        <v>1610</v>
      </c>
      <c r="K362" s="662" t="s">
        <v>1611</v>
      </c>
      <c r="L362" s="664">
        <v>148.63618254658547</v>
      </c>
      <c r="M362" s="664">
        <v>3</v>
      </c>
      <c r="N362" s="665">
        <v>445.90854763975642</v>
      </c>
    </row>
    <row r="363" spans="1:14" ht="14.4" customHeight="1" x14ac:dyDescent="0.3">
      <c r="A363" s="660" t="s">
        <v>552</v>
      </c>
      <c r="B363" s="661" t="s">
        <v>553</v>
      </c>
      <c r="C363" s="662" t="s">
        <v>566</v>
      </c>
      <c r="D363" s="663" t="s">
        <v>1752</v>
      </c>
      <c r="E363" s="662" t="s">
        <v>1205</v>
      </c>
      <c r="F363" s="663" t="s">
        <v>1756</v>
      </c>
      <c r="G363" s="662" t="s">
        <v>582</v>
      </c>
      <c r="H363" s="662" t="s">
        <v>1612</v>
      </c>
      <c r="I363" s="662" t="s">
        <v>1613</v>
      </c>
      <c r="J363" s="662" t="s">
        <v>1231</v>
      </c>
      <c r="K363" s="662" t="s">
        <v>1232</v>
      </c>
      <c r="L363" s="664">
        <v>517.50006943981521</v>
      </c>
      <c r="M363" s="664">
        <v>1.2</v>
      </c>
      <c r="N363" s="665">
        <v>621.00008332777816</v>
      </c>
    </row>
    <row r="364" spans="1:14" ht="14.4" customHeight="1" x14ac:dyDescent="0.3">
      <c r="A364" s="660" t="s">
        <v>552</v>
      </c>
      <c r="B364" s="661" t="s">
        <v>553</v>
      </c>
      <c r="C364" s="662" t="s">
        <v>566</v>
      </c>
      <c r="D364" s="663" t="s">
        <v>1752</v>
      </c>
      <c r="E364" s="662" t="s">
        <v>1205</v>
      </c>
      <c r="F364" s="663" t="s">
        <v>1756</v>
      </c>
      <c r="G364" s="662" t="s">
        <v>582</v>
      </c>
      <c r="H364" s="662" t="s">
        <v>1614</v>
      </c>
      <c r="I364" s="662" t="s">
        <v>1615</v>
      </c>
      <c r="J364" s="662" t="s">
        <v>1616</v>
      </c>
      <c r="K364" s="662" t="s">
        <v>1617</v>
      </c>
      <c r="L364" s="664">
        <v>12522.480000000001</v>
      </c>
      <c r="M364" s="664">
        <v>2.6</v>
      </c>
      <c r="N364" s="665">
        <v>32558.448000000004</v>
      </c>
    </row>
    <row r="365" spans="1:14" ht="14.4" customHeight="1" x14ac:dyDescent="0.3">
      <c r="A365" s="660" t="s">
        <v>552</v>
      </c>
      <c r="B365" s="661" t="s">
        <v>553</v>
      </c>
      <c r="C365" s="662" t="s">
        <v>566</v>
      </c>
      <c r="D365" s="663" t="s">
        <v>1752</v>
      </c>
      <c r="E365" s="662" t="s">
        <v>1205</v>
      </c>
      <c r="F365" s="663" t="s">
        <v>1756</v>
      </c>
      <c r="G365" s="662" t="s">
        <v>582</v>
      </c>
      <c r="H365" s="662" t="s">
        <v>1230</v>
      </c>
      <c r="I365" s="662" t="s">
        <v>1230</v>
      </c>
      <c r="J365" s="662" t="s">
        <v>1231</v>
      </c>
      <c r="K365" s="662" t="s">
        <v>1232</v>
      </c>
      <c r="L365" s="664">
        <v>324.7035469922597</v>
      </c>
      <c r="M365" s="664">
        <v>5.3999999999999995</v>
      </c>
      <c r="N365" s="665">
        <v>1753.3991537582021</v>
      </c>
    </row>
    <row r="366" spans="1:14" ht="14.4" customHeight="1" x14ac:dyDescent="0.3">
      <c r="A366" s="660" t="s">
        <v>552</v>
      </c>
      <c r="B366" s="661" t="s">
        <v>553</v>
      </c>
      <c r="C366" s="662" t="s">
        <v>566</v>
      </c>
      <c r="D366" s="663" t="s">
        <v>1752</v>
      </c>
      <c r="E366" s="662" t="s">
        <v>1205</v>
      </c>
      <c r="F366" s="663" t="s">
        <v>1756</v>
      </c>
      <c r="G366" s="662" t="s">
        <v>995</v>
      </c>
      <c r="H366" s="662" t="s">
        <v>1237</v>
      </c>
      <c r="I366" s="662" t="s">
        <v>1238</v>
      </c>
      <c r="J366" s="662" t="s">
        <v>1220</v>
      </c>
      <c r="K366" s="662" t="s">
        <v>1239</v>
      </c>
      <c r="L366" s="664">
        <v>24.224830178439984</v>
      </c>
      <c r="M366" s="664">
        <v>158</v>
      </c>
      <c r="N366" s="665">
        <v>3827.5231681935174</v>
      </c>
    </row>
    <row r="367" spans="1:14" ht="14.4" customHeight="1" x14ac:dyDescent="0.3">
      <c r="A367" s="660" t="s">
        <v>552</v>
      </c>
      <c r="B367" s="661" t="s">
        <v>553</v>
      </c>
      <c r="C367" s="662" t="s">
        <v>566</v>
      </c>
      <c r="D367" s="663" t="s">
        <v>1752</v>
      </c>
      <c r="E367" s="662" t="s">
        <v>1205</v>
      </c>
      <c r="F367" s="663" t="s">
        <v>1756</v>
      </c>
      <c r="G367" s="662" t="s">
        <v>995</v>
      </c>
      <c r="H367" s="662" t="s">
        <v>1618</v>
      </c>
      <c r="I367" s="662" t="s">
        <v>1619</v>
      </c>
      <c r="J367" s="662" t="s">
        <v>1620</v>
      </c>
      <c r="K367" s="662" t="s">
        <v>1621</v>
      </c>
      <c r="L367" s="664">
        <v>598.83999999999992</v>
      </c>
      <c r="M367" s="664">
        <v>1.2000000000000002</v>
      </c>
      <c r="N367" s="665">
        <v>718.60800000000006</v>
      </c>
    </row>
    <row r="368" spans="1:14" ht="14.4" customHeight="1" x14ac:dyDescent="0.3">
      <c r="A368" s="660" t="s">
        <v>552</v>
      </c>
      <c r="B368" s="661" t="s">
        <v>553</v>
      </c>
      <c r="C368" s="662" t="s">
        <v>566</v>
      </c>
      <c r="D368" s="663" t="s">
        <v>1752</v>
      </c>
      <c r="E368" s="662" t="s">
        <v>1205</v>
      </c>
      <c r="F368" s="663" t="s">
        <v>1756</v>
      </c>
      <c r="G368" s="662" t="s">
        <v>995</v>
      </c>
      <c r="H368" s="662" t="s">
        <v>1240</v>
      </c>
      <c r="I368" s="662" t="s">
        <v>1241</v>
      </c>
      <c r="J368" s="662" t="s">
        <v>1242</v>
      </c>
      <c r="K368" s="662" t="s">
        <v>1243</v>
      </c>
      <c r="L368" s="664">
        <v>150.00697963679769</v>
      </c>
      <c r="M368" s="664">
        <v>7.1999999999999984</v>
      </c>
      <c r="N368" s="665">
        <v>1080.0502533849431</v>
      </c>
    </row>
    <row r="369" spans="1:14" ht="14.4" customHeight="1" x14ac:dyDescent="0.3">
      <c r="A369" s="660" t="s">
        <v>552</v>
      </c>
      <c r="B369" s="661" t="s">
        <v>553</v>
      </c>
      <c r="C369" s="662" t="s">
        <v>566</v>
      </c>
      <c r="D369" s="663" t="s">
        <v>1752</v>
      </c>
      <c r="E369" s="662" t="s">
        <v>1205</v>
      </c>
      <c r="F369" s="663" t="s">
        <v>1756</v>
      </c>
      <c r="G369" s="662" t="s">
        <v>995</v>
      </c>
      <c r="H369" s="662" t="s">
        <v>1622</v>
      </c>
      <c r="I369" s="662" t="s">
        <v>1623</v>
      </c>
      <c r="J369" s="662" t="s">
        <v>1624</v>
      </c>
      <c r="K369" s="662" t="s">
        <v>1625</v>
      </c>
      <c r="L369" s="664">
        <v>250.71000000000004</v>
      </c>
      <c r="M369" s="664">
        <v>2</v>
      </c>
      <c r="N369" s="665">
        <v>501.42000000000007</v>
      </c>
    </row>
    <row r="370" spans="1:14" ht="14.4" customHeight="1" x14ac:dyDescent="0.3">
      <c r="A370" s="660" t="s">
        <v>552</v>
      </c>
      <c r="B370" s="661" t="s">
        <v>553</v>
      </c>
      <c r="C370" s="662" t="s">
        <v>566</v>
      </c>
      <c r="D370" s="663" t="s">
        <v>1752</v>
      </c>
      <c r="E370" s="662" t="s">
        <v>1205</v>
      </c>
      <c r="F370" s="663" t="s">
        <v>1756</v>
      </c>
      <c r="G370" s="662" t="s">
        <v>995</v>
      </c>
      <c r="H370" s="662" t="s">
        <v>1244</v>
      </c>
      <c r="I370" s="662" t="s">
        <v>1245</v>
      </c>
      <c r="J370" s="662" t="s">
        <v>1246</v>
      </c>
      <c r="K370" s="662" t="s">
        <v>1247</v>
      </c>
      <c r="L370" s="664">
        <v>77.602634623657764</v>
      </c>
      <c r="M370" s="664">
        <v>19</v>
      </c>
      <c r="N370" s="665">
        <v>1474.4500578494974</v>
      </c>
    </row>
    <row r="371" spans="1:14" ht="14.4" customHeight="1" x14ac:dyDescent="0.3">
      <c r="A371" s="660" t="s">
        <v>552</v>
      </c>
      <c r="B371" s="661" t="s">
        <v>553</v>
      </c>
      <c r="C371" s="662" t="s">
        <v>566</v>
      </c>
      <c r="D371" s="663" t="s">
        <v>1752</v>
      </c>
      <c r="E371" s="662" t="s">
        <v>1205</v>
      </c>
      <c r="F371" s="663" t="s">
        <v>1756</v>
      </c>
      <c r="G371" s="662" t="s">
        <v>995</v>
      </c>
      <c r="H371" s="662" t="s">
        <v>1626</v>
      </c>
      <c r="I371" s="662" t="s">
        <v>1627</v>
      </c>
      <c r="J371" s="662" t="s">
        <v>1628</v>
      </c>
      <c r="K371" s="662" t="s">
        <v>1209</v>
      </c>
      <c r="L371" s="664">
        <v>46.666000000000004</v>
      </c>
      <c r="M371" s="664">
        <v>12</v>
      </c>
      <c r="N371" s="665">
        <v>559.99200000000008</v>
      </c>
    </row>
    <row r="372" spans="1:14" ht="14.4" customHeight="1" x14ac:dyDescent="0.3">
      <c r="A372" s="660" t="s">
        <v>552</v>
      </c>
      <c r="B372" s="661" t="s">
        <v>553</v>
      </c>
      <c r="C372" s="662" t="s">
        <v>566</v>
      </c>
      <c r="D372" s="663" t="s">
        <v>1752</v>
      </c>
      <c r="E372" s="662" t="s">
        <v>1205</v>
      </c>
      <c r="F372" s="663" t="s">
        <v>1756</v>
      </c>
      <c r="G372" s="662" t="s">
        <v>995</v>
      </c>
      <c r="H372" s="662" t="s">
        <v>1629</v>
      </c>
      <c r="I372" s="662" t="s">
        <v>1630</v>
      </c>
      <c r="J372" s="662" t="s">
        <v>1631</v>
      </c>
      <c r="K372" s="662" t="s">
        <v>1632</v>
      </c>
      <c r="L372" s="664">
        <v>60.02999999999998</v>
      </c>
      <c r="M372" s="664">
        <v>1</v>
      </c>
      <c r="N372" s="665">
        <v>60.02999999999998</v>
      </c>
    </row>
    <row r="373" spans="1:14" ht="14.4" customHeight="1" x14ac:dyDescent="0.3">
      <c r="A373" s="660" t="s">
        <v>552</v>
      </c>
      <c r="B373" s="661" t="s">
        <v>553</v>
      </c>
      <c r="C373" s="662" t="s">
        <v>566</v>
      </c>
      <c r="D373" s="663" t="s">
        <v>1752</v>
      </c>
      <c r="E373" s="662" t="s">
        <v>1205</v>
      </c>
      <c r="F373" s="663" t="s">
        <v>1756</v>
      </c>
      <c r="G373" s="662" t="s">
        <v>995</v>
      </c>
      <c r="H373" s="662" t="s">
        <v>1633</v>
      </c>
      <c r="I373" s="662" t="s">
        <v>1633</v>
      </c>
      <c r="J373" s="662" t="s">
        <v>1634</v>
      </c>
      <c r="K373" s="662" t="s">
        <v>1635</v>
      </c>
      <c r="L373" s="664">
        <v>937.96844447185288</v>
      </c>
      <c r="M373" s="664">
        <v>3</v>
      </c>
      <c r="N373" s="665">
        <v>2813.9053334155587</v>
      </c>
    </row>
    <row r="374" spans="1:14" ht="14.4" customHeight="1" x14ac:dyDescent="0.3">
      <c r="A374" s="660" t="s">
        <v>552</v>
      </c>
      <c r="B374" s="661" t="s">
        <v>553</v>
      </c>
      <c r="C374" s="662" t="s">
        <v>566</v>
      </c>
      <c r="D374" s="663" t="s">
        <v>1752</v>
      </c>
      <c r="E374" s="662" t="s">
        <v>1205</v>
      </c>
      <c r="F374" s="663" t="s">
        <v>1756</v>
      </c>
      <c r="G374" s="662" t="s">
        <v>995</v>
      </c>
      <c r="H374" s="662" t="s">
        <v>1636</v>
      </c>
      <c r="I374" s="662" t="s">
        <v>1636</v>
      </c>
      <c r="J374" s="662" t="s">
        <v>1637</v>
      </c>
      <c r="K374" s="662" t="s">
        <v>1638</v>
      </c>
      <c r="L374" s="664">
        <v>462</v>
      </c>
      <c r="M374" s="664">
        <v>0.9</v>
      </c>
      <c r="N374" s="665">
        <v>415.8</v>
      </c>
    </row>
    <row r="375" spans="1:14" ht="14.4" customHeight="1" x14ac:dyDescent="0.3">
      <c r="A375" s="660" t="s">
        <v>552</v>
      </c>
      <c r="B375" s="661" t="s">
        <v>553</v>
      </c>
      <c r="C375" s="662" t="s">
        <v>566</v>
      </c>
      <c r="D375" s="663" t="s">
        <v>1752</v>
      </c>
      <c r="E375" s="662" t="s">
        <v>1205</v>
      </c>
      <c r="F375" s="663" t="s">
        <v>1756</v>
      </c>
      <c r="G375" s="662" t="s">
        <v>995</v>
      </c>
      <c r="H375" s="662" t="s">
        <v>1639</v>
      </c>
      <c r="I375" s="662" t="s">
        <v>1639</v>
      </c>
      <c r="J375" s="662" t="s">
        <v>1640</v>
      </c>
      <c r="K375" s="662" t="s">
        <v>1641</v>
      </c>
      <c r="L375" s="664">
        <v>2530</v>
      </c>
      <c r="M375" s="664">
        <v>3.6</v>
      </c>
      <c r="N375" s="665">
        <v>9108</v>
      </c>
    </row>
    <row r="376" spans="1:14" ht="14.4" customHeight="1" x14ac:dyDescent="0.3">
      <c r="A376" s="660" t="s">
        <v>552</v>
      </c>
      <c r="B376" s="661" t="s">
        <v>553</v>
      </c>
      <c r="C376" s="662" t="s">
        <v>566</v>
      </c>
      <c r="D376" s="663" t="s">
        <v>1752</v>
      </c>
      <c r="E376" s="662" t="s">
        <v>1205</v>
      </c>
      <c r="F376" s="663" t="s">
        <v>1756</v>
      </c>
      <c r="G376" s="662" t="s">
        <v>995</v>
      </c>
      <c r="H376" s="662" t="s">
        <v>1642</v>
      </c>
      <c r="I376" s="662" t="s">
        <v>1642</v>
      </c>
      <c r="J376" s="662" t="s">
        <v>1643</v>
      </c>
      <c r="K376" s="662" t="s">
        <v>1257</v>
      </c>
      <c r="L376" s="664">
        <v>142.32985576923076</v>
      </c>
      <c r="M376" s="664">
        <v>32</v>
      </c>
      <c r="N376" s="665">
        <v>4554.5553846153844</v>
      </c>
    </row>
    <row r="377" spans="1:14" ht="14.4" customHeight="1" x14ac:dyDescent="0.3">
      <c r="A377" s="660" t="s">
        <v>552</v>
      </c>
      <c r="B377" s="661" t="s">
        <v>553</v>
      </c>
      <c r="C377" s="662" t="s">
        <v>566</v>
      </c>
      <c r="D377" s="663" t="s">
        <v>1752</v>
      </c>
      <c r="E377" s="662" t="s">
        <v>1205</v>
      </c>
      <c r="F377" s="663" t="s">
        <v>1756</v>
      </c>
      <c r="G377" s="662" t="s">
        <v>995</v>
      </c>
      <c r="H377" s="662" t="s">
        <v>1252</v>
      </c>
      <c r="I377" s="662" t="s">
        <v>1252</v>
      </c>
      <c r="J377" s="662" t="s">
        <v>1253</v>
      </c>
      <c r="K377" s="662" t="s">
        <v>1254</v>
      </c>
      <c r="L377" s="664">
        <v>241.83875</v>
      </c>
      <c r="M377" s="664">
        <v>1.6</v>
      </c>
      <c r="N377" s="665">
        <v>386.94200000000001</v>
      </c>
    </row>
    <row r="378" spans="1:14" ht="14.4" customHeight="1" x14ac:dyDescent="0.3">
      <c r="A378" s="660" t="s">
        <v>552</v>
      </c>
      <c r="B378" s="661" t="s">
        <v>553</v>
      </c>
      <c r="C378" s="662" t="s">
        <v>566</v>
      </c>
      <c r="D378" s="663" t="s">
        <v>1752</v>
      </c>
      <c r="E378" s="662" t="s">
        <v>1644</v>
      </c>
      <c r="F378" s="663" t="s">
        <v>1757</v>
      </c>
      <c r="G378" s="662"/>
      <c r="H378" s="662" t="s">
        <v>1645</v>
      </c>
      <c r="I378" s="662" t="s">
        <v>1646</v>
      </c>
      <c r="J378" s="662" t="s">
        <v>1647</v>
      </c>
      <c r="K378" s="662"/>
      <c r="L378" s="664">
        <v>30.220000000000002</v>
      </c>
      <c r="M378" s="664">
        <v>18</v>
      </c>
      <c r="N378" s="665">
        <v>543.96</v>
      </c>
    </row>
    <row r="379" spans="1:14" ht="14.4" customHeight="1" x14ac:dyDescent="0.3">
      <c r="A379" s="660" t="s">
        <v>552</v>
      </c>
      <c r="B379" s="661" t="s">
        <v>553</v>
      </c>
      <c r="C379" s="662" t="s">
        <v>566</v>
      </c>
      <c r="D379" s="663" t="s">
        <v>1752</v>
      </c>
      <c r="E379" s="662" t="s">
        <v>1644</v>
      </c>
      <c r="F379" s="663" t="s">
        <v>1757</v>
      </c>
      <c r="G379" s="662" t="s">
        <v>582</v>
      </c>
      <c r="H379" s="662" t="s">
        <v>1648</v>
      </c>
      <c r="I379" s="662" t="s">
        <v>1649</v>
      </c>
      <c r="J379" s="662" t="s">
        <v>1650</v>
      </c>
      <c r="K379" s="662" t="s">
        <v>1651</v>
      </c>
      <c r="L379" s="664">
        <v>99.209724080389648</v>
      </c>
      <c r="M379" s="664">
        <v>2</v>
      </c>
      <c r="N379" s="665">
        <v>198.4194481607793</v>
      </c>
    </row>
    <row r="380" spans="1:14" ht="14.4" customHeight="1" x14ac:dyDescent="0.3">
      <c r="A380" s="660" t="s">
        <v>552</v>
      </c>
      <c r="B380" s="661" t="s">
        <v>553</v>
      </c>
      <c r="C380" s="662" t="s">
        <v>566</v>
      </c>
      <c r="D380" s="663" t="s">
        <v>1752</v>
      </c>
      <c r="E380" s="662" t="s">
        <v>1644</v>
      </c>
      <c r="F380" s="663" t="s">
        <v>1757</v>
      </c>
      <c r="G380" s="662" t="s">
        <v>582</v>
      </c>
      <c r="H380" s="662" t="s">
        <v>1652</v>
      </c>
      <c r="I380" s="662" t="s">
        <v>1653</v>
      </c>
      <c r="J380" s="662" t="s">
        <v>1654</v>
      </c>
      <c r="K380" s="662" t="s">
        <v>1655</v>
      </c>
      <c r="L380" s="664">
        <v>1834.9100000000008</v>
      </c>
      <c r="M380" s="664">
        <v>1</v>
      </c>
      <c r="N380" s="665">
        <v>1834.9100000000008</v>
      </c>
    </row>
    <row r="381" spans="1:14" ht="14.4" customHeight="1" x14ac:dyDescent="0.3">
      <c r="A381" s="660" t="s">
        <v>552</v>
      </c>
      <c r="B381" s="661" t="s">
        <v>553</v>
      </c>
      <c r="C381" s="662" t="s">
        <v>566</v>
      </c>
      <c r="D381" s="663" t="s">
        <v>1752</v>
      </c>
      <c r="E381" s="662" t="s">
        <v>1644</v>
      </c>
      <c r="F381" s="663" t="s">
        <v>1757</v>
      </c>
      <c r="G381" s="662" t="s">
        <v>995</v>
      </c>
      <c r="H381" s="662" t="s">
        <v>1656</v>
      </c>
      <c r="I381" s="662" t="s">
        <v>1656</v>
      </c>
      <c r="J381" s="662" t="s">
        <v>1657</v>
      </c>
      <c r="K381" s="662" t="s">
        <v>1658</v>
      </c>
      <c r="L381" s="664">
        <v>159.5</v>
      </c>
      <c r="M381" s="664">
        <v>1</v>
      </c>
      <c r="N381" s="665">
        <v>159.5</v>
      </c>
    </row>
    <row r="382" spans="1:14" ht="14.4" customHeight="1" x14ac:dyDescent="0.3">
      <c r="A382" s="660" t="s">
        <v>552</v>
      </c>
      <c r="B382" s="661" t="s">
        <v>553</v>
      </c>
      <c r="C382" s="662" t="s">
        <v>566</v>
      </c>
      <c r="D382" s="663" t="s">
        <v>1752</v>
      </c>
      <c r="E382" s="662" t="s">
        <v>1659</v>
      </c>
      <c r="F382" s="663" t="s">
        <v>1758</v>
      </c>
      <c r="G382" s="662"/>
      <c r="H382" s="662"/>
      <c r="I382" s="662" t="s">
        <v>1660</v>
      </c>
      <c r="J382" s="662" t="s">
        <v>1661</v>
      </c>
      <c r="K382" s="662"/>
      <c r="L382" s="664">
        <v>1363.8328571428569</v>
      </c>
      <c r="M382" s="664">
        <v>35</v>
      </c>
      <c r="N382" s="665">
        <v>47734.149999999994</v>
      </c>
    </row>
    <row r="383" spans="1:14" ht="14.4" customHeight="1" x14ac:dyDescent="0.3">
      <c r="A383" s="660" t="s">
        <v>552</v>
      </c>
      <c r="B383" s="661" t="s">
        <v>553</v>
      </c>
      <c r="C383" s="662" t="s">
        <v>566</v>
      </c>
      <c r="D383" s="663" t="s">
        <v>1752</v>
      </c>
      <c r="E383" s="662" t="s">
        <v>1659</v>
      </c>
      <c r="F383" s="663" t="s">
        <v>1758</v>
      </c>
      <c r="G383" s="662"/>
      <c r="H383" s="662"/>
      <c r="I383" s="662" t="s">
        <v>1662</v>
      </c>
      <c r="J383" s="662" t="s">
        <v>1663</v>
      </c>
      <c r="K383" s="662"/>
      <c r="L383" s="664">
        <v>2242.5</v>
      </c>
      <c r="M383" s="664">
        <v>4</v>
      </c>
      <c r="N383" s="665">
        <v>8970</v>
      </c>
    </row>
    <row r="384" spans="1:14" ht="14.4" customHeight="1" x14ac:dyDescent="0.3">
      <c r="A384" s="660" t="s">
        <v>552</v>
      </c>
      <c r="B384" s="661" t="s">
        <v>553</v>
      </c>
      <c r="C384" s="662" t="s">
        <v>566</v>
      </c>
      <c r="D384" s="663" t="s">
        <v>1752</v>
      </c>
      <c r="E384" s="662" t="s">
        <v>1659</v>
      </c>
      <c r="F384" s="663" t="s">
        <v>1758</v>
      </c>
      <c r="G384" s="662"/>
      <c r="H384" s="662"/>
      <c r="I384" s="662" t="s">
        <v>1664</v>
      </c>
      <c r="J384" s="662" t="s">
        <v>1665</v>
      </c>
      <c r="K384" s="662"/>
      <c r="L384" s="664">
        <v>4272.3500000000004</v>
      </c>
      <c r="M384" s="664">
        <v>2</v>
      </c>
      <c r="N384" s="665">
        <v>8544.7000000000007</v>
      </c>
    </row>
    <row r="385" spans="1:14" ht="14.4" customHeight="1" x14ac:dyDescent="0.3">
      <c r="A385" s="660" t="s">
        <v>552</v>
      </c>
      <c r="B385" s="661" t="s">
        <v>553</v>
      </c>
      <c r="C385" s="662" t="s">
        <v>566</v>
      </c>
      <c r="D385" s="663" t="s">
        <v>1752</v>
      </c>
      <c r="E385" s="662" t="s">
        <v>1659</v>
      </c>
      <c r="F385" s="663" t="s">
        <v>1758</v>
      </c>
      <c r="G385" s="662"/>
      <c r="H385" s="662"/>
      <c r="I385" s="662" t="s">
        <v>1666</v>
      </c>
      <c r="J385" s="662" t="s">
        <v>1667</v>
      </c>
      <c r="K385" s="662" t="s">
        <v>1668</v>
      </c>
      <c r="L385" s="664">
        <v>1287</v>
      </c>
      <c r="M385" s="664">
        <v>14</v>
      </c>
      <c r="N385" s="665">
        <v>18018</v>
      </c>
    </row>
    <row r="386" spans="1:14" ht="14.4" customHeight="1" x14ac:dyDescent="0.3">
      <c r="A386" s="660" t="s">
        <v>552</v>
      </c>
      <c r="B386" s="661" t="s">
        <v>553</v>
      </c>
      <c r="C386" s="662" t="s">
        <v>569</v>
      </c>
      <c r="D386" s="663" t="s">
        <v>1753</v>
      </c>
      <c r="E386" s="662" t="s">
        <v>575</v>
      </c>
      <c r="F386" s="663" t="s">
        <v>1754</v>
      </c>
      <c r="G386" s="662"/>
      <c r="H386" s="662" t="s">
        <v>1261</v>
      </c>
      <c r="I386" s="662" t="s">
        <v>1262</v>
      </c>
      <c r="J386" s="662" t="s">
        <v>1263</v>
      </c>
      <c r="K386" s="662" t="s">
        <v>1264</v>
      </c>
      <c r="L386" s="664">
        <v>249.39029481075616</v>
      </c>
      <c r="M386" s="664">
        <v>12</v>
      </c>
      <c r="N386" s="665">
        <v>2992.683537729074</v>
      </c>
    </row>
    <row r="387" spans="1:14" ht="14.4" customHeight="1" x14ac:dyDescent="0.3">
      <c r="A387" s="660" t="s">
        <v>552</v>
      </c>
      <c r="B387" s="661" t="s">
        <v>553</v>
      </c>
      <c r="C387" s="662" t="s">
        <v>569</v>
      </c>
      <c r="D387" s="663" t="s">
        <v>1753</v>
      </c>
      <c r="E387" s="662" t="s">
        <v>575</v>
      </c>
      <c r="F387" s="663" t="s">
        <v>1754</v>
      </c>
      <c r="G387" s="662" t="s">
        <v>582</v>
      </c>
      <c r="H387" s="662" t="s">
        <v>583</v>
      </c>
      <c r="I387" s="662" t="s">
        <v>583</v>
      </c>
      <c r="J387" s="662" t="s">
        <v>584</v>
      </c>
      <c r="K387" s="662" t="s">
        <v>585</v>
      </c>
      <c r="L387" s="664">
        <v>171.59999999999994</v>
      </c>
      <c r="M387" s="664">
        <v>11</v>
      </c>
      <c r="N387" s="665">
        <v>1887.5999999999995</v>
      </c>
    </row>
    <row r="388" spans="1:14" ht="14.4" customHeight="1" x14ac:dyDescent="0.3">
      <c r="A388" s="660" t="s">
        <v>552</v>
      </c>
      <c r="B388" s="661" t="s">
        <v>553</v>
      </c>
      <c r="C388" s="662" t="s">
        <v>569</v>
      </c>
      <c r="D388" s="663" t="s">
        <v>1753</v>
      </c>
      <c r="E388" s="662" t="s">
        <v>575</v>
      </c>
      <c r="F388" s="663" t="s">
        <v>1754</v>
      </c>
      <c r="G388" s="662" t="s">
        <v>582</v>
      </c>
      <c r="H388" s="662" t="s">
        <v>1273</v>
      </c>
      <c r="I388" s="662" t="s">
        <v>1273</v>
      </c>
      <c r="J388" s="662" t="s">
        <v>1272</v>
      </c>
      <c r="K388" s="662" t="s">
        <v>1274</v>
      </c>
      <c r="L388" s="664">
        <v>126.5</v>
      </c>
      <c r="M388" s="664">
        <v>11</v>
      </c>
      <c r="N388" s="665">
        <v>1391.5</v>
      </c>
    </row>
    <row r="389" spans="1:14" ht="14.4" customHeight="1" x14ac:dyDescent="0.3">
      <c r="A389" s="660" t="s">
        <v>552</v>
      </c>
      <c r="B389" s="661" t="s">
        <v>553</v>
      </c>
      <c r="C389" s="662" t="s">
        <v>569</v>
      </c>
      <c r="D389" s="663" t="s">
        <v>1753</v>
      </c>
      <c r="E389" s="662" t="s">
        <v>575</v>
      </c>
      <c r="F389" s="663" t="s">
        <v>1754</v>
      </c>
      <c r="G389" s="662" t="s">
        <v>582</v>
      </c>
      <c r="H389" s="662" t="s">
        <v>1669</v>
      </c>
      <c r="I389" s="662" t="s">
        <v>1669</v>
      </c>
      <c r="J389" s="662" t="s">
        <v>584</v>
      </c>
      <c r="K389" s="662" t="s">
        <v>1670</v>
      </c>
      <c r="L389" s="664">
        <v>94.031249999999986</v>
      </c>
      <c r="M389" s="664">
        <v>16</v>
      </c>
      <c r="N389" s="665">
        <v>1504.4999999999998</v>
      </c>
    </row>
    <row r="390" spans="1:14" ht="14.4" customHeight="1" x14ac:dyDescent="0.3">
      <c r="A390" s="660" t="s">
        <v>552</v>
      </c>
      <c r="B390" s="661" t="s">
        <v>553</v>
      </c>
      <c r="C390" s="662" t="s">
        <v>569</v>
      </c>
      <c r="D390" s="663" t="s">
        <v>1753</v>
      </c>
      <c r="E390" s="662" t="s">
        <v>575</v>
      </c>
      <c r="F390" s="663" t="s">
        <v>1754</v>
      </c>
      <c r="G390" s="662" t="s">
        <v>582</v>
      </c>
      <c r="H390" s="662" t="s">
        <v>1671</v>
      </c>
      <c r="I390" s="662" t="s">
        <v>1672</v>
      </c>
      <c r="J390" s="662" t="s">
        <v>605</v>
      </c>
      <c r="K390" s="662" t="s">
        <v>911</v>
      </c>
      <c r="L390" s="664">
        <v>97.754498592432029</v>
      </c>
      <c r="M390" s="664">
        <v>4</v>
      </c>
      <c r="N390" s="665">
        <v>391.01799436972811</v>
      </c>
    </row>
    <row r="391" spans="1:14" ht="14.4" customHeight="1" x14ac:dyDescent="0.3">
      <c r="A391" s="660" t="s">
        <v>552</v>
      </c>
      <c r="B391" s="661" t="s">
        <v>553</v>
      </c>
      <c r="C391" s="662" t="s">
        <v>569</v>
      </c>
      <c r="D391" s="663" t="s">
        <v>1753</v>
      </c>
      <c r="E391" s="662" t="s">
        <v>575</v>
      </c>
      <c r="F391" s="663" t="s">
        <v>1754</v>
      </c>
      <c r="G391" s="662" t="s">
        <v>582</v>
      </c>
      <c r="H391" s="662" t="s">
        <v>603</v>
      </c>
      <c r="I391" s="662" t="s">
        <v>604</v>
      </c>
      <c r="J391" s="662" t="s">
        <v>605</v>
      </c>
      <c r="K391" s="662" t="s">
        <v>606</v>
      </c>
      <c r="L391" s="664">
        <v>100.75963406522419</v>
      </c>
      <c r="M391" s="664">
        <v>8</v>
      </c>
      <c r="N391" s="665">
        <v>806.07707252179353</v>
      </c>
    </row>
    <row r="392" spans="1:14" ht="14.4" customHeight="1" x14ac:dyDescent="0.3">
      <c r="A392" s="660" t="s">
        <v>552</v>
      </c>
      <c r="B392" s="661" t="s">
        <v>553</v>
      </c>
      <c r="C392" s="662" t="s">
        <v>569</v>
      </c>
      <c r="D392" s="663" t="s">
        <v>1753</v>
      </c>
      <c r="E392" s="662" t="s">
        <v>575</v>
      </c>
      <c r="F392" s="663" t="s">
        <v>1754</v>
      </c>
      <c r="G392" s="662" t="s">
        <v>582</v>
      </c>
      <c r="H392" s="662" t="s">
        <v>607</v>
      </c>
      <c r="I392" s="662" t="s">
        <v>608</v>
      </c>
      <c r="J392" s="662" t="s">
        <v>609</v>
      </c>
      <c r="K392" s="662" t="s">
        <v>610</v>
      </c>
      <c r="L392" s="664">
        <v>167.60916107616933</v>
      </c>
      <c r="M392" s="664">
        <v>1</v>
      </c>
      <c r="N392" s="665">
        <v>167.60916107616933</v>
      </c>
    </row>
    <row r="393" spans="1:14" ht="14.4" customHeight="1" x14ac:dyDescent="0.3">
      <c r="A393" s="660" t="s">
        <v>552</v>
      </c>
      <c r="B393" s="661" t="s">
        <v>553</v>
      </c>
      <c r="C393" s="662" t="s">
        <v>569</v>
      </c>
      <c r="D393" s="663" t="s">
        <v>1753</v>
      </c>
      <c r="E393" s="662" t="s">
        <v>575</v>
      </c>
      <c r="F393" s="663" t="s">
        <v>1754</v>
      </c>
      <c r="G393" s="662" t="s">
        <v>582</v>
      </c>
      <c r="H393" s="662" t="s">
        <v>627</v>
      </c>
      <c r="I393" s="662" t="s">
        <v>628</v>
      </c>
      <c r="J393" s="662" t="s">
        <v>629</v>
      </c>
      <c r="K393" s="662" t="s">
        <v>630</v>
      </c>
      <c r="L393" s="664">
        <v>27.749803047631772</v>
      </c>
      <c r="M393" s="664">
        <v>6</v>
      </c>
      <c r="N393" s="665">
        <v>166.49881828579063</v>
      </c>
    </row>
    <row r="394" spans="1:14" ht="14.4" customHeight="1" x14ac:dyDescent="0.3">
      <c r="A394" s="660" t="s">
        <v>552</v>
      </c>
      <c r="B394" s="661" t="s">
        <v>553</v>
      </c>
      <c r="C394" s="662" t="s">
        <v>569</v>
      </c>
      <c r="D394" s="663" t="s">
        <v>1753</v>
      </c>
      <c r="E394" s="662" t="s">
        <v>575</v>
      </c>
      <c r="F394" s="663" t="s">
        <v>1754</v>
      </c>
      <c r="G394" s="662" t="s">
        <v>582</v>
      </c>
      <c r="H394" s="662" t="s">
        <v>1673</v>
      </c>
      <c r="I394" s="662" t="s">
        <v>1674</v>
      </c>
      <c r="J394" s="662" t="s">
        <v>1675</v>
      </c>
      <c r="K394" s="662" t="s">
        <v>1676</v>
      </c>
      <c r="L394" s="664">
        <v>116.11250000000001</v>
      </c>
      <c r="M394" s="664">
        <v>8</v>
      </c>
      <c r="N394" s="665">
        <v>928.90000000000009</v>
      </c>
    </row>
    <row r="395" spans="1:14" ht="14.4" customHeight="1" x14ac:dyDescent="0.3">
      <c r="A395" s="660" t="s">
        <v>552</v>
      </c>
      <c r="B395" s="661" t="s">
        <v>553</v>
      </c>
      <c r="C395" s="662" t="s">
        <v>569</v>
      </c>
      <c r="D395" s="663" t="s">
        <v>1753</v>
      </c>
      <c r="E395" s="662" t="s">
        <v>575</v>
      </c>
      <c r="F395" s="663" t="s">
        <v>1754</v>
      </c>
      <c r="G395" s="662" t="s">
        <v>582</v>
      </c>
      <c r="H395" s="662" t="s">
        <v>655</v>
      </c>
      <c r="I395" s="662" t="s">
        <v>656</v>
      </c>
      <c r="J395" s="662" t="s">
        <v>657</v>
      </c>
      <c r="K395" s="662" t="s">
        <v>658</v>
      </c>
      <c r="L395" s="664">
        <v>354.32</v>
      </c>
      <c r="M395" s="664">
        <v>1</v>
      </c>
      <c r="N395" s="665">
        <v>354.32</v>
      </c>
    </row>
    <row r="396" spans="1:14" ht="14.4" customHeight="1" x14ac:dyDescent="0.3">
      <c r="A396" s="660" t="s">
        <v>552</v>
      </c>
      <c r="B396" s="661" t="s">
        <v>553</v>
      </c>
      <c r="C396" s="662" t="s">
        <v>569</v>
      </c>
      <c r="D396" s="663" t="s">
        <v>1753</v>
      </c>
      <c r="E396" s="662" t="s">
        <v>575</v>
      </c>
      <c r="F396" s="663" t="s">
        <v>1754</v>
      </c>
      <c r="G396" s="662" t="s">
        <v>582</v>
      </c>
      <c r="H396" s="662" t="s">
        <v>667</v>
      </c>
      <c r="I396" s="662" t="s">
        <v>668</v>
      </c>
      <c r="J396" s="662" t="s">
        <v>669</v>
      </c>
      <c r="K396" s="662" t="s">
        <v>670</v>
      </c>
      <c r="L396" s="664">
        <v>248.7</v>
      </c>
      <c r="M396" s="664">
        <v>4</v>
      </c>
      <c r="N396" s="665">
        <v>994.8</v>
      </c>
    </row>
    <row r="397" spans="1:14" ht="14.4" customHeight="1" x14ac:dyDescent="0.3">
      <c r="A397" s="660" t="s">
        <v>552</v>
      </c>
      <c r="B397" s="661" t="s">
        <v>553</v>
      </c>
      <c r="C397" s="662" t="s">
        <v>569</v>
      </c>
      <c r="D397" s="663" t="s">
        <v>1753</v>
      </c>
      <c r="E397" s="662" t="s">
        <v>575</v>
      </c>
      <c r="F397" s="663" t="s">
        <v>1754</v>
      </c>
      <c r="G397" s="662" t="s">
        <v>582</v>
      </c>
      <c r="H397" s="662" t="s">
        <v>1677</v>
      </c>
      <c r="I397" s="662" t="s">
        <v>1678</v>
      </c>
      <c r="J397" s="662" t="s">
        <v>861</v>
      </c>
      <c r="K397" s="662" t="s">
        <v>1679</v>
      </c>
      <c r="L397" s="664">
        <v>186.49842105263158</v>
      </c>
      <c r="M397" s="664">
        <v>19</v>
      </c>
      <c r="N397" s="665">
        <v>3543.4700000000003</v>
      </c>
    </row>
    <row r="398" spans="1:14" ht="14.4" customHeight="1" x14ac:dyDescent="0.3">
      <c r="A398" s="660" t="s">
        <v>552</v>
      </c>
      <c r="B398" s="661" t="s">
        <v>553</v>
      </c>
      <c r="C398" s="662" t="s">
        <v>569</v>
      </c>
      <c r="D398" s="663" t="s">
        <v>1753</v>
      </c>
      <c r="E398" s="662" t="s">
        <v>575</v>
      </c>
      <c r="F398" s="663" t="s">
        <v>1754</v>
      </c>
      <c r="G398" s="662" t="s">
        <v>582</v>
      </c>
      <c r="H398" s="662" t="s">
        <v>675</v>
      </c>
      <c r="I398" s="662" t="s">
        <v>675</v>
      </c>
      <c r="J398" s="662" t="s">
        <v>676</v>
      </c>
      <c r="K398" s="662" t="s">
        <v>677</v>
      </c>
      <c r="L398" s="664">
        <v>37.573999999999998</v>
      </c>
      <c r="M398" s="664">
        <v>10</v>
      </c>
      <c r="N398" s="665">
        <v>375.74</v>
      </c>
    </row>
    <row r="399" spans="1:14" ht="14.4" customHeight="1" x14ac:dyDescent="0.3">
      <c r="A399" s="660" t="s">
        <v>552</v>
      </c>
      <c r="B399" s="661" t="s">
        <v>553</v>
      </c>
      <c r="C399" s="662" t="s">
        <v>569</v>
      </c>
      <c r="D399" s="663" t="s">
        <v>1753</v>
      </c>
      <c r="E399" s="662" t="s">
        <v>575</v>
      </c>
      <c r="F399" s="663" t="s">
        <v>1754</v>
      </c>
      <c r="G399" s="662" t="s">
        <v>582</v>
      </c>
      <c r="H399" s="662" t="s">
        <v>697</v>
      </c>
      <c r="I399" s="662" t="s">
        <v>698</v>
      </c>
      <c r="J399" s="662" t="s">
        <v>699</v>
      </c>
      <c r="K399" s="662" t="s">
        <v>700</v>
      </c>
      <c r="L399" s="664">
        <v>329.6</v>
      </c>
      <c r="M399" s="664">
        <v>2</v>
      </c>
      <c r="N399" s="665">
        <v>659.2</v>
      </c>
    </row>
    <row r="400" spans="1:14" ht="14.4" customHeight="1" x14ac:dyDescent="0.3">
      <c r="A400" s="660" t="s">
        <v>552</v>
      </c>
      <c r="B400" s="661" t="s">
        <v>553</v>
      </c>
      <c r="C400" s="662" t="s">
        <v>569</v>
      </c>
      <c r="D400" s="663" t="s">
        <v>1753</v>
      </c>
      <c r="E400" s="662" t="s">
        <v>575</v>
      </c>
      <c r="F400" s="663" t="s">
        <v>1754</v>
      </c>
      <c r="G400" s="662" t="s">
        <v>582</v>
      </c>
      <c r="H400" s="662" t="s">
        <v>1297</v>
      </c>
      <c r="I400" s="662" t="s">
        <v>1298</v>
      </c>
      <c r="J400" s="662" t="s">
        <v>1299</v>
      </c>
      <c r="K400" s="662" t="s">
        <v>1300</v>
      </c>
      <c r="L400" s="664">
        <v>359.68</v>
      </c>
      <c r="M400" s="664">
        <v>2</v>
      </c>
      <c r="N400" s="665">
        <v>719.36</v>
      </c>
    </row>
    <row r="401" spans="1:14" ht="14.4" customHeight="1" x14ac:dyDescent="0.3">
      <c r="A401" s="660" t="s">
        <v>552</v>
      </c>
      <c r="B401" s="661" t="s">
        <v>553</v>
      </c>
      <c r="C401" s="662" t="s">
        <v>569</v>
      </c>
      <c r="D401" s="663" t="s">
        <v>1753</v>
      </c>
      <c r="E401" s="662" t="s">
        <v>575</v>
      </c>
      <c r="F401" s="663" t="s">
        <v>1754</v>
      </c>
      <c r="G401" s="662" t="s">
        <v>582</v>
      </c>
      <c r="H401" s="662" t="s">
        <v>1680</v>
      </c>
      <c r="I401" s="662" t="s">
        <v>1681</v>
      </c>
      <c r="J401" s="662" t="s">
        <v>1682</v>
      </c>
      <c r="K401" s="662" t="s">
        <v>1683</v>
      </c>
      <c r="L401" s="664">
        <v>63.58</v>
      </c>
      <c r="M401" s="664">
        <v>2</v>
      </c>
      <c r="N401" s="665">
        <v>127.16</v>
      </c>
    </row>
    <row r="402" spans="1:14" ht="14.4" customHeight="1" x14ac:dyDescent="0.3">
      <c r="A402" s="660" t="s">
        <v>552</v>
      </c>
      <c r="B402" s="661" t="s">
        <v>553</v>
      </c>
      <c r="C402" s="662" t="s">
        <v>569</v>
      </c>
      <c r="D402" s="663" t="s">
        <v>1753</v>
      </c>
      <c r="E402" s="662" t="s">
        <v>575</v>
      </c>
      <c r="F402" s="663" t="s">
        <v>1754</v>
      </c>
      <c r="G402" s="662" t="s">
        <v>582</v>
      </c>
      <c r="H402" s="662" t="s">
        <v>759</v>
      </c>
      <c r="I402" s="662" t="s">
        <v>760</v>
      </c>
      <c r="J402" s="662" t="s">
        <v>761</v>
      </c>
      <c r="K402" s="662" t="s">
        <v>762</v>
      </c>
      <c r="L402" s="664">
        <v>377.74099993520679</v>
      </c>
      <c r="M402" s="664">
        <v>92</v>
      </c>
      <c r="N402" s="665">
        <v>34752.171994039025</v>
      </c>
    </row>
    <row r="403" spans="1:14" ht="14.4" customHeight="1" x14ac:dyDescent="0.3">
      <c r="A403" s="660" t="s">
        <v>552</v>
      </c>
      <c r="B403" s="661" t="s">
        <v>553</v>
      </c>
      <c r="C403" s="662" t="s">
        <v>569</v>
      </c>
      <c r="D403" s="663" t="s">
        <v>1753</v>
      </c>
      <c r="E403" s="662" t="s">
        <v>575</v>
      </c>
      <c r="F403" s="663" t="s">
        <v>1754</v>
      </c>
      <c r="G403" s="662" t="s">
        <v>582</v>
      </c>
      <c r="H403" s="662" t="s">
        <v>779</v>
      </c>
      <c r="I403" s="662" t="s">
        <v>216</v>
      </c>
      <c r="J403" s="662" t="s">
        <v>780</v>
      </c>
      <c r="K403" s="662"/>
      <c r="L403" s="664">
        <v>97.320502775258305</v>
      </c>
      <c r="M403" s="664">
        <v>1</v>
      </c>
      <c r="N403" s="665">
        <v>97.320502775258305</v>
      </c>
    </row>
    <row r="404" spans="1:14" ht="14.4" customHeight="1" x14ac:dyDescent="0.3">
      <c r="A404" s="660" t="s">
        <v>552</v>
      </c>
      <c r="B404" s="661" t="s">
        <v>553</v>
      </c>
      <c r="C404" s="662" t="s">
        <v>569</v>
      </c>
      <c r="D404" s="663" t="s">
        <v>1753</v>
      </c>
      <c r="E404" s="662" t="s">
        <v>575</v>
      </c>
      <c r="F404" s="663" t="s">
        <v>1754</v>
      </c>
      <c r="G404" s="662" t="s">
        <v>582</v>
      </c>
      <c r="H404" s="662" t="s">
        <v>1328</v>
      </c>
      <c r="I404" s="662" t="s">
        <v>1329</v>
      </c>
      <c r="J404" s="662" t="s">
        <v>1330</v>
      </c>
      <c r="K404" s="662"/>
      <c r="L404" s="664">
        <v>135.82137112975158</v>
      </c>
      <c r="M404" s="664">
        <v>13</v>
      </c>
      <c r="N404" s="665">
        <v>1765.6778246867707</v>
      </c>
    </row>
    <row r="405" spans="1:14" ht="14.4" customHeight="1" x14ac:dyDescent="0.3">
      <c r="A405" s="660" t="s">
        <v>552</v>
      </c>
      <c r="B405" s="661" t="s">
        <v>553</v>
      </c>
      <c r="C405" s="662" t="s">
        <v>569</v>
      </c>
      <c r="D405" s="663" t="s">
        <v>1753</v>
      </c>
      <c r="E405" s="662" t="s">
        <v>575</v>
      </c>
      <c r="F405" s="663" t="s">
        <v>1754</v>
      </c>
      <c r="G405" s="662" t="s">
        <v>582</v>
      </c>
      <c r="H405" s="662" t="s">
        <v>809</v>
      </c>
      <c r="I405" s="662" t="s">
        <v>810</v>
      </c>
      <c r="J405" s="662" t="s">
        <v>811</v>
      </c>
      <c r="K405" s="662" t="s">
        <v>812</v>
      </c>
      <c r="L405" s="664">
        <v>97.1</v>
      </c>
      <c r="M405" s="664">
        <v>2</v>
      </c>
      <c r="N405" s="665">
        <v>194.2</v>
      </c>
    </row>
    <row r="406" spans="1:14" ht="14.4" customHeight="1" x14ac:dyDescent="0.3">
      <c r="A406" s="660" t="s">
        <v>552</v>
      </c>
      <c r="B406" s="661" t="s">
        <v>553</v>
      </c>
      <c r="C406" s="662" t="s">
        <v>569</v>
      </c>
      <c r="D406" s="663" t="s">
        <v>1753</v>
      </c>
      <c r="E406" s="662" t="s">
        <v>575</v>
      </c>
      <c r="F406" s="663" t="s">
        <v>1754</v>
      </c>
      <c r="G406" s="662" t="s">
        <v>582</v>
      </c>
      <c r="H406" s="662" t="s">
        <v>1340</v>
      </c>
      <c r="I406" s="662" t="s">
        <v>216</v>
      </c>
      <c r="J406" s="662" t="s">
        <v>1341</v>
      </c>
      <c r="K406" s="662" t="s">
        <v>1342</v>
      </c>
      <c r="L406" s="664">
        <v>187.48913905814541</v>
      </c>
      <c r="M406" s="664">
        <v>1</v>
      </c>
      <c r="N406" s="665">
        <v>187.48913905814541</v>
      </c>
    </row>
    <row r="407" spans="1:14" ht="14.4" customHeight="1" x14ac:dyDescent="0.3">
      <c r="A407" s="660" t="s">
        <v>552</v>
      </c>
      <c r="B407" s="661" t="s">
        <v>553</v>
      </c>
      <c r="C407" s="662" t="s">
        <v>569</v>
      </c>
      <c r="D407" s="663" t="s">
        <v>1753</v>
      </c>
      <c r="E407" s="662" t="s">
        <v>575</v>
      </c>
      <c r="F407" s="663" t="s">
        <v>1754</v>
      </c>
      <c r="G407" s="662" t="s">
        <v>582</v>
      </c>
      <c r="H407" s="662" t="s">
        <v>1684</v>
      </c>
      <c r="I407" s="662" t="s">
        <v>1685</v>
      </c>
      <c r="J407" s="662" t="s">
        <v>1686</v>
      </c>
      <c r="K407" s="662"/>
      <c r="L407" s="664">
        <v>496.25938545901516</v>
      </c>
      <c r="M407" s="664">
        <v>4</v>
      </c>
      <c r="N407" s="665">
        <v>1985.0375418360607</v>
      </c>
    </row>
    <row r="408" spans="1:14" ht="14.4" customHeight="1" x14ac:dyDescent="0.3">
      <c r="A408" s="660" t="s">
        <v>552</v>
      </c>
      <c r="B408" s="661" t="s">
        <v>553</v>
      </c>
      <c r="C408" s="662" t="s">
        <v>569</v>
      </c>
      <c r="D408" s="663" t="s">
        <v>1753</v>
      </c>
      <c r="E408" s="662" t="s">
        <v>575</v>
      </c>
      <c r="F408" s="663" t="s">
        <v>1754</v>
      </c>
      <c r="G408" s="662" t="s">
        <v>582</v>
      </c>
      <c r="H408" s="662" t="s">
        <v>1351</v>
      </c>
      <c r="I408" s="662" t="s">
        <v>1351</v>
      </c>
      <c r="J408" s="662" t="s">
        <v>584</v>
      </c>
      <c r="K408" s="662" t="s">
        <v>1352</v>
      </c>
      <c r="L408" s="664">
        <v>196.47626154890224</v>
      </c>
      <c r="M408" s="664">
        <v>11</v>
      </c>
      <c r="N408" s="665">
        <v>2161.2388770379248</v>
      </c>
    </row>
    <row r="409" spans="1:14" ht="14.4" customHeight="1" x14ac:dyDescent="0.3">
      <c r="A409" s="660" t="s">
        <v>552</v>
      </c>
      <c r="B409" s="661" t="s">
        <v>553</v>
      </c>
      <c r="C409" s="662" t="s">
        <v>569</v>
      </c>
      <c r="D409" s="663" t="s">
        <v>1753</v>
      </c>
      <c r="E409" s="662" t="s">
        <v>575</v>
      </c>
      <c r="F409" s="663" t="s">
        <v>1754</v>
      </c>
      <c r="G409" s="662" t="s">
        <v>582</v>
      </c>
      <c r="H409" s="662" t="s">
        <v>848</v>
      </c>
      <c r="I409" s="662" t="s">
        <v>849</v>
      </c>
      <c r="J409" s="662" t="s">
        <v>850</v>
      </c>
      <c r="K409" s="662" t="s">
        <v>602</v>
      </c>
      <c r="L409" s="664">
        <v>123.88887625179994</v>
      </c>
      <c r="M409" s="664">
        <v>55</v>
      </c>
      <c r="N409" s="665">
        <v>6813.8881938489967</v>
      </c>
    </row>
    <row r="410" spans="1:14" ht="14.4" customHeight="1" x14ac:dyDescent="0.3">
      <c r="A410" s="660" t="s">
        <v>552</v>
      </c>
      <c r="B410" s="661" t="s">
        <v>553</v>
      </c>
      <c r="C410" s="662" t="s">
        <v>569</v>
      </c>
      <c r="D410" s="663" t="s">
        <v>1753</v>
      </c>
      <c r="E410" s="662" t="s">
        <v>575</v>
      </c>
      <c r="F410" s="663" t="s">
        <v>1754</v>
      </c>
      <c r="G410" s="662" t="s">
        <v>582</v>
      </c>
      <c r="H410" s="662" t="s">
        <v>859</v>
      </c>
      <c r="I410" s="662" t="s">
        <v>860</v>
      </c>
      <c r="J410" s="662" t="s">
        <v>861</v>
      </c>
      <c r="K410" s="662" t="s">
        <v>862</v>
      </c>
      <c r="L410" s="664">
        <v>252.4666666666667</v>
      </c>
      <c r="M410" s="664">
        <v>18</v>
      </c>
      <c r="N410" s="665">
        <v>4544.4000000000005</v>
      </c>
    </row>
    <row r="411" spans="1:14" ht="14.4" customHeight="1" x14ac:dyDescent="0.3">
      <c r="A411" s="660" t="s">
        <v>552</v>
      </c>
      <c r="B411" s="661" t="s">
        <v>553</v>
      </c>
      <c r="C411" s="662" t="s">
        <v>569</v>
      </c>
      <c r="D411" s="663" t="s">
        <v>1753</v>
      </c>
      <c r="E411" s="662" t="s">
        <v>575</v>
      </c>
      <c r="F411" s="663" t="s">
        <v>1754</v>
      </c>
      <c r="G411" s="662" t="s">
        <v>582</v>
      </c>
      <c r="H411" s="662" t="s">
        <v>1365</v>
      </c>
      <c r="I411" s="662" t="s">
        <v>1366</v>
      </c>
      <c r="J411" s="662" t="s">
        <v>1367</v>
      </c>
      <c r="K411" s="662" t="s">
        <v>1368</v>
      </c>
      <c r="L411" s="664">
        <v>195.32249999999999</v>
      </c>
      <c r="M411" s="664">
        <v>16</v>
      </c>
      <c r="N411" s="665">
        <v>3125.16</v>
      </c>
    </row>
    <row r="412" spans="1:14" ht="14.4" customHeight="1" x14ac:dyDescent="0.3">
      <c r="A412" s="660" t="s">
        <v>552</v>
      </c>
      <c r="B412" s="661" t="s">
        <v>553</v>
      </c>
      <c r="C412" s="662" t="s">
        <v>569</v>
      </c>
      <c r="D412" s="663" t="s">
        <v>1753</v>
      </c>
      <c r="E412" s="662" t="s">
        <v>575</v>
      </c>
      <c r="F412" s="663" t="s">
        <v>1754</v>
      </c>
      <c r="G412" s="662" t="s">
        <v>582</v>
      </c>
      <c r="H412" s="662" t="s">
        <v>874</v>
      </c>
      <c r="I412" s="662" t="s">
        <v>875</v>
      </c>
      <c r="J412" s="662" t="s">
        <v>876</v>
      </c>
      <c r="K412" s="662" t="s">
        <v>877</v>
      </c>
      <c r="L412" s="664">
        <v>21.114545454545453</v>
      </c>
      <c r="M412" s="664">
        <v>110</v>
      </c>
      <c r="N412" s="665">
        <v>2322.6</v>
      </c>
    </row>
    <row r="413" spans="1:14" ht="14.4" customHeight="1" x14ac:dyDescent="0.3">
      <c r="A413" s="660" t="s">
        <v>552</v>
      </c>
      <c r="B413" s="661" t="s">
        <v>553</v>
      </c>
      <c r="C413" s="662" t="s">
        <v>569</v>
      </c>
      <c r="D413" s="663" t="s">
        <v>1753</v>
      </c>
      <c r="E413" s="662" t="s">
        <v>575</v>
      </c>
      <c r="F413" s="663" t="s">
        <v>1754</v>
      </c>
      <c r="G413" s="662" t="s">
        <v>582</v>
      </c>
      <c r="H413" s="662" t="s">
        <v>901</v>
      </c>
      <c r="I413" s="662" t="s">
        <v>902</v>
      </c>
      <c r="J413" s="662" t="s">
        <v>609</v>
      </c>
      <c r="K413" s="662" t="s">
        <v>903</v>
      </c>
      <c r="L413" s="664">
        <v>51.639999999999965</v>
      </c>
      <c r="M413" s="664">
        <v>10</v>
      </c>
      <c r="N413" s="665">
        <v>516.39999999999964</v>
      </c>
    </row>
    <row r="414" spans="1:14" ht="14.4" customHeight="1" x14ac:dyDescent="0.3">
      <c r="A414" s="660" t="s">
        <v>552</v>
      </c>
      <c r="B414" s="661" t="s">
        <v>553</v>
      </c>
      <c r="C414" s="662" t="s">
        <v>569</v>
      </c>
      <c r="D414" s="663" t="s">
        <v>1753</v>
      </c>
      <c r="E414" s="662" t="s">
        <v>575</v>
      </c>
      <c r="F414" s="663" t="s">
        <v>1754</v>
      </c>
      <c r="G414" s="662" t="s">
        <v>582</v>
      </c>
      <c r="H414" s="662" t="s">
        <v>904</v>
      </c>
      <c r="I414" s="662" t="s">
        <v>905</v>
      </c>
      <c r="J414" s="662" t="s">
        <v>906</v>
      </c>
      <c r="K414" s="662" t="s">
        <v>907</v>
      </c>
      <c r="L414" s="664">
        <v>294.75949148887349</v>
      </c>
      <c r="M414" s="664">
        <v>1</v>
      </c>
      <c r="N414" s="665">
        <v>294.75949148887349</v>
      </c>
    </row>
    <row r="415" spans="1:14" ht="14.4" customHeight="1" x14ac:dyDescent="0.3">
      <c r="A415" s="660" t="s">
        <v>552</v>
      </c>
      <c r="B415" s="661" t="s">
        <v>553</v>
      </c>
      <c r="C415" s="662" t="s">
        <v>569</v>
      </c>
      <c r="D415" s="663" t="s">
        <v>1753</v>
      </c>
      <c r="E415" s="662" t="s">
        <v>575</v>
      </c>
      <c r="F415" s="663" t="s">
        <v>1754</v>
      </c>
      <c r="G415" s="662" t="s">
        <v>582</v>
      </c>
      <c r="H415" s="662" t="s">
        <v>908</v>
      </c>
      <c r="I415" s="662" t="s">
        <v>909</v>
      </c>
      <c r="J415" s="662" t="s">
        <v>910</v>
      </c>
      <c r="K415" s="662" t="s">
        <v>911</v>
      </c>
      <c r="L415" s="664">
        <v>71.412499257820144</v>
      </c>
      <c r="M415" s="664">
        <v>8</v>
      </c>
      <c r="N415" s="665">
        <v>571.29999406256115</v>
      </c>
    </row>
    <row r="416" spans="1:14" ht="14.4" customHeight="1" x14ac:dyDescent="0.3">
      <c r="A416" s="660" t="s">
        <v>552</v>
      </c>
      <c r="B416" s="661" t="s">
        <v>553</v>
      </c>
      <c r="C416" s="662" t="s">
        <v>569</v>
      </c>
      <c r="D416" s="663" t="s">
        <v>1753</v>
      </c>
      <c r="E416" s="662" t="s">
        <v>575</v>
      </c>
      <c r="F416" s="663" t="s">
        <v>1754</v>
      </c>
      <c r="G416" s="662" t="s">
        <v>582</v>
      </c>
      <c r="H416" s="662" t="s">
        <v>1379</v>
      </c>
      <c r="I416" s="662" t="s">
        <v>1380</v>
      </c>
      <c r="J416" s="662" t="s">
        <v>1381</v>
      </c>
      <c r="K416" s="662" t="s">
        <v>1382</v>
      </c>
      <c r="L416" s="664">
        <v>39.600000735349965</v>
      </c>
      <c r="M416" s="664">
        <v>10</v>
      </c>
      <c r="N416" s="665">
        <v>396.00000735349965</v>
      </c>
    </row>
    <row r="417" spans="1:14" ht="14.4" customHeight="1" x14ac:dyDescent="0.3">
      <c r="A417" s="660" t="s">
        <v>552</v>
      </c>
      <c r="B417" s="661" t="s">
        <v>553</v>
      </c>
      <c r="C417" s="662" t="s">
        <v>569</v>
      </c>
      <c r="D417" s="663" t="s">
        <v>1753</v>
      </c>
      <c r="E417" s="662" t="s">
        <v>575</v>
      </c>
      <c r="F417" s="663" t="s">
        <v>1754</v>
      </c>
      <c r="G417" s="662" t="s">
        <v>582</v>
      </c>
      <c r="H417" s="662" t="s">
        <v>1395</v>
      </c>
      <c r="I417" s="662" t="s">
        <v>1396</v>
      </c>
      <c r="J417" s="662" t="s">
        <v>1397</v>
      </c>
      <c r="K417" s="662" t="s">
        <v>939</v>
      </c>
      <c r="L417" s="664">
        <v>31.920000000000005</v>
      </c>
      <c r="M417" s="664">
        <v>20</v>
      </c>
      <c r="N417" s="665">
        <v>638.40000000000009</v>
      </c>
    </row>
    <row r="418" spans="1:14" ht="14.4" customHeight="1" x14ac:dyDescent="0.3">
      <c r="A418" s="660" t="s">
        <v>552</v>
      </c>
      <c r="B418" s="661" t="s">
        <v>553</v>
      </c>
      <c r="C418" s="662" t="s">
        <v>569</v>
      </c>
      <c r="D418" s="663" t="s">
        <v>1753</v>
      </c>
      <c r="E418" s="662" t="s">
        <v>575</v>
      </c>
      <c r="F418" s="663" t="s">
        <v>1754</v>
      </c>
      <c r="G418" s="662" t="s">
        <v>582</v>
      </c>
      <c r="H418" s="662" t="s">
        <v>1401</v>
      </c>
      <c r="I418" s="662" t="s">
        <v>1402</v>
      </c>
      <c r="J418" s="662" t="s">
        <v>1403</v>
      </c>
      <c r="K418" s="662" t="s">
        <v>1404</v>
      </c>
      <c r="L418" s="664">
        <v>1066.8301059195053</v>
      </c>
      <c r="M418" s="664">
        <v>4</v>
      </c>
      <c r="N418" s="665">
        <v>4267.3204236780211</v>
      </c>
    </row>
    <row r="419" spans="1:14" ht="14.4" customHeight="1" x14ac:dyDescent="0.3">
      <c r="A419" s="660" t="s">
        <v>552</v>
      </c>
      <c r="B419" s="661" t="s">
        <v>553</v>
      </c>
      <c r="C419" s="662" t="s">
        <v>569</v>
      </c>
      <c r="D419" s="663" t="s">
        <v>1753</v>
      </c>
      <c r="E419" s="662" t="s">
        <v>575</v>
      </c>
      <c r="F419" s="663" t="s">
        <v>1754</v>
      </c>
      <c r="G419" s="662" t="s">
        <v>582</v>
      </c>
      <c r="H419" s="662" t="s">
        <v>1412</v>
      </c>
      <c r="I419" s="662" t="s">
        <v>1413</v>
      </c>
      <c r="J419" s="662" t="s">
        <v>1414</v>
      </c>
      <c r="K419" s="662" t="s">
        <v>1415</v>
      </c>
      <c r="L419" s="664">
        <v>50.13</v>
      </c>
      <c r="M419" s="664">
        <v>3</v>
      </c>
      <c r="N419" s="665">
        <v>150.39000000000001</v>
      </c>
    </row>
    <row r="420" spans="1:14" ht="14.4" customHeight="1" x14ac:dyDescent="0.3">
      <c r="A420" s="660" t="s">
        <v>552</v>
      </c>
      <c r="B420" s="661" t="s">
        <v>553</v>
      </c>
      <c r="C420" s="662" t="s">
        <v>569</v>
      </c>
      <c r="D420" s="663" t="s">
        <v>1753</v>
      </c>
      <c r="E420" s="662" t="s">
        <v>575</v>
      </c>
      <c r="F420" s="663" t="s">
        <v>1754</v>
      </c>
      <c r="G420" s="662" t="s">
        <v>582</v>
      </c>
      <c r="H420" s="662" t="s">
        <v>1416</v>
      </c>
      <c r="I420" s="662" t="s">
        <v>1417</v>
      </c>
      <c r="J420" s="662" t="s">
        <v>1418</v>
      </c>
      <c r="K420" s="662" t="s">
        <v>1419</v>
      </c>
      <c r="L420" s="664">
        <v>261.35725714285718</v>
      </c>
      <c r="M420" s="664">
        <v>105</v>
      </c>
      <c r="N420" s="665">
        <v>27442.512000000002</v>
      </c>
    </row>
    <row r="421" spans="1:14" ht="14.4" customHeight="1" x14ac:dyDescent="0.3">
      <c r="A421" s="660" t="s">
        <v>552</v>
      </c>
      <c r="B421" s="661" t="s">
        <v>553</v>
      </c>
      <c r="C421" s="662" t="s">
        <v>569</v>
      </c>
      <c r="D421" s="663" t="s">
        <v>1753</v>
      </c>
      <c r="E421" s="662" t="s">
        <v>575</v>
      </c>
      <c r="F421" s="663" t="s">
        <v>1754</v>
      </c>
      <c r="G421" s="662" t="s">
        <v>582</v>
      </c>
      <c r="H421" s="662" t="s">
        <v>1687</v>
      </c>
      <c r="I421" s="662" t="s">
        <v>216</v>
      </c>
      <c r="J421" s="662" t="s">
        <v>1688</v>
      </c>
      <c r="K421" s="662"/>
      <c r="L421" s="664">
        <v>46.749999999999986</v>
      </c>
      <c r="M421" s="664">
        <v>1</v>
      </c>
      <c r="N421" s="665">
        <v>46.749999999999986</v>
      </c>
    </row>
    <row r="422" spans="1:14" ht="14.4" customHeight="1" x14ac:dyDescent="0.3">
      <c r="A422" s="660" t="s">
        <v>552</v>
      </c>
      <c r="B422" s="661" t="s">
        <v>553</v>
      </c>
      <c r="C422" s="662" t="s">
        <v>569</v>
      </c>
      <c r="D422" s="663" t="s">
        <v>1753</v>
      </c>
      <c r="E422" s="662" t="s">
        <v>575</v>
      </c>
      <c r="F422" s="663" t="s">
        <v>1754</v>
      </c>
      <c r="G422" s="662" t="s">
        <v>582</v>
      </c>
      <c r="H422" s="662" t="s">
        <v>1689</v>
      </c>
      <c r="I422" s="662" t="s">
        <v>1690</v>
      </c>
      <c r="J422" s="662" t="s">
        <v>1691</v>
      </c>
      <c r="K422" s="662" t="s">
        <v>1692</v>
      </c>
      <c r="L422" s="664">
        <v>60.573333333333331</v>
      </c>
      <c r="M422" s="664">
        <v>30</v>
      </c>
      <c r="N422" s="665">
        <v>1817.1999999999998</v>
      </c>
    </row>
    <row r="423" spans="1:14" ht="14.4" customHeight="1" x14ac:dyDescent="0.3">
      <c r="A423" s="660" t="s">
        <v>552</v>
      </c>
      <c r="B423" s="661" t="s">
        <v>553</v>
      </c>
      <c r="C423" s="662" t="s">
        <v>569</v>
      </c>
      <c r="D423" s="663" t="s">
        <v>1753</v>
      </c>
      <c r="E423" s="662" t="s">
        <v>575</v>
      </c>
      <c r="F423" s="663" t="s">
        <v>1754</v>
      </c>
      <c r="G423" s="662" t="s">
        <v>582</v>
      </c>
      <c r="H423" s="662" t="s">
        <v>1693</v>
      </c>
      <c r="I423" s="662" t="s">
        <v>216</v>
      </c>
      <c r="J423" s="662" t="s">
        <v>1694</v>
      </c>
      <c r="K423" s="662"/>
      <c r="L423" s="664">
        <v>285.61851289617431</v>
      </c>
      <c r="M423" s="664">
        <v>2</v>
      </c>
      <c r="N423" s="665">
        <v>571.23702579234862</v>
      </c>
    </row>
    <row r="424" spans="1:14" ht="14.4" customHeight="1" x14ac:dyDescent="0.3">
      <c r="A424" s="660" t="s">
        <v>552</v>
      </c>
      <c r="B424" s="661" t="s">
        <v>553</v>
      </c>
      <c r="C424" s="662" t="s">
        <v>569</v>
      </c>
      <c r="D424" s="663" t="s">
        <v>1753</v>
      </c>
      <c r="E424" s="662" t="s">
        <v>575</v>
      </c>
      <c r="F424" s="663" t="s">
        <v>1754</v>
      </c>
      <c r="G424" s="662" t="s">
        <v>582</v>
      </c>
      <c r="H424" s="662" t="s">
        <v>1428</v>
      </c>
      <c r="I424" s="662" t="s">
        <v>216</v>
      </c>
      <c r="J424" s="662" t="s">
        <v>1429</v>
      </c>
      <c r="K424" s="662" t="s">
        <v>1430</v>
      </c>
      <c r="L424" s="664">
        <v>23.7</v>
      </c>
      <c r="M424" s="664">
        <v>162</v>
      </c>
      <c r="N424" s="665">
        <v>3839.4</v>
      </c>
    </row>
    <row r="425" spans="1:14" ht="14.4" customHeight="1" x14ac:dyDescent="0.3">
      <c r="A425" s="660" t="s">
        <v>552</v>
      </c>
      <c r="B425" s="661" t="s">
        <v>553</v>
      </c>
      <c r="C425" s="662" t="s">
        <v>569</v>
      </c>
      <c r="D425" s="663" t="s">
        <v>1753</v>
      </c>
      <c r="E425" s="662" t="s">
        <v>575</v>
      </c>
      <c r="F425" s="663" t="s">
        <v>1754</v>
      </c>
      <c r="G425" s="662" t="s">
        <v>582</v>
      </c>
      <c r="H425" s="662" t="s">
        <v>1695</v>
      </c>
      <c r="I425" s="662" t="s">
        <v>1696</v>
      </c>
      <c r="J425" s="662" t="s">
        <v>1367</v>
      </c>
      <c r="K425" s="662" t="s">
        <v>1697</v>
      </c>
      <c r="L425" s="664">
        <v>326.32</v>
      </c>
      <c r="M425" s="664">
        <v>2</v>
      </c>
      <c r="N425" s="665">
        <v>652.64</v>
      </c>
    </row>
    <row r="426" spans="1:14" ht="14.4" customHeight="1" x14ac:dyDescent="0.3">
      <c r="A426" s="660" t="s">
        <v>552</v>
      </c>
      <c r="B426" s="661" t="s">
        <v>553</v>
      </c>
      <c r="C426" s="662" t="s">
        <v>569</v>
      </c>
      <c r="D426" s="663" t="s">
        <v>1753</v>
      </c>
      <c r="E426" s="662" t="s">
        <v>575</v>
      </c>
      <c r="F426" s="663" t="s">
        <v>1754</v>
      </c>
      <c r="G426" s="662" t="s">
        <v>582</v>
      </c>
      <c r="H426" s="662" t="s">
        <v>1438</v>
      </c>
      <c r="I426" s="662" t="s">
        <v>216</v>
      </c>
      <c r="J426" s="662" t="s">
        <v>1439</v>
      </c>
      <c r="K426" s="662" t="s">
        <v>1440</v>
      </c>
      <c r="L426" s="664">
        <v>199.67000000000004</v>
      </c>
      <c r="M426" s="664">
        <v>10</v>
      </c>
      <c r="N426" s="665">
        <v>1996.7000000000005</v>
      </c>
    </row>
    <row r="427" spans="1:14" ht="14.4" customHeight="1" x14ac:dyDescent="0.3">
      <c r="A427" s="660" t="s">
        <v>552</v>
      </c>
      <c r="B427" s="661" t="s">
        <v>553</v>
      </c>
      <c r="C427" s="662" t="s">
        <v>569</v>
      </c>
      <c r="D427" s="663" t="s">
        <v>1753</v>
      </c>
      <c r="E427" s="662" t="s">
        <v>575</v>
      </c>
      <c r="F427" s="663" t="s">
        <v>1754</v>
      </c>
      <c r="G427" s="662" t="s">
        <v>582</v>
      </c>
      <c r="H427" s="662" t="s">
        <v>1698</v>
      </c>
      <c r="I427" s="662" t="s">
        <v>216</v>
      </c>
      <c r="J427" s="662" t="s">
        <v>1699</v>
      </c>
      <c r="K427" s="662" t="s">
        <v>1700</v>
      </c>
      <c r="L427" s="664">
        <v>47.15</v>
      </c>
      <c r="M427" s="664">
        <v>1</v>
      </c>
      <c r="N427" s="665">
        <v>47.15</v>
      </c>
    </row>
    <row r="428" spans="1:14" ht="14.4" customHeight="1" x14ac:dyDescent="0.3">
      <c r="A428" s="660" t="s">
        <v>552</v>
      </c>
      <c r="B428" s="661" t="s">
        <v>553</v>
      </c>
      <c r="C428" s="662" t="s">
        <v>569</v>
      </c>
      <c r="D428" s="663" t="s">
        <v>1753</v>
      </c>
      <c r="E428" s="662" t="s">
        <v>575</v>
      </c>
      <c r="F428" s="663" t="s">
        <v>1754</v>
      </c>
      <c r="G428" s="662" t="s">
        <v>582</v>
      </c>
      <c r="H428" s="662" t="s">
        <v>1701</v>
      </c>
      <c r="I428" s="662" t="s">
        <v>1702</v>
      </c>
      <c r="J428" s="662" t="s">
        <v>1703</v>
      </c>
      <c r="K428" s="662" t="s">
        <v>1704</v>
      </c>
      <c r="L428" s="664">
        <v>462.66288950802027</v>
      </c>
      <c r="M428" s="664">
        <v>6</v>
      </c>
      <c r="N428" s="665">
        <v>2775.9773370481216</v>
      </c>
    </row>
    <row r="429" spans="1:14" ht="14.4" customHeight="1" x14ac:dyDescent="0.3">
      <c r="A429" s="660" t="s">
        <v>552</v>
      </c>
      <c r="B429" s="661" t="s">
        <v>553</v>
      </c>
      <c r="C429" s="662" t="s">
        <v>569</v>
      </c>
      <c r="D429" s="663" t="s">
        <v>1753</v>
      </c>
      <c r="E429" s="662" t="s">
        <v>575</v>
      </c>
      <c r="F429" s="663" t="s">
        <v>1754</v>
      </c>
      <c r="G429" s="662" t="s">
        <v>582</v>
      </c>
      <c r="H429" s="662" t="s">
        <v>1447</v>
      </c>
      <c r="I429" s="662" t="s">
        <v>1448</v>
      </c>
      <c r="J429" s="662" t="s">
        <v>745</v>
      </c>
      <c r="K429" s="662" t="s">
        <v>1449</v>
      </c>
      <c r="L429" s="664">
        <v>142.86992162796815</v>
      </c>
      <c r="M429" s="664">
        <v>9</v>
      </c>
      <c r="N429" s="665">
        <v>1285.8292946517133</v>
      </c>
    </row>
    <row r="430" spans="1:14" ht="14.4" customHeight="1" x14ac:dyDescent="0.3">
      <c r="A430" s="660" t="s">
        <v>552</v>
      </c>
      <c r="B430" s="661" t="s">
        <v>553</v>
      </c>
      <c r="C430" s="662" t="s">
        <v>569</v>
      </c>
      <c r="D430" s="663" t="s">
        <v>1753</v>
      </c>
      <c r="E430" s="662" t="s">
        <v>575</v>
      </c>
      <c r="F430" s="663" t="s">
        <v>1754</v>
      </c>
      <c r="G430" s="662" t="s">
        <v>582</v>
      </c>
      <c r="H430" s="662" t="s">
        <v>1705</v>
      </c>
      <c r="I430" s="662" t="s">
        <v>1706</v>
      </c>
      <c r="J430" s="662" t="s">
        <v>1707</v>
      </c>
      <c r="K430" s="662" t="s">
        <v>670</v>
      </c>
      <c r="L430" s="664">
        <v>203.86200000000005</v>
      </c>
      <c r="M430" s="664">
        <v>25</v>
      </c>
      <c r="N430" s="665">
        <v>5096.5500000000011</v>
      </c>
    </row>
    <row r="431" spans="1:14" ht="14.4" customHeight="1" x14ac:dyDescent="0.3">
      <c r="A431" s="660" t="s">
        <v>552</v>
      </c>
      <c r="B431" s="661" t="s">
        <v>553</v>
      </c>
      <c r="C431" s="662" t="s">
        <v>569</v>
      </c>
      <c r="D431" s="663" t="s">
        <v>1753</v>
      </c>
      <c r="E431" s="662" t="s">
        <v>575</v>
      </c>
      <c r="F431" s="663" t="s">
        <v>1754</v>
      </c>
      <c r="G431" s="662" t="s">
        <v>582</v>
      </c>
      <c r="H431" s="662" t="s">
        <v>1708</v>
      </c>
      <c r="I431" s="662" t="s">
        <v>216</v>
      </c>
      <c r="J431" s="662" t="s">
        <v>1709</v>
      </c>
      <c r="K431" s="662"/>
      <c r="L431" s="664">
        <v>88.499679250051159</v>
      </c>
      <c r="M431" s="664">
        <v>1</v>
      </c>
      <c r="N431" s="665">
        <v>88.499679250051159</v>
      </c>
    </row>
    <row r="432" spans="1:14" ht="14.4" customHeight="1" x14ac:dyDescent="0.3">
      <c r="A432" s="660" t="s">
        <v>552</v>
      </c>
      <c r="B432" s="661" t="s">
        <v>553</v>
      </c>
      <c r="C432" s="662" t="s">
        <v>569</v>
      </c>
      <c r="D432" s="663" t="s">
        <v>1753</v>
      </c>
      <c r="E432" s="662" t="s">
        <v>575</v>
      </c>
      <c r="F432" s="663" t="s">
        <v>1754</v>
      </c>
      <c r="G432" s="662" t="s">
        <v>582</v>
      </c>
      <c r="H432" s="662" t="s">
        <v>1467</v>
      </c>
      <c r="I432" s="662" t="s">
        <v>1468</v>
      </c>
      <c r="J432" s="662" t="s">
        <v>1469</v>
      </c>
      <c r="K432" s="662" t="s">
        <v>1470</v>
      </c>
      <c r="L432" s="664">
        <v>2700</v>
      </c>
      <c r="M432" s="664">
        <v>1</v>
      </c>
      <c r="N432" s="665">
        <v>2700</v>
      </c>
    </row>
    <row r="433" spans="1:14" ht="14.4" customHeight="1" x14ac:dyDescent="0.3">
      <c r="A433" s="660" t="s">
        <v>552</v>
      </c>
      <c r="B433" s="661" t="s">
        <v>553</v>
      </c>
      <c r="C433" s="662" t="s">
        <v>569</v>
      </c>
      <c r="D433" s="663" t="s">
        <v>1753</v>
      </c>
      <c r="E433" s="662" t="s">
        <v>575</v>
      </c>
      <c r="F433" s="663" t="s">
        <v>1754</v>
      </c>
      <c r="G433" s="662" t="s">
        <v>582</v>
      </c>
      <c r="H433" s="662" t="s">
        <v>1710</v>
      </c>
      <c r="I433" s="662" t="s">
        <v>1711</v>
      </c>
      <c r="J433" s="662" t="s">
        <v>1712</v>
      </c>
      <c r="K433" s="662" t="s">
        <v>1713</v>
      </c>
      <c r="L433" s="664">
        <v>8325.1096439048779</v>
      </c>
      <c r="M433" s="664">
        <v>4</v>
      </c>
      <c r="N433" s="665">
        <v>33300.438575619512</v>
      </c>
    </row>
    <row r="434" spans="1:14" ht="14.4" customHeight="1" x14ac:dyDescent="0.3">
      <c r="A434" s="660" t="s">
        <v>552</v>
      </c>
      <c r="B434" s="661" t="s">
        <v>553</v>
      </c>
      <c r="C434" s="662" t="s">
        <v>569</v>
      </c>
      <c r="D434" s="663" t="s">
        <v>1753</v>
      </c>
      <c r="E434" s="662" t="s">
        <v>575</v>
      </c>
      <c r="F434" s="663" t="s">
        <v>1754</v>
      </c>
      <c r="G434" s="662" t="s">
        <v>582</v>
      </c>
      <c r="H434" s="662" t="s">
        <v>1714</v>
      </c>
      <c r="I434" s="662" t="s">
        <v>1715</v>
      </c>
      <c r="J434" s="662" t="s">
        <v>1716</v>
      </c>
      <c r="K434" s="662" t="s">
        <v>1495</v>
      </c>
      <c r="L434" s="664">
        <v>35.977499999999999</v>
      </c>
      <c r="M434" s="664">
        <v>60</v>
      </c>
      <c r="N434" s="665">
        <v>2158.65</v>
      </c>
    </row>
    <row r="435" spans="1:14" ht="14.4" customHeight="1" x14ac:dyDescent="0.3">
      <c r="A435" s="660" t="s">
        <v>552</v>
      </c>
      <c r="B435" s="661" t="s">
        <v>553</v>
      </c>
      <c r="C435" s="662" t="s">
        <v>569</v>
      </c>
      <c r="D435" s="663" t="s">
        <v>1753</v>
      </c>
      <c r="E435" s="662" t="s">
        <v>575</v>
      </c>
      <c r="F435" s="663" t="s">
        <v>1754</v>
      </c>
      <c r="G435" s="662" t="s">
        <v>582</v>
      </c>
      <c r="H435" s="662" t="s">
        <v>1717</v>
      </c>
      <c r="I435" s="662" t="s">
        <v>1718</v>
      </c>
      <c r="J435" s="662" t="s">
        <v>1719</v>
      </c>
      <c r="K435" s="662" t="s">
        <v>1470</v>
      </c>
      <c r="L435" s="664">
        <v>2915.4</v>
      </c>
      <c r="M435" s="664">
        <v>5</v>
      </c>
      <c r="N435" s="665">
        <v>14577</v>
      </c>
    </row>
    <row r="436" spans="1:14" ht="14.4" customHeight="1" x14ac:dyDescent="0.3">
      <c r="A436" s="660" t="s">
        <v>552</v>
      </c>
      <c r="B436" s="661" t="s">
        <v>553</v>
      </c>
      <c r="C436" s="662" t="s">
        <v>569</v>
      </c>
      <c r="D436" s="663" t="s">
        <v>1753</v>
      </c>
      <c r="E436" s="662" t="s">
        <v>575</v>
      </c>
      <c r="F436" s="663" t="s">
        <v>1754</v>
      </c>
      <c r="G436" s="662" t="s">
        <v>582</v>
      </c>
      <c r="H436" s="662" t="s">
        <v>1489</v>
      </c>
      <c r="I436" s="662" t="s">
        <v>1490</v>
      </c>
      <c r="J436" s="662" t="s">
        <v>1491</v>
      </c>
      <c r="K436" s="662" t="s">
        <v>1492</v>
      </c>
      <c r="L436" s="664">
        <v>87.350540518203573</v>
      </c>
      <c r="M436" s="664">
        <v>16</v>
      </c>
      <c r="N436" s="665">
        <v>1397.6086482912572</v>
      </c>
    </row>
    <row r="437" spans="1:14" ht="14.4" customHeight="1" x14ac:dyDescent="0.3">
      <c r="A437" s="660" t="s">
        <v>552</v>
      </c>
      <c r="B437" s="661" t="s">
        <v>553</v>
      </c>
      <c r="C437" s="662" t="s">
        <v>569</v>
      </c>
      <c r="D437" s="663" t="s">
        <v>1753</v>
      </c>
      <c r="E437" s="662" t="s">
        <v>575</v>
      </c>
      <c r="F437" s="663" t="s">
        <v>1754</v>
      </c>
      <c r="G437" s="662" t="s">
        <v>582</v>
      </c>
      <c r="H437" s="662" t="s">
        <v>1720</v>
      </c>
      <c r="I437" s="662" t="s">
        <v>216</v>
      </c>
      <c r="J437" s="662" t="s">
        <v>1721</v>
      </c>
      <c r="K437" s="662" t="s">
        <v>1722</v>
      </c>
      <c r="L437" s="664">
        <v>61.533333333333331</v>
      </c>
      <c r="M437" s="664">
        <v>2</v>
      </c>
      <c r="N437" s="665">
        <v>123.06666666666666</v>
      </c>
    </row>
    <row r="438" spans="1:14" ht="14.4" customHeight="1" x14ac:dyDescent="0.3">
      <c r="A438" s="660" t="s">
        <v>552</v>
      </c>
      <c r="B438" s="661" t="s">
        <v>553</v>
      </c>
      <c r="C438" s="662" t="s">
        <v>569</v>
      </c>
      <c r="D438" s="663" t="s">
        <v>1753</v>
      </c>
      <c r="E438" s="662" t="s">
        <v>575</v>
      </c>
      <c r="F438" s="663" t="s">
        <v>1754</v>
      </c>
      <c r="G438" s="662" t="s">
        <v>582</v>
      </c>
      <c r="H438" s="662" t="s">
        <v>1723</v>
      </c>
      <c r="I438" s="662" t="s">
        <v>1724</v>
      </c>
      <c r="J438" s="662" t="s">
        <v>1725</v>
      </c>
      <c r="K438" s="662"/>
      <c r="L438" s="664">
        <v>464.62304882054354</v>
      </c>
      <c r="M438" s="664">
        <v>33</v>
      </c>
      <c r="N438" s="665">
        <v>15332.560611077937</v>
      </c>
    </row>
    <row r="439" spans="1:14" ht="14.4" customHeight="1" x14ac:dyDescent="0.3">
      <c r="A439" s="660" t="s">
        <v>552</v>
      </c>
      <c r="B439" s="661" t="s">
        <v>553</v>
      </c>
      <c r="C439" s="662" t="s">
        <v>569</v>
      </c>
      <c r="D439" s="663" t="s">
        <v>1753</v>
      </c>
      <c r="E439" s="662" t="s">
        <v>575</v>
      </c>
      <c r="F439" s="663" t="s">
        <v>1754</v>
      </c>
      <c r="G439" s="662" t="s">
        <v>582</v>
      </c>
      <c r="H439" s="662" t="s">
        <v>1726</v>
      </c>
      <c r="I439" s="662" t="s">
        <v>1727</v>
      </c>
      <c r="J439" s="662" t="s">
        <v>1728</v>
      </c>
      <c r="K439" s="662" t="s">
        <v>1729</v>
      </c>
      <c r="L439" s="664">
        <v>146.23000000000002</v>
      </c>
      <c r="M439" s="664">
        <v>4</v>
      </c>
      <c r="N439" s="665">
        <v>584.92000000000007</v>
      </c>
    </row>
    <row r="440" spans="1:14" ht="14.4" customHeight="1" x14ac:dyDescent="0.3">
      <c r="A440" s="660" t="s">
        <v>552</v>
      </c>
      <c r="B440" s="661" t="s">
        <v>553</v>
      </c>
      <c r="C440" s="662" t="s">
        <v>569</v>
      </c>
      <c r="D440" s="663" t="s">
        <v>1753</v>
      </c>
      <c r="E440" s="662" t="s">
        <v>575</v>
      </c>
      <c r="F440" s="663" t="s">
        <v>1754</v>
      </c>
      <c r="G440" s="662" t="s">
        <v>582</v>
      </c>
      <c r="H440" s="662" t="s">
        <v>1730</v>
      </c>
      <c r="I440" s="662" t="s">
        <v>216</v>
      </c>
      <c r="J440" s="662" t="s">
        <v>1731</v>
      </c>
      <c r="K440" s="662"/>
      <c r="L440" s="664">
        <v>435.59999999999997</v>
      </c>
      <c r="M440" s="664">
        <v>7</v>
      </c>
      <c r="N440" s="665">
        <v>3049.2</v>
      </c>
    </row>
    <row r="441" spans="1:14" ht="14.4" customHeight="1" x14ac:dyDescent="0.3">
      <c r="A441" s="660" t="s">
        <v>552</v>
      </c>
      <c r="B441" s="661" t="s">
        <v>553</v>
      </c>
      <c r="C441" s="662" t="s">
        <v>569</v>
      </c>
      <c r="D441" s="663" t="s">
        <v>1753</v>
      </c>
      <c r="E441" s="662" t="s">
        <v>575</v>
      </c>
      <c r="F441" s="663" t="s">
        <v>1754</v>
      </c>
      <c r="G441" s="662" t="s">
        <v>582</v>
      </c>
      <c r="H441" s="662" t="s">
        <v>1732</v>
      </c>
      <c r="I441" s="662" t="s">
        <v>216</v>
      </c>
      <c r="J441" s="662" t="s">
        <v>1733</v>
      </c>
      <c r="K441" s="662"/>
      <c r="L441" s="664">
        <v>56.789541152956204</v>
      </c>
      <c r="M441" s="664">
        <v>28</v>
      </c>
      <c r="N441" s="665">
        <v>1590.1071522827738</v>
      </c>
    </row>
    <row r="442" spans="1:14" ht="14.4" customHeight="1" x14ac:dyDescent="0.3">
      <c r="A442" s="660" t="s">
        <v>552</v>
      </c>
      <c r="B442" s="661" t="s">
        <v>553</v>
      </c>
      <c r="C442" s="662" t="s">
        <v>569</v>
      </c>
      <c r="D442" s="663" t="s">
        <v>1753</v>
      </c>
      <c r="E442" s="662" t="s">
        <v>575</v>
      </c>
      <c r="F442" s="663" t="s">
        <v>1754</v>
      </c>
      <c r="G442" s="662" t="s">
        <v>582</v>
      </c>
      <c r="H442" s="662" t="s">
        <v>1734</v>
      </c>
      <c r="I442" s="662" t="s">
        <v>1735</v>
      </c>
      <c r="J442" s="662" t="s">
        <v>1736</v>
      </c>
      <c r="K442" s="662" t="s">
        <v>1737</v>
      </c>
      <c r="L442" s="664">
        <v>157.905</v>
      </c>
      <c r="M442" s="664">
        <v>240</v>
      </c>
      <c r="N442" s="665">
        <v>37897.199999999997</v>
      </c>
    </row>
    <row r="443" spans="1:14" ht="14.4" customHeight="1" x14ac:dyDescent="0.3">
      <c r="A443" s="660" t="s">
        <v>552</v>
      </c>
      <c r="B443" s="661" t="s">
        <v>553</v>
      </c>
      <c r="C443" s="662" t="s">
        <v>569</v>
      </c>
      <c r="D443" s="663" t="s">
        <v>1753</v>
      </c>
      <c r="E443" s="662" t="s">
        <v>575</v>
      </c>
      <c r="F443" s="663" t="s">
        <v>1754</v>
      </c>
      <c r="G443" s="662" t="s">
        <v>582</v>
      </c>
      <c r="H443" s="662" t="s">
        <v>1738</v>
      </c>
      <c r="I443" s="662" t="s">
        <v>1738</v>
      </c>
      <c r="J443" s="662" t="s">
        <v>1739</v>
      </c>
      <c r="K443" s="662" t="s">
        <v>1740</v>
      </c>
      <c r="L443" s="664">
        <v>0</v>
      </c>
      <c r="M443" s="664">
        <v>0</v>
      </c>
      <c r="N443" s="665">
        <v>0</v>
      </c>
    </row>
    <row r="444" spans="1:14" ht="14.4" customHeight="1" x14ac:dyDescent="0.3">
      <c r="A444" s="660" t="s">
        <v>552</v>
      </c>
      <c r="B444" s="661" t="s">
        <v>553</v>
      </c>
      <c r="C444" s="662" t="s">
        <v>569</v>
      </c>
      <c r="D444" s="663" t="s">
        <v>1753</v>
      </c>
      <c r="E444" s="662" t="s">
        <v>575</v>
      </c>
      <c r="F444" s="663" t="s">
        <v>1754</v>
      </c>
      <c r="G444" s="662" t="s">
        <v>582</v>
      </c>
      <c r="H444" s="662" t="s">
        <v>1741</v>
      </c>
      <c r="I444" s="662" t="s">
        <v>216</v>
      </c>
      <c r="J444" s="662" t="s">
        <v>1742</v>
      </c>
      <c r="K444" s="662"/>
      <c r="L444" s="664">
        <v>38.200000000000003</v>
      </c>
      <c r="M444" s="664">
        <v>2</v>
      </c>
      <c r="N444" s="665">
        <v>76.400000000000006</v>
      </c>
    </row>
    <row r="445" spans="1:14" ht="14.4" customHeight="1" x14ac:dyDescent="0.3">
      <c r="A445" s="660" t="s">
        <v>552</v>
      </c>
      <c r="B445" s="661" t="s">
        <v>553</v>
      </c>
      <c r="C445" s="662" t="s">
        <v>569</v>
      </c>
      <c r="D445" s="663" t="s">
        <v>1753</v>
      </c>
      <c r="E445" s="662" t="s">
        <v>575</v>
      </c>
      <c r="F445" s="663" t="s">
        <v>1754</v>
      </c>
      <c r="G445" s="662" t="s">
        <v>995</v>
      </c>
      <c r="H445" s="662" t="s">
        <v>1025</v>
      </c>
      <c r="I445" s="662" t="s">
        <v>1026</v>
      </c>
      <c r="J445" s="662" t="s">
        <v>1027</v>
      </c>
      <c r="K445" s="662" t="s">
        <v>1028</v>
      </c>
      <c r="L445" s="664">
        <v>139.45199984414737</v>
      </c>
      <c r="M445" s="664">
        <v>10</v>
      </c>
      <c r="N445" s="665">
        <v>1394.5199984414737</v>
      </c>
    </row>
    <row r="446" spans="1:14" ht="14.4" customHeight="1" x14ac:dyDescent="0.3">
      <c r="A446" s="660" t="s">
        <v>552</v>
      </c>
      <c r="B446" s="661" t="s">
        <v>553</v>
      </c>
      <c r="C446" s="662" t="s">
        <v>569</v>
      </c>
      <c r="D446" s="663" t="s">
        <v>1753</v>
      </c>
      <c r="E446" s="662" t="s">
        <v>575</v>
      </c>
      <c r="F446" s="663" t="s">
        <v>1754</v>
      </c>
      <c r="G446" s="662" t="s">
        <v>995</v>
      </c>
      <c r="H446" s="662" t="s">
        <v>1096</v>
      </c>
      <c r="I446" s="662" t="s">
        <v>1097</v>
      </c>
      <c r="J446" s="662" t="s">
        <v>1011</v>
      </c>
      <c r="K446" s="662" t="s">
        <v>1098</v>
      </c>
      <c r="L446" s="664">
        <v>129.57895254279651</v>
      </c>
      <c r="M446" s="664">
        <v>1</v>
      </c>
      <c r="N446" s="665">
        <v>129.57895254279651</v>
      </c>
    </row>
    <row r="447" spans="1:14" ht="14.4" customHeight="1" x14ac:dyDescent="0.3">
      <c r="A447" s="660" t="s">
        <v>552</v>
      </c>
      <c r="B447" s="661" t="s">
        <v>553</v>
      </c>
      <c r="C447" s="662" t="s">
        <v>569</v>
      </c>
      <c r="D447" s="663" t="s">
        <v>1753</v>
      </c>
      <c r="E447" s="662" t="s">
        <v>575</v>
      </c>
      <c r="F447" s="663" t="s">
        <v>1754</v>
      </c>
      <c r="G447" s="662" t="s">
        <v>995</v>
      </c>
      <c r="H447" s="662" t="s">
        <v>1548</v>
      </c>
      <c r="I447" s="662" t="s">
        <v>1549</v>
      </c>
      <c r="J447" s="662" t="s">
        <v>1027</v>
      </c>
      <c r="K447" s="662" t="s">
        <v>1550</v>
      </c>
      <c r="L447" s="664">
        <v>144.05737448099492</v>
      </c>
      <c r="M447" s="664">
        <v>23</v>
      </c>
      <c r="N447" s="665">
        <v>3313.319613062883</v>
      </c>
    </row>
    <row r="448" spans="1:14" ht="14.4" customHeight="1" x14ac:dyDescent="0.3">
      <c r="A448" s="660" t="s">
        <v>552</v>
      </c>
      <c r="B448" s="661" t="s">
        <v>553</v>
      </c>
      <c r="C448" s="662" t="s">
        <v>569</v>
      </c>
      <c r="D448" s="663" t="s">
        <v>1753</v>
      </c>
      <c r="E448" s="662" t="s">
        <v>575</v>
      </c>
      <c r="F448" s="663" t="s">
        <v>1754</v>
      </c>
      <c r="G448" s="662" t="s">
        <v>995</v>
      </c>
      <c r="H448" s="662" t="s">
        <v>1743</v>
      </c>
      <c r="I448" s="662" t="s">
        <v>1744</v>
      </c>
      <c r="J448" s="662" t="s">
        <v>1745</v>
      </c>
      <c r="K448" s="662" t="s">
        <v>1746</v>
      </c>
      <c r="L448" s="664">
        <v>701.12076923076916</v>
      </c>
      <c r="M448" s="664">
        <v>26</v>
      </c>
      <c r="N448" s="665">
        <v>18229.14</v>
      </c>
    </row>
    <row r="449" spans="1:14" ht="14.4" customHeight="1" thickBot="1" x14ac:dyDescent="0.35">
      <c r="A449" s="666" t="s">
        <v>552</v>
      </c>
      <c r="B449" s="667" t="s">
        <v>553</v>
      </c>
      <c r="C449" s="668" t="s">
        <v>569</v>
      </c>
      <c r="D449" s="669" t="s">
        <v>1753</v>
      </c>
      <c r="E449" s="668" t="s">
        <v>575</v>
      </c>
      <c r="F449" s="669" t="s">
        <v>1754</v>
      </c>
      <c r="G449" s="668" t="s">
        <v>995</v>
      </c>
      <c r="H449" s="668" t="s">
        <v>1747</v>
      </c>
      <c r="I449" s="668" t="s">
        <v>1747</v>
      </c>
      <c r="J449" s="668" t="s">
        <v>1748</v>
      </c>
      <c r="K449" s="668" t="s">
        <v>1749</v>
      </c>
      <c r="L449" s="670">
        <v>2456.6666666666665</v>
      </c>
      <c r="M449" s="670">
        <v>6</v>
      </c>
      <c r="N449" s="671">
        <v>14740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59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54" customWidth="1"/>
    <col min="2" max="2" width="10" style="337" customWidth="1"/>
    <col min="3" max="3" width="5.5546875" style="340" customWidth="1"/>
    <col min="4" max="4" width="10" style="337" customWidth="1"/>
    <col min="5" max="5" width="5.5546875" style="340" customWidth="1"/>
    <col min="6" max="6" width="10" style="337" customWidth="1"/>
    <col min="7" max="16384" width="8.88671875" style="254"/>
  </cols>
  <sheetData>
    <row r="1" spans="1:6" ht="37.200000000000003" customHeight="1" thickBot="1" x14ac:dyDescent="0.4">
      <c r="A1" s="515" t="s">
        <v>208</v>
      </c>
      <c r="B1" s="516"/>
      <c r="C1" s="516"/>
      <c r="D1" s="516"/>
      <c r="E1" s="516"/>
      <c r="F1" s="516"/>
    </row>
    <row r="2" spans="1:6" ht="14.4" customHeight="1" thickBot="1" x14ac:dyDescent="0.35">
      <c r="A2" s="383" t="s">
        <v>334</v>
      </c>
      <c r="B2" s="67"/>
      <c r="C2" s="68"/>
      <c r="D2" s="69"/>
      <c r="E2" s="68"/>
      <c r="F2" s="69"/>
    </row>
    <row r="3" spans="1:6" ht="14.4" customHeight="1" thickBot="1" x14ac:dyDescent="0.35">
      <c r="A3" s="209"/>
      <c r="B3" s="517" t="s">
        <v>162</v>
      </c>
      <c r="C3" s="518"/>
      <c r="D3" s="519" t="s">
        <v>161</v>
      </c>
      <c r="E3" s="518"/>
      <c r="F3" s="105" t="s">
        <v>3</v>
      </c>
    </row>
    <row r="4" spans="1:6" ht="14.4" customHeight="1" thickBot="1" x14ac:dyDescent="0.35">
      <c r="A4" s="672" t="s">
        <v>186</v>
      </c>
      <c r="B4" s="673" t="s">
        <v>14</v>
      </c>
      <c r="C4" s="674" t="s">
        <v>2</v>
      </c>
      <c r="D4" s="673" t="s">
        <v>14</v>
      </c>
      <c r="E4" s="674" t="s">
        <v>2</v>
      </c>
      <c r="F4" s="675" t="s">
        <v>14</v>
      </c>
    </row>
    <row r="5" spans="1:6" ht="14.4" customHeight="1" x14ac:dyDescent="0.3">
      <c r="A5" s="686" t="s">
        <v>1759</v>
      </c>
      <c r="B5" s="658">
        <v>30815.940066738949</v>
      </c>
      <c r="C5" s="676">
        <v>0.23876565600736041</v>
      </c>
      <c r="D5" s="658">
        <v>98247.596884274608</v>
      </c>
      <c r="E5" s="676">
        <v>0.76123434399263967</v>
      </c>
      <c r="F5" s="659">
        <v>129063.53695101355</v>
      </c>
    </row>
    <row r="6" spans="1:6" ht="14.4" customHeight="1" x14ac:dyDescent="0.3">
      <c r="A6" s="687" t="s">
        <v>1760</v>
      </c>
      <c r="B6" s="664">
        <v>2992.683537729074</v>
      </c>
      <c r="C6" s="677">
        <v>7.3351449280936148E-2</v>
      </c>
      <c r="D6" s="664">
        <v>37806.558564047155</v>
      </c>
      <c r="E6" s="677">
        <v>0.92664855071906382</v>
      </c>
      <c r="F6" s="665">
        <v>40799.242101776232</v>
      </c>
    </row>
    <row r="7" spans="1:6" ht="14.4" customHeight="1" x14ac:dyDescent="0.3">
      <c r="A7" s="687" t="s">
        <v>1761</v>
      </c>
      <c r="B7" s="664">
        <v>2242.2608507958453</v>
      </c>
      <c r="C7" s="677">
        <v>3.1586154421923182E-2</v>
      </c>
      <c r="D7" s="664">
        <v>68746.464805517244</v>
      </c>
      <c r="E7" s="677">
        <v>0.96841384557807675</v>
      </c>
      <c r="F7" s="665">
        <v>70988.725656313094</v>
      </c>
    </row>
    <row r="8" spans="1:6" ht="14.4" customHeight="1" thickBot="1" x14ac:dyDescent="0.35">
      <c r="A8" s="688" t="s">
        <v>1762</v>
      </c>
      <c r="B8" s="679"/>
      <c r="C8" s="680">
        <v>0</v>
      </c>
      <c r="D8" s="679">
        <v>276.49999688294781</v>
      </c>
      <c r="E8" s="680">
        <v>1</v>
      </c>
      <c r="F8" s="681">
        <v>276.49999688294781</v>
      </c>
    </row>
    <row r="9" spans="1:6" ht="14.4" customHeight="1" thickBot="1" x14ac:dyDescent="0.35">
      <c r="A9" s="682" t="s">
        <v>3</v>
      </c>
      <c r="B9" s="683">
        <v>36050.884455263869</v>
      </c>
      <c r="C9" s="684">
        <v>0.14950932181942836</v>
      </c>
      <c r="D9" s="683">
        <v>205077.12025072196</v>
      </c>
      <c r="E9" s="684">
        <v>0.85049067818057167</v>
      </c>
      <c r="F9" s="685">
        <v>241128.00470598583</v>
      </c>
    </row>
    <row r="10" spans="1:6" ht="14.4" customHeight="1" thickBot="1" x14ac:dyDescent="0.35"/>
    <row r="11" spans="1:6" ht="14.4" customHeight="1" x14ac:dyDescent="0.3">
      <c r="A11" s="686" t="s">
        <v>1763</v>
      </c>
      <c r="B11" s="658">
        <v>22943.941226374449</v>
      </c>
      <c r="C11" s="676">
        <v>0.55725587065553728</v>
      </c>
      <c r="D11" s="658">
        <v>18229.14</v>
      </c>
      <c r="E11" s="676">
        <v>0.44274412934446278</v>
      </c>
      <c r="F11" s="659">
        <v>41173.081226374445</v>
      </c>
    </row>
    <row r="12" spans="1:6" ht="14.4" customHeight="1" x14ac:dyDescent="0.3">
      <c r="A12" s="687" t="s">
        <v>1764</v>
      </c>
      <c r="B12" s="664">
        <v>5667.6</v>
      </c>
      <c r="C12" s="677">
        <v>0.34768160039043328</v>
      </c>
      <c r="D12" s="664">
        <v>10633.521467559687</v>
      </c>
      <c r="E12" s="677">
        <v>0.65231839960956672</v>
      </c>
      <c r="F12" s="665">
        <v>16301.121467559688</v>
      </c>
    </row>
    <row r="13" spans="1:6" ht="14.4" customHeight="1" x14ac:dyDescent="0.3">
      <c r="A13" s="687" t="s">
        <v>1765</v>
      </c>
      <c r="B13" s="664">
        <v>2862.0045894051609</v>
      </c>
      <c r="C13" s="677">
        <v>0.61759233107059419</v>
      </c>
      <c r="D13" s="664">
        <v>1772.127742587832</v>
      </c>
      <c r="E13" s="677">
        <v>0.38240766892940592</v>
      </c>
      <c r="F13" s="665">
        <v>4634.1323319929925</v>
      </c>
    </row>
    <row r="14" spans="1:6" ht="14.4" customHeight="1" x14ac:dyDescent="0.3">
      <c r="A14" s="687" t="s">
        <v>1766</v>
      </c>
      <c r="B14" s="664">
        <v>1551.1720000000005</v>
      </c>
      <c r="C14" s="677">
        <v>0.19418372780458376</v>
      </c>
      <c r="D14" s="664">
        <v>6436.9947611254111</v>
      </c>
      <c r="E14" s="677">
        <v>0.80581627219541618</v>
      </c>
      <c r="F14" s="665">
        <v>7988.1667611254115</v>
      </c>
    </row>
    <row r="15" spans="1:6" ht="14.4" customHeight="1" x14ac:dyDescent="0.3">
      <c r="A15" s="687" t="s">
        <v>1767</v>
      </c>
      <c r="B15" s="664">
        <v>900.00070203790347</v>
      </c>
      <c r="C15" s="677">
        <v>4.5281099813600449E-2</v>
      </c>
      <c r="D15" s="664">
        <v>18975.85712258991</v>
      </c>
      <c r="E15" s="677">
        <v>0.9547189001863996</v>
      </c>
      <c r="F15" s="665">
        <v>19875.857824627812</v>
      </c>
    </row>
    <row r="16" spans="1:6" ht="14.4" customHeight="1" x14ac:dyDescent="0.3">
      <c r="A16" s="687" t="s">
        <v>1768</v>
      </c>
      <c r="B16" s="664">
        <v>775.1580866505152</v>
      </c>
      <c r="C16" s="677">
        <v>0.51570136977064229</v>
      </c>
      <c r="D16" s="664">
        <v>727.9561808087044</v>
      </c>
      <c r="E16" s="677">
        <v>0.4842986302293576</v>
      </c>
      <c r="F16" s="665">
        <v>1503.1142674592197</v>
      </c>
    </row>
    <row r="17" spans="1:6" ht="14.4" customHeight="1" x14ac:dyDescent="0.3">
      <c r="A17" s="687" t="s">
        <v>1769</v>
      </c>
      <c r="B17" s="664">
        <v>647.55899999999997</v>
      </c>
      <c r="C17" s="677">
        <v>1</v>
      </c>
      <c r="D17" s="664"/>
      <c r="E17" s="677">
        <v>0</v>
      </c>
      <c r="F17" s="665">
        <v>647.55899999999997</v>
      </c>
    </row>
    <row r="18" spans="1:6" ht="14.4" customHeight="1" x14ac:dyDescent="0.3">
      <c r="A18" s="687" t="s">
        <v>1770</v>
      </c>
      <c r="B18" s="664">
        <v>401.26</v>
      </c>
      <c r="C18" s="677">
        <v>0.15807782159417258</v>
      </c>
      <c r="D18" s="664">
        <v>2137.110000000001</v>
      </c>
      <c r="E18" s="677">
        <v>0.8419221784058275</v>
      </c>
      <c r="F18" s="665">
        <v>2538.3700000000008</v>
      </c>
    </row>
    <row r="19" spans="1:6" ht="14.4" customHeight="1" x14ac:dyDescent="0.3">
      <c r="A19" s="687" t="s">
        <v>1771</v>
      </c>
      <c r="B19" s="664">
        <v>302.18885079584538</v>
      </c>
      <c r="C19" s="677">
        <v>0.42303292122383734</v>
      </c>
      <c r="D19" s="664">
        <v>412.15000000000003</v>
      </c>
      <c r="E19" s="677">
        <v>0.5769670787761626</v>
      </c>
      <c r="F19" s="665">
        <v>714.33885079584547</v>
      </c>
    </row>
    <row r="20" spans="1:6" ht="14.4" customHeight="1" x14ac:dyDescent="0.3">
      <c r="A20" s="687" t="s">
        <v>1772</v>
      </c>
      <c r="B20" s="664"/>
      <c r="C20" s="677">
        <v>0</v>
      </c>
      <c r="D20" s="664">
        <v>561.15735303094482</v>
      </c>
      <c r="E20" s="677">
        <v>1</v>
      </c>
      <c r="F20" s="665">
        <v>561.15735303094482</v>
      </c>
    </row>
    <row r="21" spans="1:6" ht="14.4" customHeight="1" x14ac:dyDescent="0.3">
      <c r="A21" s="687" t="s">
        <v>1773</v>
      </c>
      <c r="B21" s="664"/>
      <c r="C21" s="677">
        <v>0</v>
      </c>
      <c r="D21" s="664">
        <v>46.85</v>
      </c>
      <c r="E21" s="677">
        <v>1</v>
      </c>
      <c r="F21" s="665">
        <v>46.85</v>
      </c>
    </row>
    <row r="22" spans="1:6" ht="14.4" customHeight="1" x14ac:dyDescent="0.3">
      <c r="A22" s="687" t="s">
        <v>1774</v>
      </c>
      <c r="B22" s="664"/>
      <c r="C22" s="677">
        <v>0</v>
      </c>
      <c r="D22" s="664">
        <v>4030.8058711067388</v>
      </c>
      <c r="E22" s="677">
        <v>1</v>
      </c>
      <c r="F22" s="665">
        <v>4030.8058711067388</v>
      </c>
    </row>
    <row r="23" spans="1:6" ht="14.4" customHeight="1" x14ac:dyDescent="0.3">
      <c r="A23" s="687" t="s">
        <v>1775</v>
      </c>
      <c r="B23" s="664"/>
      <c r="C23" s="677">
        <v>0</v>
      </c>
      <c r="D23" s="664">
        <v>1188.3030020293529</v>
      </c>
      <c r="E23" s="677">
        <v>1</v>
      </c>
      <c r="F23" s="665">
        <v>1188.3030020293529</v>
      </c>
    </row>
    <row r="24" spans="1:6" ht="14.4" customHeight="1" x14ac:dyDescent="0.3">
      <c r="A24" s="687" t="s">
        <v>1776</v>
      </c>
      <c r="B24" s="664"/>
      <c r="C24" s="677">
        <v>0</v>
      </c>
      <c r="D24" s="664">
        <v>52297.021261650058</v>
      </c>
      <c r="E24" s="677">
        <v>1</v>
      </c>
      <c r="F24" s="665">
        <v>52297.021261650058</v>
      </c>
    </row>
    <row r="25" spans="1:6" ht="14.4" customHeight="1" x14ac:dyDescent="0.3">
      <c r="A25" s="687" t="s">
        <v>1777</v>
      </c>
      <c r="B25" s="664"/>
      <c r="C25" s="677">
        <v>0</v>
      </c>
      <c r="D25" s="664">
        <v>12194.500381446662</v>
      </c>
      <c r="E25" s="677">
        <v>1</v>
      </c>
      <c r="F25" s="665">
        <v>12194.500381446662</v>
      </c>
    </row>
    <row r="26" spans="1:6" ht="14.4" customHeight="1" x14ac:dyDescent="0.3">
      <c r="A26" s="687" t="s">
        <v>1778</v>
      </c>
      <c r="B26" s="664"/>
      <c r="C26" s="677">
        <v>0</v>
      </c>
      <c r="D26" s="664">
        <v>279.39999999999998</v>
      </c>
      <c r="E26" s="677">
        <v>1</v>
      </c>
      <c r="F26" s="665">
        <v>279.39999999999998</v>
      </c>
    </row>
    <row r="27" spans="1:6" ht="14.4" customHeight="1" x14ac:dyDescent="0.3">
      <c r="A27" s="687" t="s">
        <v>1779</v>
      </c>
      <c r="B27" s="664"/>
      <c r="C27" s="677">
        <v>0</v>
      </c>
      <c r="D27" s="664">
        <v>408.65221606422875</v>
      </c>
      <c r="E27" s="677">
        <v>1</v>
      </c>
      <c r="F27" s="665">
        <v>408.65221606422875</v>
      </c>
    </row>
    <row r="28" spans="1:6" ht="14.4" customHeight="1" x14ac:dyDescent="0.3">
      <c r="A28" s="687" t="s">
        <v>1780</v>
      </c>
      <c r="B28" s="664"/>
      <c r="C28" s="677">
        <v>0</v>
      </c>
      <c r="D28" s="664">
        <v>60.02999999999998</v>
      </c>
      <c r="E28" s="677">
        <v>1</v>
      </c>
      <c r="F28" s="665">
        <v>60.02999999999998</v>
      </c>
    </row>
    <row r="29" spans="1:6" ht="14.4" customHeight="1" x14ac:dyDescent="0.3">
      <c r="A29" s="687" t="s">
        <v>1781</v>
      </c>
      <c r="B29" s="664"/>
      <c r="C29" s="677">
        <v>0</v>
      </c>
      <c r="D29" s="664">
        <v>305.44</v>
      </c>
      <c r="E29" s="677">
        <v>1</v>
      </c>
      <c r="F29" s="665">
        <v>305.44</v>
      </c>
    </row>
    <row r="30" spans="1:6" ht="14.4" customHeight="1" x14ac:dyDescent="0.3">
      <c r="A30" s="687" t="s">
        <v>1782</v>
      </c>
      <c r="B30" s="664"/>
      <c r="C30" s="677">
        <v>0</v>
      </c>
      <c r="D30" s="664">
        <v>416.31000000000006</v>
      </c>
      <c r="E30" s="677">
        <v>1</v>
      </c>
      <c r="F30" s="665">
        <v>416.31000000000006</v>
      </c>
    </row>
    <row r="31" spans="1:6" ht="14.4" customHeight="1" x14ac:dyDescent="0.3">
      <c r="A31" s="687" t="s">
        <v>1783</v>
      </c>
      <c r="B31" s="664"/>
      <c r="C31" s="677">
        <v>0</v>
      </c>
      <c r="D31" s="664">
        <v>978.42852280795819</v>
      </c>
      <c r="E31" s="677">
        <v>1</v>
      </c>
      <c r="F31" s="665">
        <v>978.42852280795819</v>
      </c>
    </row>
    <row r="32" spans="1:6" ht="14.4" customHeight="1" x14ac:dyDescent="0.3">
      <c r="A32" s="687" t="s">
        <v>1784</v>
      </c>
      <c r="B32" s="664"/>
      <c r="C32" s="677">
        <v>0</v>
      </c>
      <c r="D32" s="664">
        <v>14740</v>
      </c>
      <c r="E32" s="677">
        <v>1</v>
      </c>
      <c r="F32" s="665">
        <v>14740</v>
      </c>
    </row>
    <row r="33" spans="1:6" ht="14.4" customHeight="1" x14ac:dyDescent="0.3">
      <c r="A33" s="687" t="s">
        <v>1785</v>
      </c>
      <c r="B33" s="664"/>
      <c r="C33" s="677">
        <v>0</v>
      </c>
      <c r="D33" s="664">
        <v>49.940000000000012</v>
      </c>
      <c r="E33" s="677">
        <v>1</v>
      </c>
      <c r="F33" s="665">
        <v>49.940000000000012</v>
      </c>
    </row>
    <row r="34" spans="1:6" ht="14.4" customHeight="1" x14ac:dyDescent="0.3">
      <c r="A34" s="687" t="s">
        <v>1786</v>
      </c>
      <c r="B34" s="664"/>
      <c r="C34" s="677">
        <v>0</v>
      </c>
      <c r="D34" s="664">
        <v>188.7</v>
      </c>
      <c r="E34" s="677">
        <v>1</v>
      </c>
      <c r="F34" s="665">
        <v>188.7</v>
      </c>
    </row>
    <row r="35" spans="1:6" ht="14.4" customHeight="1" x14ac:dyDescent="0.3">
      <c r="A35" s="687" t="s">
        <v>1787</v>
      </c>
      <c r="B35" s="664"/>
      <c r="C35" s="677">
        <v>0</v>
      </c>
      <c r="D35" s="664">
        <v>238.49961700044821</v>
      </c>
      <c r="E35" s="677">
        <v>1</v>
      </c>
      <c r="F35" s="665">
        <v>238.49961700044821</v>
      </c>
    </row>
    <row r="36" spans="1:6" ht="14.4" customHeight="1" x14ac:dyDescent="0.3">
      <c r="A36" s="687" t="s">
        <v>1788</v>
      </c>
      <c r="B36" s="664"/>
      <c r="C36" s="677">
        <v>0</v>
      </c>
      <c r="D36" s="664">
        <v>2754.3467077392161</v>
      </c>
      <c r="E36" s="677">
        <v>1</v>
      </c>
      <c r="F36" s="665">
        <v>2754.3467077392161</v>
      </c>
    </row>
    <row r="37" spans="1:6" ht="14.4" customHeight="1" x14ac:dyDescent="0.3">
      <c r="A37" s="687" t="s">
        <v>1789</v>
      </c>
      <c r="B37" s="664"/>
      <c r="C37" s="677">
        <v>0</v>
      </c>
      <c r="D37" s="664">
        <v>444.42</v>
      </c>
      <c r="E37" s="677">
        <v>1</v>
      </c>
      <c r="F37" s="665">
        <v>444.42</v>
      </c>
    </row>
    <row r="38" spans="1:6" ht="14.4" customHeight="1" x14ac:dyDescent="0.3">
      <c r="A38" s="687" t="s">
        <v>1790</v>
      </c>
      <c r="B38" s="664"/>
      <c r="C38" s="677">
        <v>0</v>
      </c>
      <c r="D38" s="664">
        <v>5000.4639322551411</v>
      </c>
      <c r="E38" s="677">
        <v>1</v>
      </c>
      <c r="F38" s="665">
        <v>5000.4639322551411</v>
      </c>
    </row>
    <row r="39" spans="1:6" ht="14.4" customHeight="1" x14ac:dyDescent="0.3">
      <c r="A39" s="687" t="s">
        <v>1791</v>
      </c>
      <c r="B39" s="664"/>
      <c r="C39" s="677">
        <v>0</v>
      </c>
      <c r="D39" s="664">
        <v>619.6170014766335</v>
      </c>
      <c r="E39" s="677">
        <v>1</v>
      </c>
      <c r="F39" s="665">
        <v>619.6170014766335</v>
      </c>
    </row>
    <row r="40" spans="1:6" ht="14.4" customHeight="1" x14ac:dyDescent="0.3">
      <c r="A40" s="687" t="s">
        <v>1792</v>
      </c>
      <c r="B40" s="664"/>
      <c r="C40" s="677">
        <v>0</v>
      </c>
      <c r="D40" s="664">
        <v>559.99200000000008</v>
      </c>
      <c r="E40" s="677">
        <v>1</v>
      </c>
      <c r="F40" s="665">
        <v>559.99200000000008</v>
      </c>
    </row>
    <row r="41" spans="1:6" ht="14.4" customHeight="1" x14ac:dyDescent="0.3">
      <c r="A41" s="687" t="s">
        <v>1793</v>
      </c>
      <c r="B41" s="664"/>
      <c r="C41" s="677">
        <v>0</v>
      </c>
      <c r="D41" s="664">
        <v>335.94895995800181</v>
      </c>
      <c r="E41" s="677">
        <v>1</v>
      </c>
      <c r="F41" s="665">
        <v>335.94895995800181</v>
      </c>
    </row>
    <row r="42" spans="1:6" ht="14.4" customHeight="1" x14ac:dyDescent="0.3">
      <c r="A42" s="687" t="s">
        <v>1794</v>
      </c>
      <c r="B42" s="664"/>
      <c r="C42" s="677">
        <v>0</v>
      </c>
      <c r="D42" s="664">
        <v>1245.0700000000002</v>
      </c>
      <c r="E42" s="677">
        <v>1</v>
      </c>
      <c r="F42" s="665">
        <v>1245.0700000000002</v>
      </c>
    </row>
    <row r="43" spans="1:6" ht="14.4" customHeight="1" x14ac:dyDescent="0.3">
      <c r="A43" s="687" t="s">
        <v>1795</v>
      </c>
      <c r="B43" s="664"/>
      <c r="C43" s="677">
        <v>0</v>
      </c>
      <c r="D43" s="664">
        <v>215.35999999999996</v>
      </c>
      <c r="E43" s="677">
        <v>1</v>
      </c>
      <c r="F43" s="665">
        <v>215.35999999999996</v>
      </c>
    </row>
    <row r="44" spans="1:6" ht="14.4" customHeight="1" x14ac:dyDescent="0.3">
      <c r="A44" s="687" t="s">
        <v>1796</v>
      </c>
      <c r="B44" s="664"/>
      <c r="C44" s="677">
        <v>0</v>
      </c>
      <c r="D44" s="664">
        <v>3036</v>
      </c>
      <c r="E44" s="677">
        <v>1</v>
      </c>
      <c r="F44" s="665">
        <v>3036</v>
      </c>
    </row>
    <row r="45" spans="1:6" ht="14.4" customHeight="1" x14ac:dyDescent="0.3">
      <c r="A45" s="687" t="s">
        <v>1797</v>
      </c>
      <c r="B45" s="664"/>
      <c r="C45" s="677">
        <v>0</v>
      </c>
      <c r="D45" s="664">
        <v>188.35989417901092</v>
      </c>
      <c r="E45" s="677">
        <v>1</v>
      </c>
      <c r="F45" s="665">
        <v>188.35989417901092</v>
      </c>
    </row>
    <row r="46" spans="1:6" ht="14.4" customHeight="1" x14ac:dyDescent="0.3">
      <c r="A46" s="687" t="s">
        <v>1798</v>
      </c>
      <c r="B46" s="664"/>
      <c r="C46" s="677">
        <v>0</v>
      </c>
      <c r="D46" s="664">
        <v>1347.1133474145213</v>
      </c>
      <c r="E46" s="677">
        <v>1</v>
      </c>
      <c r="F46" s="665">
        <v>1347.1133474145213</v>
      </c>
    </row>
    <row r="47" spans="1:6" ht="14.4" customHeight="1" x14ac:dyDescent="0.3">
      <c r="A47" s="687" t="s">
        <v>1799</v>
      </c>
      <c r="B47" s="664"/>
      <c r="C47" s="677">
        <v>0</v>
      </c>
      <c r="D47" s="664">
        <v>198.23886042768453</v>
      </c>
      <c r="E47" s="677">
        <v>1</v>
      </c>
      <c r="F47" s="665">
        <v>198.23886042768453</v>
      </c>
    </row>
    <row r="48" spans="1:6" ht="14.4" customHeight="1" x14ac:dyDescent="0.3">
      <c r="A48" s="687" t="s">
        <v>1800</v>
      </c>
      <c r="B48" s="664"/>
      <c r="C48" s="677">
        <v>0</v>
      </c>
      <c r="D48" s="664">
        <v>198.24</v>
      </c>
      <c r="E48" s="677">
        <v>1</v>
      </c>
      <c r="F48" s="665">
        <v>198.24</v>
      </c>
    </row>
    <row r="49" spans="1:6" ht="14.4" customHeight="1" x14ac:dyDescent="0.3">
      <c r="A49" s="687" t="s">
        <v>1801</v>
      </c>
      <c r="B49" s="664"/>
      <c r="C49" s="677">
        <v>0</v>
      </c>
      <c r="D49" s="664">
        <v>1884.6180499235913</v>
      </c>
      <c r="E49" s="677">
        <v>1</v>
      </c>
      <c r="F49" s="665">
        <v>1884.6180499235913</v>
      </c>
    </row>
    <row r="50" spans="1:6" ht="14.4" customHeight="1" x14ac:dyDescent="0.3">
      <c r="A50" s="687" t="s">
        <v>1802</v>
      </c>
      <c r="B50" s="664"/>
      <c r="C50" s="677">
        <v>0</v>
      </c>
      <c r="D50" s="664">
        <v>46.899999999999991</v>
      </c>
      <c r="E50" s="677">
        <v>1</v>
      </c>
      <c r="F50" s="665">
        <v>46.899999999999991</v>
      </c>
    </row>
    <row r="51" spans="1:6" ht="14.4" customHeight="1" x14ac:dyDescent="0.3">
      <c r="A51" s="687" t="s">
        <v>1803</v>
      </c>
      <c r="B51" s="664"/>
      <c r="C51" s="677">
        <v>0</v>
      </c>
      <c r="D51" s="664">
        <v>18209.287768161521</v>
      </c>
      <c r="E51" s="677">
        <v>1</v>
      </c>
      <c r="F51" s="665">
        <v>18209.287768161521</v>
      </c>
    </row>
    <row r="52" spans="1:6" ht="14.4" customHeight="1" x14ac:dyDescent="0.3">
      <c r="A52" s="687" t="s">
        <v>1804</v>
      </c>
      <c r="B52" s="664"/>
      <c r="C52" s="677">
        <v>0</v>
      </c>
      <c r="D52" s="664">
        <v>2333.7481565691105</v>
      </c>
      <c r="E52" s="677">
        <v>1</v>
      </c>
      <c r="F52" s="665">
        <v>2333.7481565691105</v>
      </c>
    </row>
    <row r="53" spans="1:6" ht="14.4" customHeight="1" x14ac:dyDescent="0.3">
      <c r="A53" s="687" t="s">
        <v>1805</v>
      </c>
      <c r="B53" s="664"/>
      <c r="C53" s="677">
        <v>0</v>
      </c>
      <c r="D53" s="664">
        <v>1400.8585515567015</v>
      </c>
      <c r="E53" s="677">
        <v>1</v>
      </c>
      <c r="F53" s="665">
        <v>1400.8585515567015</v>
      </c>
    </row>
    <row r="54" spans="1:6" ht="14.4" customHeight="1" x14ac:dyDescent="0.3">
      <c r="A54" s="687" t="s">
        <v>1806</v>
      </c>
      <c r="B54" s="664"/>
      <c r="C54" s="677">
        <v>0</v>
      </c>
      <c r="D54" s="664">
        <v>397.78018552531302</v>
      </c>
      <c r="E54" s="677">
        <v>1</v>
      </c>
      <c r="F54" s="665">
        <v>397.78018552531302</v>
      </c>
    </row>
    <row r="55" spans="1:6" ht="14.4" customHeight="1" x14ac:dyDescent="0.3">
      <c r="A55" s="687" t="s">
        <v>1807</v>
      </c>
      <c r="B55" s="664"/>
      <c r="C55" s="677">
        <v>0</v>
      </c>
      <c r="D55" s="664">
        <v>63.399729331722106</v>
      </c>
      <c r="E55" s="677">
        <v>1</v>
      </c>
      <c r="F55" s="665">
        <v>63.399729331722106</v>
      </c>
    </row>
    <row r="56" spans="1:6" ht="14.4" customHeight="1" x14ac:dyDescent="0.3">
      <c r="A56" s="687" t="s">
        <v>1808</v>
      </c>
      <c r="B56" s="664"/>
      <c r="C56" s="677">
        <v>0</v>
      </c>
      <c r="D56" s="664">
        <v>420.93999999999994</v>
      </c>
      <c r="E56" s="677">
        <v>1</v>
      </c>
      <c r="F56" s="665">
        <v>420.93999999999994</v>
      </c>
    </row>
    <row r="57" spans="1:6" ht="14.4" customHeight="1" x14ac:dyDescent="0.3">
      <c r="A57" s="687" t="s">
        <v>1809</v>
      </c>
      <c r="B57" s="664"/>
      <c r="C57" s="677">
        <v>0</v>
      </c>
      <c r="D57" s="664">
        <v>16513.961604210195</v>
      </c>
      <c r="E57" s="677">
        <v>1</v>
      </c>
      <c r="F57" s="665">
        <v>16513.961604210195</v>
      </c>
    </row>
    <row r="58" spans="1:6" ht="14.4" customHeight="1" thickBot="1" x14ac:dyDescent="0.35">
      <c r="A58" s="688" t="s">
        <v>1810</v>
      </c>
      <c r="B58" s="679"/>
      <c r="C58" s="680">
        <v>0</v>
      </c>
      <c r="D58" s="679">
        <v>353.5600021856236</v>
      </c>
      <c r="E58" s="680">
        <v>1</v>
      </c>
      <c r="F58" s="681">
        <v>353.5600021856236</v>
      </c>
    </row>
    <row r="59" spans="1:6" ht="14.4" customHeight="1" thickBot="1" x14ac:dyDescent="0.35">
      <c r="A59" s="682" t="s">
        <v>3</v>
      </c>
      <c r="B59" s="683">
        <v>36050.884455263877</v>
      </c>
      <c r="C59" s="684">
        <v>0.14950932181942844</v>
      </c>
      <c r="D59" s="683">
        <v>205077.12025072193</v>
      </c>
      <c r="E59" s="684">
        <v>0.85049067818057178</v>
      </c>
      <c r="F59" s="685">
        <v>241128.00470598575</v>
      </c>
    </row>
  </sheetData>
  <mergeCells count="3">
    <mergeCell ref="A1:F1"/>
    <mergeCell ref="B3:C3"/>
    <mergeCell ref="D3:E3"/>
  </mergeCells>
  <conditionalFormatting sqref="C5:C1048576">
    <cfRule type="cellIs" dxfId="56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31</vt:i4>
      </vt:variant>
      <vt:variant>
        <vt:lpstr>Pojmenované oblasti</vt:lpstr>
      </vt:variant>
      <vt:variant>
        <vt:i4>3</vt:i4>
      </vt:variant>
    </vt:vector>
  </HeadingPairs>
  <TitlesOfParts>
    <vt:vector size="3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LŽ Statim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Lékaři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2015-03-21T00:26:40Z</dcterms:modified>
</cp:coreProperties>
</file>